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R219Q01EC" sheetId="2" r:id="rId2"/>
    <s:sheet name="DR219Q01C" sheetId="3" r:id="rId3"/>
    <s:sheet name="DR219Q02C" sheetId="4" r:id="rId4"/>
    <s:sheet name="CR067Q01S" sheetId="5" r:id="rId5"/>
    <s:sheet name="DR067Q04C" sheetId="6" r:id="rId6"/>
    <s:sheet name="DR067Q05C" sheetId="7" r:id="rId7"/>
    <s:sheet name="DR102Q04C" sheetId="8" r:id="rId8"/>
    <s:sheet name="DR102Q05C" sheetId="9" r:id="rId9"/>
    <s:sheet name="CR102Q07S" sheetId="10" r:id="rId10"/>
    <s:sheet name="CR220Q01S" sheetId="11" r:id="rId11"/>
    <s:sheet name="CR220Q02S" sheetId="12" r:id="rId12"/>
    <s:sheet name="CR220Q04S" sheetId="13" r:id="rId13"/>
    <s:sheet name="CR220Q05S" sheetId="14" r:id="rId14"/>
    <s:sheet name="CR220Q06S" sheetId="15" r:id="rId15"/>
    <s:sheet name="CR227Q01S" sheetId="16" r:id="rId16"/>
    <s:sheet name="CR227Q02S" sheetId="17" r:id="rId17"/>
    <s:sheet name="DR227Q03C" sheetId="18" r:id="rId18"/>
    <s:sheet name="DR227Q06C" sheetId="19" r:id="rId19"/>
    <s:sheet name="CR111Q01S" sheetId="20" r:id="rId20"/>
    <s:sheet name="DR111Q02BC" sheetId="21" r:id="rId21"/>
    <s:sheet name="DR111Q06C" sheetId="22" r:id="rId22"/>
    <s:sheet name="CR055Q01S" sheetId="23" r:id="rId23"/>
    <s:sheet name="DR055Q02C" sheetId="24" r:id="rId24"/>
    <s:sheet name="DR055Q03C" sheetId="25" r:id="rId25"/>
    <s:sheet name="DR055Q05C" sheetId="26" r:id="rId26"/>
    <s:sheet name="CR104Q01S" sheetId="27" r:id="rId27"/>
    <s:sheet name="CR104Q02S" sheetId="28" r:id="rId28"/>
    <s:sheet name="CR104Q05S" sheetId="29" r:id="rId29"/>
    <s:sheet name="DR420Q02C" sheetId="30" r:id="rId30"/>
    <s:sheet name="DR420Q10C" sheetId="31" r:id="rId31"/>
    <s:sheet name="DR420Q06C" sheetId="32" r:id="rId32"/>
    <s:sheet name="DR420Q09C" sheetId="33" r:id="rId33"/>
    <s:sheet name="CR453Q01S" sheetId="34" r:id="rId34"/>
    <s:sheet name="DR453Q04C" sheetId="35" r:id="rId35"/>
    <s:sheet name="CR453Q05S" sheetId="36" r:id="rId36"/>
    <s:sheet name="DR453Q06C" sheetId="37" r:id="rId37"/>
    <s:sheet name="CR412Q01S" sheetId="38" r:id="rId38"/>
    <s:sheet name="CR412Q05S" sheetId="39" r:id="rId39"/>
    <s:sheet name="DR412Q08C" sheetId="40" r:id="rId40"/>
    <s:sheet name="CR412Q06S" sheetId="41" r:id="rId41"/>
    <s:sheet name="CR437Q01S" sheetId="42" r:id="rId42"/>
    <s:sheet name="DR437Q07C" sheetId="43" r:id="rId43"/>
    <s:sheet name="CR437Q06S" sheetId="44" r:id="rId44"/>
    <s:sheet name="CR456Q01S" sheetId="45" r:id="rId45"/>
    <s:sheet name="DR456Q02C" sheetId="46" r:id="rId46"/>
    <s:sheet name="DR456Q06C" sheetId="47" r:id="rId47"/>
    <s:sheet name="DR466Q02C" sheetId="48" r:id="rId48"/>
    <s:sheet name="CR466Q03S" sheetId="49" r:id="rId49"/>
    <s:sheet name="CR466Q06S" sheetId="50" r:id="rId50"/>
    <s:sheet name="CR446Q03S" sheetId="51" r:id="rId51"/>
    <s:sheet name="DR446Q06C" sheetId="52" r:id="rId52"/>
    <s:sheet name="DR432Q01C" sheetId="53" r:id="rId53"/>
    <s:sheet name="DR432Q05C" sheetId="54" r:id="rId54"/>
    <s:sheet name="CR432Q06S" sheetId="55" r:id="rId55"/>
    <s:sheet name="DR460Q01C" sheetId="56" r:id="rId56"/>
    <s:sheet name="CR460Q05S" sheetId="57" r:id="rId57"/>
    <s:sheet name="CR460Q06S" sheetId="58" r:id="rId58"/>
    <s:sheet name="CR424Q02S" sheetId="59" r:id="rId59"/>
    <s:sheet name="CR424Q03S" sheetId="60" r:id="rId60"/>
    <s:sheet name="CR424Q07S" sheetId="61" r:id="rId61"/>
    <s:sheet name="CR404Q03S" sheetId="62" r:id="rId62"/>
    <s:sheet name="CR404Q06S" sheetId="63" r:id="rId63"/>
    <s:sheet name="CR404Q07S" sheetId="64" r:id="rId64"/>
    <s:sheet name="DR404Q10AC" sheetId="65" r:id="rId65"/>
    <s:sheet name="DR404Q10BC" sheetId="66" r:id="rId66"/>
    <s:sheet name="DR406Q01C" sheetId="67" r:id="rId67"/>
    <s:sheet name="DR406Q05C" sheetId="68" r:id="rId68"/>
    <s:sheet name="DR406Q02C" sheetId="69" r:id="rId69"/>
    <s:sheet name="DR455Q02C" sheetId="70" r:id="rId70"/>
    <s:sheet name="DR455Q03C" sheetId="71" r:id="rId71"/>
    <s:sheet name="CR455Q04S" sheetId="72" r:id="rId72"/>
    <s:sheet name="CR455Q05S" sheetId="73" r:id="rId73"/>
    <s:sheet name="CR083Q01S" sheetId="74" r:id="rId74"/>
    <s:sheet name="CR083Q02S" sheetId="75" r:id="rId75"/>
    <s:sheet name="CR083Q03S" sheetId="76" r:id="rId76"/>
    <s:sheet name="CR083Q04S" sheetId="77" r:id="rId77"/>
    <s:sheet name="DR442Q02C" sheetId="78" r:id="rId78"/>
    <s:sheet name="DR442Q03C" sheetId="79" r:id="rId79"/>
    <s:sheet name="DR442Q05C" sheetId="80" r:id="rId80"/>
    <s:sheet name="DR442Q06C" sheetId="81" r:id="rId81"/>
    <s:sheet name="CR442Q07S" sheetId="82" r:id="rId82"/>
    <s:sheet name="CR245Q01S" sheetId="83" r:id="rId83"/>
    <s:sheet name="CR245Q02S" sheetId="84" r:id="rId84"/>
    <s:sheet name="CR101Q01S" sheetId="85" r:id="rId85"/>
    <s:sheet name="CR101Q02S" sheetId="86" r:id="rId86"/>
    <s:sheet name="CR101Q03S" sheetId="87" r:id="rId87"/>
    <s:sheet name="CR101Q04S" sheetId="88" r:id="rId88"/>
    <s:sheet name="CR101Q05S" sheetId="89" r:id="rId89"/>
    <s:sheet name="CR445Q03S" sheetId="90" r:id="rId90"/>
    <s:sheet name="DR445Q01C" sheetId="91" r:id="rId91"/>
    <s:sheet name="CR445Q04S" sheetId="92" r:id="rId92"/>
    <s:sheet name="CR445Q06S" sheetId="93" r:id="rId93"/>
    <s:sheet name="DR462Q02C" sheetId="94" r:id="rId94"/>
    <s:sheet name="DR462Q05C" sheetId="95" r:id="rId95"/>
    <s:sheet name="CR462Q04S" sheetId="96" r:id="rId96"/>
    <s:sheet name="CR435Q02S" sheetId="97" r:id="rId97"/>
    <s:sheet name="CR435Q01S" sheetId="98" r:id="rId98"/>
    <s:sheet name="DR435Q05C" sheetId="99" r:id="rId99"/>
    <s:sheet name="CR435Q08S" sheetId="100" r:id="rId100"/>
    <s:sheet name="DR465Q01C" sheetId="101" r:id="rId101"/>
    <s:sheet name="DR465Q02C" sheetId="102" r:id="rId102"/>
    <s:sheet name="DR465Q06C" sheetId="103" r:id="rId103"/>
    <s:sheet name="DR465Q05C" sheetId="104" r:id="rId104"/>
    <s:sheet name="R219Q01E" sheetId="105" r:id="rId105"/>
    <s:sheet name="PR219Q01S" sheetId="106" r:id="rId106"/>
    <s:sheet name="R219Q02" sheetId="107" r:id="rId107"/>
    <s:sheet name="PR067Q01S" sheetId="108" r:id="rId108"/>
    <s:sheet name="R067Q04" sheetId="109" r:id="rId109"/>
    <s:sheet name="R067Q05" sheetId="110" r:id="rId110"/>
    <s:sheet name="R102Q04A" sheetId="111" r:id="rId111"/>
    <s:sheet name="R102Q05" sheetId="112" r:id="rId112"/>
    <s:sheet name="PR102Q07S" sheetId="113" r:id="rId113"/>
    <s:sheet name="R220Q01" sheetId="114" r:id="rId114"/>
    <s:sheet name="PR220Q02BS" sheetId="115" r:id="rId115"/>
    <s:sheet name="PR220Q04S" sheetId="116" r:id="rId116"/>
    <s:sheet name="PR220Q05S" sheetId="117" r:id="rId117"/>
    <s:sheet name="PR220Q06S" sheetId="118" r:id="rId118"/>
    <s:sheet name="PR227Q01S" sheetId="119" r:id="rId119"/>
    <s:sheet name="PR227Q02S" sheetId="120" r:id="rId120"/>
    <s:sheet name="R227Q03" sheetId="121" r:id="rId121"/>
    <s:sheet name="R227Q06" sheetId="122" r:id="rId122"/>
    <s:sheet name="PR111Q01S" sheetId="123" r:id="rId123"/>
    <s:sheet name="R111Q02B" sheetId="124" r:id="rId124"/>
    <s:sheet name="R111Q06B" sheetId="125" r:id="rId125"/>
    <s:sheet name="PR055Q01S" sheetId="126" r:id="rId126"/>
    <s:sheet name="R055Q02" sheetId="127" r:id="rId127"/>
    <s:sheet name="R055Q03" sheetId="128" r:id="rId128"/>
    <s:sheet name="R055Q05" sheetId="129" r:id="rId129"/>
    <s:sheet name="R104Q01" sheetId="130" r:id="rId130"/>
    <s:sheet name="R104Q02" sheetId="131" r:id="rId131"/>
    <s:sheet name="R104Q05" sheetId="132" r:id="rId132"/>
    <s:sheet name="PR420Q02" sheetId="133" r:id="rId133"/>
    <s:sheet name="PR420Q10" sheetId="134" r:id="rId134"/>
    <s:sheet name="PR420Q06" sheetId="135" r:id="rId135"/>
    <s:sheet name="PR420Q09" sheetId="136" r:id="rId136"/>
    <s:sheet name="PR453Q01S" sheetId="137" r:id="rId137"/>
    <s:sheet name="PR453Q04" sheetId="138" r:id="rId138"/>
    <s:sheet name="PR453Q05S" sheetId="139" r:id="rId139"/>
    <s:sheet name="PR453Q06" sheetId="140" r:id="rId140"/>
    <s:sheet name="PR412Q01S" sheetId="141" r:id="rId141"/>
    <s:sheet name="PR412Q05S" sheetId="142" r:id="rId142"/>
    <s:sheet name="PR412Q08" sheetId="143" r:id="rId143"/>
    <s:sheet name="PR412Q06S" sheetId="144" r:id="rId144"/>
    <s:sheet name="PR437Q01S" sheetId="145" r:id="rId145"/>
    <s:sheet name="PR437Q07" sheetId="146" r:id="rId146"/>
    <s:sheet name="PR437Q06S" sheetId="147" r:id="rId147"/>
    <s:sheet name="PR456Q01S" sheetId="148" r:id="rId148"/>
    <s:sheet name="PR456Q02" sheetId="149" r:id="rId149"/>
    <s:sheet name="PR456Q06" sheetId="150" r:id="rId150"/>
    <s:sheet name="PR466Q02" sheetId="151" r:id="rId151"/>
    <s:sheet name="PR466Q03S" sheetId="152" r:id="rId152"/>
    <s:sheet name="PR466Q06" sheetId="153" r:id="rId153"/>
    <s:sheet name="PR446Q03" sheetId="154" r:id="rId154"/>
    <s:sheet name="PR446Q06" sheetId="155" r:id="rId155"/>
    <s:sheet name="PR432Q01" sheetId="156" r:id="rId156"/>
    <s:sheet name="PR432Q05" sheetId="157" r:id="rId157"/>
    <s:sheet name="PR432Q06S" sheetId="158" r:id="rId158"/>
    <s:sheet name="R460Q01" sheetId="159" r:id="rId159"/>
    <s:sheet name="PR460Q05S" sheetId="160" r:id="rId160"/>
    <s:sheet name="PR460Q06S" sheetId="161" r:id="rId161"/>
    <s:sheet name="PR424Q02S" sheetId="162" r:id="rId162"/>
    <s:sheet name="PR424Q03S" sheetId="163" r:id="rId163"/>
    <s:sheet name="PR424Q07S" sheetId="164" r:id="rId164"/>
    <s:sheet name="PR404Q03S" sheetId="165" r:id="rId165"/>
    <s:sheet name="PR404Q06S" sheetId="166" r:id="rId166"/>
    <s:sheet name="PR404Q07S" sheetId="167" r:id="rId167"/>
    <s:sheet name="PR404Q10A" sheetId="168" r:id="rId168"/>
    <s:sheet name="PR404Q10B" sheetId="169" r:id="rId169"/>
    <s:sheet name="PR406Q01" sheetId="170" r:id="rId170"/>
    <s:sheet name="PR406Q05" sheetId="171" r:id="rId171"/>
    <s:sheet name="PR406Q02" sheetId="172" r:id="rId172"/>
    <s:sheet name="PR455Q02" sheetId="173" r:id="rId173"/>
    <s:sheet name="PR455Q03" sheetId="174" r:id="rId174"/>
    <s:sheet name="PR455Q04S" sheetId="175" r:id="rId175"/>
    <s:sheet name="PR455Q05S" sheetId="176" r:id="rId176"/>
    <s:sheet name="PR083Q01S" sheetId="177" r:id="rId177"/>
    <s:sheet name="R083Q02" sheetId="178" r:id="rId178"/>
    <s:sheet name="R083Q03" sheetId="179" r:id="rId179"/>
    <s:sheet name="PR083Q04S" sheetId="180" r:id="rId180"/>
    <s:sheet name="R442Q02" sheetId="181" r:id="rId181"/>
    <s:sheet name="R442Q03" sheetId="182" r:id="rId182"/>
    <s:sheet name="R442Q05" sheetId="183" r:id="rId183"/>
    <s:sheet name="R442Q06" sheetId="184" r:id="rId184"/>
    <s:sheet name="PR442Q07S" sheetId="185" r:id="rId185"/>
    <s:sheet name="R245Q01" sheetId="186" r:id="rId186"/>
    <s:sheet name="R245Q02" sheetId="187" r:id="rId187"/>
    <s:sheet name="PR101Q01S" sheetId="188" r:id="rId188"/>
    <s:sheet name="PR101Q02S" sheetId="189" r:id="rId189"/>
    <s:sheet name="PR101Q03S" sheetId="190" r:id="rId190"/>
    <s:sheet name="PR101Q04S" sheetId="191" r:id="rId191"/>
    <s:sheet name="PR101Q05S" sheetId="192" r:id="rId192"/>
    <s:sheet name="PR445Q03S" sheetId="193" r:id="rId193"/>
    <s:sheet name="R445Q01" sheetId="194" r:id="rId194"/>
    <s:sheet name="PR445Q04S" sheetId="195" r:id="rId195"/>
    <s:sheet name="PR445Q06S" sheetId="196" r:id="rId196"/>
    <s:sheet name="R462Q02" sheetId="197" r:id="rId197"/>
    <s:sheet name="R462Q05" sheetId="198" r:id="rId198"/>
    <s:sheet name="PR462Q04S" sheetId="199" r:id="rId199"/>
    <s:sheet name="R435Q02" sheetId="200" r:id="rId200"/>
    <s:sheet name="PR435Q01S" sheetId="201" r:id="rId201"/>
    <s:sheet name="R435Q05" sheetId="202" r:id="rId202"/>
    <s:sheet name="PR435Q08S" sheetId="203" r:id="rId203"/>
    <s:sheet name="R465Q01" sheetId="204" r:id="rId204"/>
    <s:sheet name="R465Q02" sheetId="205" r:id="rId205"/>
    <s:sheet name="R465Q06" sheetId="206" r:id="rId206"/>
    <s:sheet name="R465Q05" sheetId="207" r:id="rId207"/>
  </s:sheets>
  <s:definedNames/>
  <s:calcPr calcId="124519" fullCalcOnLoad="1"/>
</s:workbook>
</file>

<file path=xl/sharedStrings.xml><?xml version="1.0" encoding="utf-8"?>
<sst xmlns="http://schemas.openxmlformats.org/spreadsheetml/2006/main" uniqueCount="729">
  <si>
    <t>Table of Contents</t>
  </si>
  <si>
    <t>DR219Q01EC</t>
  </si>
  <si>
    <t>Employment - Q01E (Coded Response)</t>
  </si>
  <si>
    <t>DR219Q01C</t>
  </si>
  <si>
    <t>Employment - Q01 (Coded Response)</t>
  </si>
  <si>
    <t>DR219Q02C</t>
  </si>
  <si>
    <t>Employment - Q02 (Coded Response)</t>
  </si>
  <si>
    <t>CR067Q01S</t>
  </si>
  <si>
    <t>Aesop - Q01 (Scored Response)</t>
  </si>
  <si>
    <t>DR067Q04C</t>
  </si>
  <si>
    <t>Aesop - Q04 (Coded Response)</t>
  </si>
  <si>
    <t>DR067Q05C</t>
  </si>
  <si>
    <t>Aesop - Q05 (Coded Response)</t>
  </si>
  <si>
    <t>DR102Q04C</t>
  </si>
  <si>
    <t>Shirts - Q04 (Coded Response)</t>
  </si>
  <si>
    <t>DR102Q05C</t>
  </si>
  <si>
    <t>Shirts - Q05 (Coded Response)</t>
  </si>
  <si>
    <t>CR102Q07S</t>
  </si>
  <si>
    <t>Shirts - Q07 (Scored Response)</t>
  </si>
  <si>
    <t>CR220Q01S</t>
  </si>
  <si>
    <t>South Pole - Q01 (Scored Response)</t>
  </si>
  <si>
    <t>CR220Q02S</t>
  </si>
  <si>
    <t>South Pole - Q02 (Scored Response)</t>
  </si>
  <si>
    <t>CR220Q04S</t>
  </si>
  <si>
    <t>South Pole - Q04 (Scored Response)</t>
  </si>
  <si>
    <t>CR220Q05S</t>
  </si>
  <si>
    <t>South Pole - Q05 (Scored Response)</t>
  </si>
  <si>
    <t>CR220Q06S</t>
  </si>
  <si>
    <t>South Pole - Q06 (Scored Response)</t>
  </si>
  <si>
    <t>CR227Q01S</t>
  </si>
  <si>
    <t>Optician - Q01 (Scored Response)</t>
  </si>
  <si>
    <t>CR227Q02S</t>
  </si>
  <si>
    <t>Optician - Q02 (Scored Response)</t>
  </si>
  <si>
    <t>DR227Q03C</t>
  </si>
  <si>
    <t>Optician - Q03 (Coded Response)</t>
  </si>
  <si>
    <t>DR227Q06C</t>
  </si>
  <si>
    <t>Optician - Q06 (Coded Response)</t>
  </si>
  <si>
    <t>CR111Q01S</t>
  </si>
  <si>
    <t>Exchange - Q01 (Scored Response)</t>
  </si>
  <si>
    <t>DR111Q02BC</t>
  </si>
  <si>
    <t>Exchange - Q02B (Coded Response)</t>
  </si>
  <si>
    <t>DR111Q06C</t>
  </si>
  <si>
    <t>Exchange - Q06 (Coded Response)</t>
  </si>
  <si>
    <t>CR055Q01S</t>
  </si>
  <si>
    <t>Drugged Spiders - Q01 (Scored Response)</t>
  </si>
  <si>
    <t>DR055Q02C</t>
  </si>
  <si>
    <t>Drugged Spiders - Q02 (Coded Response)</t>
  </si>
  <si>
    <t>DR055Q03C</t>
  </si>
  <si>
    <t>Drugged Spiders - Q03 (Coded Response)</t>
  </si>
  <si>
    <t>DR055Q05C</t>
  </si>
  <si>
    <t>Drugged Spiders - Q05 (Coded Response)</t>
  </si>
  <si>
    <t>CR104Q01S</t>
  </si>
  <si>
    <t>Telephone - Q01 (Scored Response)</t>
  </si>
  <si>
    <t>CR104Q02S</t>
  </si>
  <si>
    <t>Telephone - Q02 (Scored Response)</t>
  </si>
  <si>
    <t>CR104Q05S</t>
  </si>
  <si>
    <t>Telephone - Q05 (Scored Response)</t>
  </si>
  <si>
    <t>DR420Q02C</t>
  </si>
  <si>
    <t>Children's Futures - Q02 (Coded Response)</t>
  </si>
  <si>
    <t>DR420Q10C</t>
  </si>
  <si>
    <t>Children's Futures - Q10 (Coded Response)</t>
  </si>
  <si>
    <t>DR420Q06C</t>
  </si>
  <si>
    <t>Children's Futures - Q06 (Coded Response)</t>
  </si>
  <si>
    <t>DR420Q09C</t>
  </si>
  <si>
    <t>Children's Futures - Q09 (Coded Response)</t>
  </si>
  <si>
    <t>CR453Q01S</t>
  </si>
  <si>
    <t>Summer Job - Q01 (Scored Response)</t>
  </si>
  <si>
    <t>DR453Q04C</t>
  </si>
  <si>
    <t>Summer Job - Q04 (Coded Response)</t>
  </si>
  <si>
    <t>CR453Q05S</t>
  </si>
  <si>
    <t>Summer Job - Q05 (Scored Response)</t>
  </si>
  <si>
    <t>DR453Q06C</t>
  </si>
  <si>
    <t>Summer Job - Q06 (Coded Response)</t>
  </si>
  <si>
    <t>CR412Q01S</t>
  </si>
  <si>
    <t>World Languages - Q01 (Scored Response)</t>
  </si>
  <si>
    <t>CR412Q05S</t>
  </si>
  <si>
    <t>World Languages - Q05 (Scored Response)</t>
  </si>
  <si>
    <t>DR412Q08C</t>
  </si>
  <si>
    <t>World Languages - Q08 (Coded Response)</t>
  </si>
  <si>
    <t>CR412Q06S</t>
  </si>
  <si>
    <t>World Languages - Q06 (Scored Response)</t>
  </si>
  <si>
    <t>CR437Q01S</t>
  </si>
  <si>
    <t>Narcissus - Q01 (Scored Response)</t>
  </si>
  <si>
    <t>DR437Q07C</t>
  </si>
  <si>
    <t>Narcissus - Q07 (Coded Response)</t>
  </si>
  <si>
    <t>CR437Q06S</t>
  </si>
  <si>
    <t>Narcissus - Q06 (Scored Response)</t>
  </si>
  <si>
    <t>CR456Q01S</t>
  </si>
  <si>
    <t>Biscuits - Q01 (Scored Response)</t>
  </si>
  <si>
    <t>DR456Q02C</t>
  </si>
  <si>
    <t>Biscuits - Q02 (Coded Response)</t>
  </si>
  <si>
    <t>DR456Q06C</t>
  </si>
  <si>
    <t>Biscuits - Q06 (Coded Response)</t>
  </si>
  <si>
    <t>DR466Q02C</t>
  </si>
  <si>
    <t>Work Right - Q02 (Coded Response)</t>
  </si>
  <si>
    <t>CR466Q03S</t>
  </si>
  <si>
    <t>Work Right - Q03 (Scored Response)</t>
  </si>
  <si>
    <t>CR466Q06S</t>
  </si>
  <si>
    <t>Work Right - Q06 (Scored Response)</t>
  </si>
  <si>
    <t>CR446Q03S</t>
  </si>
  <si>
    <t>Job Vacancy - Q03 (Scored Response)</t>
  </si>
  <si>
    <t>DR446Q06C</t>
  </si>
  <si>
    <t>Job Vacancy - Q06 (Coded Response)</t>
  </si>
  <si>
    <t>DR432Q01C</t>
  </si>
  <si>
    <t>About a book - Q01 (Coded Response)</t>
  </si>
  <si>
    <t>DR432Q05C</t>
  </si>
  <si>
    <t>About a book - Q05 (Coded Response)</t>
  </si>
  <si>
    <t>CR432Q06S</t>
  </si>
  <si>
    <t>About a book - Q06 (Scored Response)</t>
  </si>
  <si>
    <t>DR460Q01C</t>
  </si>
  <si>
    <t>Gulf of Mexico - Q01 (Coded Response)</t>
  </si>
  <si>
    <t>CR460Q05S</t>
  </si>
  <si>
    <t>Gulf of Mexico - Q05 (Scored Response)</t>
  </si>
  <si>
    <t>CR460Q06S</t>
  </si>
  <si>
    <t>Gulf of Mexico - Q06 (Scored Response)</t>
  </si>
  <si>
    <t>CR424Q02S</t>
  </si>
  <si>
    <t>Fair Trade - Q02 (Scored Response)</t>
  </si>
  <si>
    <t>CR424Q03S</t>
  </si>
  <si>
    <t>Fair Trade - Q03 (Scored Response)</t>
  </si>
  <si>
    <t>CR424Q07S</t>
  </si>
  <si>
    <t>Fair Trade - Q07 (Scored Response)</t>
  </si>
  <si>
    <t>CR404Q03S</t>
  </si>
  <si>
    <t>Sleep - Q03 (Scored Response)</t>
  </si>
  <si>
    <t>CR404Q06S</t>
  </si>
  <si>
    <t>Sleep - Q06 (Scored Response)</t>
  </si>
  <si>
    <t>CR404Q07S</t>
  </si>
  <si>
    <t>Sleep - Q07 (Scored Response)</t>
  </si>
  <si>
    <t>DR404Q10AC</t>
  </si>
  <si>
    <t>Sleep - Q10A (Coded Response)</t>
  </si>
  <si>
    <t>DR404Q10BC</t>
  </si>
  <si>
    <t>Sleep - Q10B (Coded Response)</t>
  </si>
  <si>
    <t>DR406Q01C</t>
  </si>
  <si>
    <t>Kokeshi Dolls - Q01 (Coded Response)</t>
  </si>
  <si>
    <t>DR406Q05C</t>
  </si>
  <si>
    <t>Kokeshi Dolls - Q05 (Coded Response)</t>
  </si>
  <si>
    <t>DR406Q02C</t>
  </si>
  <si>
    <t>Kokeshi Dolls - Q02 (Coded Response)</t>
  </si>
  <si>
    <t>DR455Q02C</t>
  </si>
  <si>
    <t>Chocolate and Health - Q02 (Coded Response)</t>
  </si>
  <si>
    <t>DR455Q03C</t>
  </si>
  <si>
    <t>Chocolate and Health - Q03 (Coded Response)</t>
  </si>
  <si>
    <t>CR455Q04S</t>
  </si>
  <si>
    <t>Chocolate and Health - Q04 (Scored Response)</t>
  </si>
  <si>
    <t>CR455Q05S</t>
  </si>
  <si>
    <t>Chocolate and Health - Q05 (Scored Response)</t>
  </si>
  <si>
    <t>CR083Q01S</t>
  </si>
  <si>
    <t>Household Work - Q01 (Scored Response)</t>
  </si>
  <si>
    <t>CR083Q02S</t>
  </si>
  <si>
    <t>Household Work - Q02 (Scored Response)</t>
  </si>
  <si>
    <t>CR083Q03S</t>
  </si>
  <si>
    <t>Household Work - Q03 (Scored Response)</t>
  </si>
  <si>
    <t>CR083Q04S</t>
  </si>
  <si>
    <t>Household Work - Q04 (Scored Response)</t>
  </si>
  <si>
    <t>DR442Q02C</t>
  </si>
  <si>
    <t>Galileo - Q02 (Coded Response)</t>
  </si>
  <si>
    <t>DR442Q03C</t>
  </si>
  <si>
    <t>Galileo - Q03 (Coded Response)</t>
  </si>
  <si>
    <t>DR442Q05C</t>
  </si>
  <si>
    <t>Galileo - Q05 (Coded Response)</t>
  </si>
  <si>
    <t>DR442Q06C</t>
  </si>
  <si>
    <t>Galileo - Q06 (Coded Response)</t>
  </si>
  <si>
    <t>CR442Q07S</t>
  </si>
  <si>
    <t>Galileo - Q07 (Scored Response)</t>
  </si>
  <si>
    <t>CR245Q01S</t>
  </si>
  <si>
    <t>Movie Reviews - Q01 (Scored Response)</t>
  </si>
  <si>
    <t>CR245Q02S</t>
  </si>
  <si>
    <t>Movie Reviews - Q02 (Scored Response)</t>
  </si>
  <si>
    <t>CR101Q01S</t>
  </si>
  <si>
    <t>Rhino - Q01 (Scored Response)</t>
  </si>
  <si>
    <t>CR101Q02S</t>
  </si>
  <si>
    <t>Rhino - Q02 (Scored Response)</t>
  </si>
  <si>
    <t>CR101Q03S</t>
  </si>
  <si>
    <t>Rhino - Q03 (Scored Response)</t>
  </si>
  <si>
    <t>CR101Q04S</t>
  </si>
  <si>
    <t>Rhino - Q04 (Scored Response)</t>
  </si>
  <si>
    <t>CR101Q05S</t>
  </si>
  <si>
    <t>Rhino - Q05 (Scored Response)</t>
  </si>
  <si>
    <t>CR445Q03S</t>
  </si>
  <si>
    <t>Road - Q03 (Scored Response)</t>
  </si>
  <si>
    <t>DR445Q01C</t>
  </si>
  <si>
    <t>Road - Q01 (Coded Response)</t>
  </si>
  <si>
    <t>CR445Q04S</t>
  </si>
  <si>
    <t>Road - Q04 (Scored Response)</t>
  </si>
  <si>
    <t>CR445Q06S</t>
  </si>
  <si>
    <t>Road - Q06 (Scored Response)</t>
  </si>
  <si>
    <t>DR462Q02C</t>
  </si>
  <si>
    <t>Parcel Post - Q02 (Coded Response)</t>
  </si>
  <si>
    <t>DR462Q05C</t>
  </si>
  <si>
    <t>Parcel Post - Q05 (Coded Response)</t>
  </si>
  <si>
    <t>CR462Q04S</t>
  </si>
  <si>
    <t>Parcel Post - Q04 (Scored Response)</t>
  </si>
  <si>
    <t>CR435Q02S</t>
  </si>
  <si>
    <t>Dust Mites - Q02 (Scored Response)</t>
  </si>
  <si>
    <t>CR435Q01S</t>
  </si>
  <si>
    <t>Dust Mites - Q01 (Scored Response)</t>
  </si>
  <si>
    <t>DR435Q05C</t>
  </si>
  <si>
    <t>Dust Mites - Q05 (Coded Response)</t>
  </si>
  <si>
    <t>CR435Q08S</t>
  </si>
  <si>
    <t>Dust Mites - Q08 (Scored Response)</t>
  </si>
  <si>
    <t>DR465Q01C</t>
  </si>
  <si>
    <t>How to survive at work - Q01 (Coded Response)</t>
  </si>
  <si>
    <t>DR465Q02C</t>
  </si>
  <si>
    <t>How to survive at work - Q02 (Coded Response)</t>
  </si>
  <si>
    <t>DR465Q06C</t>
  </si>
  <si>
    <t>How to survive at work - Q06 (Coded Response)</t>
  </si>
  <si>
    <t>DR465Q05C</t>
  </si>
  <si>
    <t>How to survive at work - Q05 (Coded Response)</t>
  </si>
  <si>
    <t>R219Q01E</t>
  </si>
  <si>
    <t>Employment - Q01E (Coded Paper Response)</t>
  </si>
  <si>
    <t>PR219Q01S</t>
  </si>
  <si>
    <t>Employment - Q01 (Paper Scored Response)</t>
  </si>
  <si>
    <t>R219Q02</t>
  </si>
  <si>
    <t>Employment - Q02 (Coded Paper Response)</t>
  </si>
  <si>
    <t>PR067Q01S</t>
  </si>
  <si>
    <t>Aesop - Q01 (Paper Scored Response)</t>
  </si>
  <si>
    <t>R067Q04</t>
  </si>
  <si>
    <t>Aesop - Q04 (Coded Paper Response)</t>
  </si>
  <si>
    <t>R067Q05</t>
  </si>
  <si>
    <t>Aesop - Q05 (Coded Paper Response)</t>
  </si>
  <si>
    <t>R102Q04A</t>
  </si>
  <si>
    <t>Shirts - Q04A (Coded Paper Response)</t>
  </si>
  <si>
    <t>R102Q05</t>
  </si>
  <si>
    <t>Shirts - Q05 (Coded Paper Response)</t>
  </si>
  <si>
    <t>PR102Q07S</t>
  </si>
  <si>
    <t>Shirts - Q07 (Paper Scored Response)</t>
  </si>
  <si>
    <t>R220Q01</t>
  </si>
  <si>
    <t>South Pole - Q01 (Coded Paper Response)</t>
  </si>
  <si>
    <t>PR220Q02BS</t>
  </si>
  <si>
    <t>South Pole - Q02 (Paper Scored Response)</t>
  </si>
  <si>
    <t>PR220Q04S</t>
  </si>
  <si>
    <t>South Pole - Q04 (Paper Scored Response)</t>
  </si>
  <si>
    <t>PR220Q05S</t>
  </si>
  <si>
    <t>South Pole - Q05 (Paper Scored Response)</t>
  </si>
  <si>
    <t>PR220Q06S</t>
  </si>
  <si>
    <t>South Pole - Q06 (Paper Scored Response)</t>
  </si>
  <si>
    <t>PR227Q01S</t>
  </si>
  <si>
    <t>Optician - Q01 (Paper Scored Response)</t>
  </si>
  <si>
    <t>PR227Q02S</t>
  </si>
  <si>
    <t>Optician - Q02 (Paper Scored Response)</t>
  </si>
  <si>
    <t>R227Q03</t>
  </si>
  <si>
    <t>Optician - Q03 (Coded Paper Response)</t>
  </si>
  <si>
    <t>R227Q06</t>
  </si>
  <si>
    <t>Optician - Q06 (Coded Paper Response)</t>
  </si>
  <si>
    <t>PR111Q01S</t>
  </si>
  <si>
    <t>Exchange - Q01 (Paper Scored Response)</t>
  </si>
  <si>
    <t>R111Q02B</t>
  </si>
  <si>
    <t>Exchange - Q02B (Coded Paper Response)</t>
  </si>
  <si>
    <t>R111Q06B</t>
  </si>
  <si>
    <t>Exchange - Q06B (Coded Paper Response)</t>
  </si>
  <si>
    <t>PR055Q01S</t>
  </si>
  <si>
    <t>Drugged Spiders - Q01 (Paper Scored Response)</t>
  </si>
  <si>
    <t>R055Q02</t>
  </si>
  <si>
    <t>Drugged Spiders - Q02 (Coded Paper Response)</t>
  </si>
  <si>
    <t>R055Q03</t>
  </si>
  <si>
    <t>Drugged Spiders - Q03 (Coded Paper Response)</t>
  </si>
  <si>
    <t>R055Q05</t>
  </si>
  <si>
    <t>Drugged Spiders - Q05 (Coded Paper Response)</t>
  </si>
  <si>
    <t>R104Q01</t>
  </si>
  <si>
    <t>Telephone - Q01 (Coded Paper Response)</t>
  </si>
  <si>
    <t>R104Q02</t>
  </si>
  <si>
    <t>Telephone - Q02 (Coded Paper Response)</t>
  </si>
  <si>
    <t>R104Q05</t>
  </si>
  <si>
    <t>Telephone - Q05 (Coded Paper Response)</t>
  </si>
  <si>
    <t>PR420Q02</t>
  </si>
  <si>
    <t>Children's Futures - Q02 (Coded Paper Response)</t>
  </si>
  <si>
    <t>PR420Q10</t>
  </si>
  <si>
    <t>Children's Futures - Q10 (Coded Paper Response)</t>
  </si>
  <si>
    <t>PR420Q06</t>
  </si>
  <si>
    <t>Children's Futures - Q06 (Coded Paper Response)</t>
  </si>
  <si>
    <t>PR420Q09</t>
  </si>
  <si>
    <t>Children's Futures - Q09 (Coded Paper Response)</t>
  </si>
  <si>
    <t>PR453Q01S</t>
  </si>
  <si>
    <t>Summer Job - Q01 (Paper Scored Response)</t>
  </si>
  <si>
    <t>PR453Q04</t>
  </si>
  <si>
    <t>Summer Job - Q04 (Coded Paper Response)</t>
  </si>
  <si>
    <t>PR453Q05S</t>
  </si>
  <si>
    <t>Summer Job - Q05 (Paper Scored Response)</t>
  </si>
  <si>
    <t>PR453Q06</t>
  </si>
  <si>
    <t>Summer Job - Q06 (Coded Paper Response)</t>
  </si>
  <si>
    <t>PR412Q01S</t>
  </si>
  <si>
    <t>World Languages - Q01 (Paper Scored Response)</t>
  </si>
  <si>
    <t>PR412Q05S</t>
  </si>
  <si>
    <t>World Languages - Q05 (Paper Scored Response)</t>
  </si>
  <si>
    <t>PR412Q08</t>
  </si>
  <si>
    <t>World Languages - Q08 (Coded Paper Response)</t>
  </si>
  <si>
    <t>PR412Q06S</t>
  </si>
  <si>
    <t>World Languages - Q06 (Paper Scored Response)</t>
  </si>
  <si>
    <t>PR437Q01S</t>
  </si>
  <si>
    <t>Narcissus - Q01 (Paper Scored Response)</t>
  </si>
  <si>
    <t>PR437Q07</t>
  </si>
  <si>
    <t>Narcissus - Q07 (Coded Paper Response)</t>
  </si>
  <si>
    <t>PR437Q06S</t>
  </si>
  <si>
    <t>Narcissus - Q06 (Paper Scored Response)</t>
  </si>
  <si>
    <t>PR456Q01S</t>
  </si>
  <si>
    <t>Biscuits - Q01 (Paper Scored Response)</t>
  </si>
  <si>
    <t>PR456Q02</t>
  </si>
  <si>
    <t>Biscuits - Q02 (Coded Paper Response)</t>
  </si>
  <si>
    <t>PR456Q06</t>
  </si>
  <si>
    <t>Biscuits - Q06 (Coded Paper Response)</t>
  </si>
  <si>
    <t>PR466Q02</t>
  </si>
  <si>
    <t>Work Right - Q02 (Coded Paper Response)</t>
  </si>
  <si>
    <t>PR466Q03S</t>
  </si>
  <si>
    <t>Work Right - Q03 (Paper Scored Response)</t>
  </si>
  <si>
    <t>PR466Q06</t>
  </si>
  <si>
    <t>Work Right - Q06 (Coded Paper Response)</t>
  </si>
  <si>
    <t>PR446Q03</t>
  </si>
  <si>
    <t>Job Vacancy - Q03 (Coded Paper Response)</t>
  </si>
  <si>
    <t>PR446Q06</t>
  </si>
  <si>
    <t>Job Vacancy - Q06 (Coded Paper Response)</t>
  </si>
  <si>
    <t>PR432Q01</t>
  </si>
  <si>
    <t>About a book - Q01 (Coded Paper Response)</t>
  </si>
  <si>
    <t>PR432Q05</t>
  </si>
  <si>
    <t>About a book - Q05 (Coded Paper Response)</t>
  </si>
  <si>
    <t>PR432Q06S</t>
  </si>
  <si>
    <t>About a book - Q06 (Paper Scored Response)</t>
  </si>
  <si>
    <t>R460Q01</t>
  </si>
  <si>
    <t>Gulf of Mexico - Q01 (Coded Paper Response)</t>
  </si>
  <si>
    <t>PR460Q05S</t>
  </si>
  <si>
    <t>Gulf of Mexico - Q05 (Paper Scored Response)</t>
  </si>
  <si>
    <t>PR460Q06S</t>
  </si>
  <si>
    <t>Gulf of Mexico - Q06 (Paper Scored Response)</t>
  </si>
  <si>
    <t>PR424Q02S</t>
  </si>
  <si>
    <t>Fair Trade - Q02 (Paper Scored Response)</t>
  </si>
  <si>
    <t>PR424Q03S</t>
  </si>
  <si>
    <t>Fair Trade - Q03 (Paper Scored Response)</t>
  </si>
  <si>
    <t>PR424Q07S</t>
  </si>
  <si>
    <t>Fair Trade - Q07 (Paper Scored Response)</t>
  </si>
  <si>
    <t>PR404Q03S</t>
  </si>
  <si>
    <t>Sleep - Q03 (Paper Scored Response)</t>
  </si>
  <si>
    <t>PR404Q06S</t>
  </si>
  <si>
    <t>Sleep - Q06 (Paper Scored Response)</t>
  </si>
  <si>
    <t>PR404Q07S</t>
  </si>
  <si>
    <t>Sleep - Q07 (Paper Scored Response)</t>
  </si>
  <si>
    <t>PR404Q10A</t>
  </si>
  <si>
    <t>Sleep - Q10A (Coded Paper Response)</t>
  </si>
  <si>
    <t>PR404Q10B</t>
  </si>
  <si>
    <t>Sleep - Q10B (Coded Paper Response)</t>
  </si>
  <si>
    <t>PR406Q01</t>
  </si>
  <si>
    <t>Kokeshi Dolls - Q01 (Coded Paper Response)</t>
  </si>
  <si>
    <t>PR406Q05</t>
  </si>
  <si>
    <t>Kokeshi Dolls - Q05 (Coded Paper Response)</t>
  </si>
  <si>
    <t>PR406Q02</t>
  </si>
  <si>
    <t>Kokeshi Dolls - Q02 (Coded Paper Response)</t>
  </si>
  <si>
    <t>PR455Q02</t>
  </si>
  <si>
    <t>Chocolate and Health - Q02 (Coded Paper Response)</t>
  </si>
  <si>
    <t>PR455Q03</t>
  </si>
  <si>
    <t>Chocolate and Health - Q03 (Coded Paper Response)</t>
  </si>
  <si>
    <t>PR455Q04S</t>
  </si>
  <si>
    <t>Chocolate and Health - Q04 (Paper Scored Response)</t>
  </si>
  <si>
    <t>PR455Q05S</t>
  </si>
  <si>
    <t>Chocolate and Health - Q05 (Paper Scored Response)</t>
  </si>
  <si>
    <t>PR083Q01S</t>
  </si>
  <si>
    <t>Household Work - Q01 (Paper Scored Response)</t>
  </si>
  <si>
    <t>R083Q02</t>
  </si>
  <si>
    <t>Household Work - Q02 (Coded Paper Response)</t>
  </si>
  <si>
    <t>R083Q03</t>
  </si>
  <si>
    <t>Household Work - Q03 (Coded Paper Response)</t>
  </si>
  <si>
    <t>PR083Q04S</t>
  </si>
  <si>
    <t>Household Work - Q04 (Paper Scored Response)</t>
  </si>
  <si>
    <t>R442Q02</t>
  </si>
  <si>
    <t>Galileo - Q02 (Coded Paper Response)</t>
  </si>
  <si>
    <t>R442Q03</t>
  </si>
  <si>
    <t>Galileo - Q03 (Coded Paper Response)</t>
  </si>
  <si>
    <t>R442Q05</t>
  </si>
  <si>
    <t>Galileo - Q05 (Coded Paper Response)</t>
  </si>
  <si>
    <t>R442Q06</t>
  </si>
  <si>
    <t>Galileo - Q06 (Coded Paper Response)</t>
  </si>
  <si>
    <t>PR442Q07S</t>
  </si>
  <si>
    <t>Galileo - Q07 (Paper Scored Response)</t>
  </si>
  <si>
    <t>R245Q01</t>
  </si>
  <si>
    <t>Movie Reviews - Q01 (Coded Paper Response)</t>
  </si>
  <si>
    <t>R245Q02</t>
  </si>
  <si>
    <t>Movie Reviews - Q02 (Coded Paper Response)</t>
  </si>
  <si>
    <t>PR101Q01S</t>
  </si>
  <si>
    <t>Rhino - Q01 (Paper Scored Response)</t>
  </si>
  <si>
    <t>PR101Q02S</t>
  </si>
  <si>
    <t>Rhino - Q02 (Paper Scored Response)</t>
  </si>
  <si>
    <t>PR101Q03S</t>
  </si>
  <si>
    <t>Rhino - Q03 (Paper Scored Response)</t>
  </si>
  <si>
    <t>PR101Q04S</t>
  </si>
  <si>
    <t>Rhino - Q04 (Paper Scored Response)</t>
  </si>
  <si>
    <t>PR101Q05S</t>
  </si>
  <si>
    <t>Rhino - Q05 (Paper Scored Response)</t>
  </si>
  <si>
    <t>PR445Q03S</t>
  </si>
  <si>
    <t>Road - Q03 (Paper Scored Response)</t>
  </si>
  <si>
    <t>R445Q01</t>
  </si>
  <si>
    <t>Road - Q01 (Coded Paper Response)</t>
  </si>
  <si>
    <t>PR445Q04S</t>
  </si>
  <si>
    <t>Road - Q04 (Paper Scored Response)</t>
  </si>
  <si>
    <t>PR445Q06S</t>
  </si>
  <si>
    <t>Road - Q06 (Paper Scored Response)</t>
  </si>
  <si>
    <t>R462Q02</t>
  </si>
  <si>
    <t>Parcel Post - Q02 (Coded Paper Response)</t>
  </si>
  <si>
    <t>R462Q05</t>
  </si>
  <si>
    <t>Parcel Post - Q05 (Coded Paper Response)</t>
  </si>
  <si>
    <t>PR462Q04S</t>
  </si>
  <si>
    <t>Parcel Post - Q04 (Paper Scored Response)</t>
  </si>
  <si>
    <t>R435Q02</t>
  </si>
  <si>
    <t>Dust Mites - Q02 (Coded Paper Response)</t>
  </si>
  <si>
    <t>PR435Q01S</t>
  </si>
  <si>
    <t>Dust Mites - Q01 (Paper Scored Response)</t>
  </si>
  <si>
    <t>R435Q05</t>
  </si>
  <si>
    <t>Dust Mites - Q05 (Coded Paper Response)</t>
  </si>
  <si>
    <t>PR435Q08S</t>
  </si>
  <si>
    <t>Dust Mites - Q08 (Paper Scored Response)</t>
  </si>
  <si>
    <t>R465Q01</t>
  </si>
  <si>
    <t>How to survive at work - Q01 (Coded Paper Response)</t>
  </si>
  <si>
    <t>R465Q02</t>
  </si>
  <si>
    <t>How to survive at work - Q02 (Coded Paper Response)</t>
  </si>
  <si>
    <t>R465Q06</t>
  </si>
  <si>
    <t>How to survive at work - Q06 (Coded Paper Response)</t>
  </si>
  <si>
    <t>R465Q05</t>
  </si>
  <si>
    <t>How to survive at work - Q05 (Coded Paper Response)</t>
  </si>
  <si>
    <t>Cognitive items: Overall Reading results</t>
  </si>
  <si>
    <t>DR219Q01EC: Employment - Q01E (Coded Response)</t>
  </si>
  <si>
    <t>N</t>
  </si>
  <si>
    <t>Missing</t>
  </si>
  <si>
    <t>0 - No credit</t>
  </si>
  <si>
    <t>1 - 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</si>
  <si>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</si>
  <si>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</si>
  <si>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</si>
  <si>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</si>
  <si>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</si>
  <si>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</si>
  <si>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</si>
  <si>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</si>
  <si>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</si>
  <si>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</si>
  <si>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</si>
  <si>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</si>
  <si>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</si>
  <si>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</si>
  <si>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</si>
  <si>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</si>
  <si>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</si>
  <si>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</si>
  <si>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</si>
  <si>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</si>
  <si>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</si>
  <si>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</si>
  <si>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</si>
  <si>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</si>
  <si>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</si>
  <si>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</si>
  <si>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</si>
  <si>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</si>
  <si>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</si>
  <si>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</si>
  <si>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</si>
  <si>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</si>
  <si>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</si>
  <si>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</si>
  <si>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</si>
  <si>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</si>
  <si>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</si>
  <si>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</si>
  <si>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</si>
  <si>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</si>
  <si>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</si>
  <si>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</si>
  <si>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</si>
  <si>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</si>
  <si>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</si>
  <si>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</si>
  <si>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</si>
  <si>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</si>
  <si>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</si>
  <si>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</si>
  <si>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</si>
  <si>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</si>
  <si>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</si>
  <si>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</si>
  <si>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</si>
  <si>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</si>
  <si>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</si>
  <si>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</si>
  <si>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</si>
  <si>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</si>
  <si>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</si>
  <si>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</si>
  <si>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</si>
  <si>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</si>
  <si>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</si>
  <si>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</si>
  <si>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</si>
  <si>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</si>
  <si>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</si>
  <si>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</si>
  <si>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</si>
  <si>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</si>
  <si>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</si>
  <si>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</si>
  <si>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</si>
  <si>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</si>
  <si>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</si>
  <si>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</si>
  <si>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</si>
  <si>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</si>
  <si>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</si>
  <si>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</si>
  <si>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</si>
  <si>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</si>
  <si>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</si>
  <si>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</si>
  <si>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</si>
  <si>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</si>
  <si>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</si>
  <si>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</si>
  <si>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</si>
  <si>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</si>
  <si>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</si>
  <si>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</si>
  <si>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</si>
  <si>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</si>
  <si>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</si>
  <si>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</si>
  <si>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</si>
  <si>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DR219Q01C: Employment - Q01 (Coded Response)</t>
  </si>
  <si>
    <t>DR219Q02C: Employment - Q02 (Coded Response)</t>
  </si>
  <si>
    <t>CR067Q01S: Aesop - Q01 (Scored Response)</t>
  </si>
  <si>
    <t>No credit</t>
  </si>
  <si>
    <t>Full credit</t>
  </si>
  <si>
    <t>DR067Q04C: Aesop - Q04 (Coded Response)</t>
  </si>
  <si>
    <t>1 - Partial credit</t>
  </si>
  <si>
    <t>2 - Full credit</t>
  </si>
  <si>
    <t>DR067Q05C: Aesop - Q05 (Coded Response)</t>
  </si>
  <si>
    <t>DR102Q04C: Shirts - Q04 (Coded Response)</t>
  </si>
  <si>
    <t>DR102Q05C: Shirts - Q05 (Coded Response)</t>
  </si>
  <si>
    <t>CR102Q07S: Shirts - Q07 (Scored Response)</t>
  </si>
  <si>
    <t>CR220Q01S: South Pole - Q01 (Scored Response)</t>
  </si>
  <si>
    <t>CR220Q02S: South Pole - Q02 (Scored Response)</t>
  </si>
  <si>
    <t>CR220Q04S: South Pole - Q04 (Scored Response)</t>
  </si>
  <si>
    <t>CR220Q05S: South Pole - Q05 (Scored Response)</t>
  </si>
  <si>
    <t>CR220Q06S: South Pole - Q06 (Scored Response)</t>
  </si>
  <si>
    <t>CR227Q01S: Optician - Q01 (Scored Response)</t>
  </si>
  <si>
    <t>CR227Q02S: Optician - Q02 (Scored Response)</t>
  </si>
  <si>
    <t>Partial credit</t>
  </si>
  <si>
    <t>DR227Q03C: Optician - Q03 (Coded Response)</t>
  </si>
  <si>
    <t>DR227Q06C: Optician - Q06 (Coded Response)</t>
  </si>
  <si>
    <t>CR111Q01S: Exchange - Q01 (Scored Response)</t>
  </si>
  <si>
    <t>DR111Q02BC: Exchange - Q02B (Coded Response)</t>
  </si>
  <si>
    <t>DR111Q06C: Exchange - Q06 (Coded Response)</t>
  </si>
  <si>
    <t>CR055Q01S: Drugged Spiders - Q01 (Scored Response)</t>
  </si>
  <si>
    <t>DR055Q02C: Drugged Spiders - Q02 (Coded Response)</t>
  </si>
  <si>
    <t>DR055Q03C: Drugged Spiders - Q03 (Coded Response)</t>
  </si>
  <si>
    <t>1 - No credit</t>
  </si>
  <si>
    <t>DR055Q05C: Drugged Spiders - Q05 (Coded Response)</t>
  </si>
  <si>
    <t>CR104Q01S: Telephone - Q01 (Scored Response)</t>
  </si>
  <si>
    <t>CR104Q02S: Telephone - Q02 (Scored Response)</t>
  </si>
  <si>
    <t>CR104Q05S: Telephone - Q05 (Scored Response)</t>
  </si>
  <si>
    <t>DR420Q02C: Children's Futures - Q02 (Coded Response)</t>
  </si>
  <si>
    <t>DR420Q10C: Children's Futures - Q10 (Coded Response)</t>
  </si>
  <si>
    <t>DR420Q06C: Children's Futures - Q06 (Coded Response)</t>
  </si>
  <si>
    <t>DR420Q09C: Children's Futures - Q09 (Coded Response)</t>
  </si>
  <si>
    <t>CR453Q01S: Summer Job - Q01 (Scored Response)</t>
  </si>
  <si>
    <t>DR453Q04C: Summer Job - Q04 (Coded Response)</t>
  </si>
  <si>
    <t>CR453Q05S: Summer Job - Q05 (Scored Response)</t>
  </si>
  <si>
    <t>DR453Q06C: Summer Job - Q06 (Coded Response)</t>
  </si>
  <si>
    <t>CR412Q01S: World Languages - Q01 (Scored Response)</t>
  </si>
  <si>
    <t>CR412Q05S: World Languages - Q05 (Scored Response)</t>
  </si>
  <si>
    <t>DR412Q08C: World Languages - Q08 (Coded Response)</t>
  </si>
  <si>
    <t>CR412Q06S: World Languages - Q06 (Scored Response)</t>
  </si>
  <si>
    <t>CR437Q01S: Narcissus - Q01 (Scored Response)</t>
  </si>
  <si>
    <t>DR437Q07C: Narcissus - Q07 (Coded Response)</t>
  </si>
  <si>
    <t>CR437Q06S: Narcissus - Q06 (Scored Response)</t>
  </si>
  <si>
    <t>CR456Q01S: Biscuits - Q01 (Scored Response)</t>
  </si>
  <si>
    <t>DR456Q02C: Biscuits - Q02 (Coded Response)</t>
  </si>
  <si>
    <t>DR456Q06C: Biscuits - Q06 (Coded Response)</t>
  </si>
  <si>
    <t>DR466Q02C: Work Right - Q02 (Coded Response)</t>
  </si>
  <si>
    <t>CR466Q03S: Work Right - Q03 (Scored Response)</t>
  </si>
  <si>
    <t>CR466Q06S: Work Right - Q06 (Scored Response)</t>
  </si>
  <si>
    <t>CR446Q03S: Job Vacancy - Q03 (Scored Response)</t>
  </si>
  <si>
    <t>DR446Q06C: Job Vacancy - Q06 (Coded Response)</t>
  </si>
  <si>
    <t>DR432Q01C: About a book - Q01 (Coded Response)</t>
  </si>
  <si>
    <t>DR432Q05C: About a book - Q05 (Coded Response)</t>
  </si>
  <si>
    <t>CR432Q06S: About a book - Q06 (Scored Response)</t>
  </si>
  <si>
    <t>DR460Q01C: Gulf of Mexico - Q01 (Coded Response)</t>
  </si>
  <si>
    <t>CR460Q05S: Gulf of Mexico - Q05 (Scored Response)</t>
  </si>
  <si>
    <t>CR460Q06S: Gulf of Mexico - Q06 (Scored Response)</t>
  </si>
  <si>
    <t>CR424Q02S: Fair Trade - Q02 (Scored Response)</t>
  </si>
  <si>
    <t>CR424Q03S: Fair Trade - Q03 (Scored Response)</t>
  </si>
  <si>
    <t>CR424Q07S: Fair Trade - Q07 (Scored Response)</t>
  </si>
  <si>
    <t>CR404Q03S: Sleep - Q03 (Scored Response)</t>
  </si>
  <si>
    <t>CR404Q06S: Sleep - Q06 (Scored Response)</t>
  </si>
  <si>
    <t>CR404Q07S: Sleep - Q07 (Scored Response)</t>
  </si>
  <si>
    <t>DR404Q10AC: Sleep - Q10A (Coded Response)</t>
  </si>
  <si>
    <t>DR404Q10BC: Sleep - Q10B (Coded Response)</t>
  </si>
  <si>
    <t>DR406Q01C: Kokeshi Dolls - Q01 (Coded Response)</t>
  </si>
  <si>
    <t>DR406Q05C: Kokeshi Dolls - Q05 (Coded Response)</t>
  </si>
  <si>
    <t>DR406Q02C: Kokeshi Dolls - Q02 (Coded Response)</t>
  </si>
  <si>
    <t>DR455Q02C: Chocolate and Health - Q02 (Coded Response)</t>
  </si>
  <si>
    <t>DR455Q03C: Chocolate and Health - Q03 (Coded Response)</t>
  </si>
  <si>
    <t>CR455Q04S: Chocolate and Health - Q04 (Scored Response)</t>
  </si>
  <si>
    <t>CR455Q05S: Chocolate and Health - Q05 (Scored Response)</t>
  </si>
  <si>
    <t>CR083Q01S: Household Work - Q01 (Scored Response)</t>
  </si>
  <si>
    <t>CR083Q02S: Household Work - Q02 (Scored Response)</t>
  </si>
  <si>
    <t>CR083Q03S: Household Work - Q03 (Scored Response)</t>
  </si>
  <si>
    <t>CR083Q04S: Household Work - Q04 (Scored Response)</t>
  </si>
  <si>
    <t>DR442Q02C: Galileo - Q02 (Coded Response)</t>
  </si>
  <si>
    <t>DR442Q03C: Galileo - Q03 (Coded Response)</t>
  </si>
  <si>
    <t>DR442Q05C: Galileo - Q05 (Coded Response)</t>
  </si>
  <si>
    <t>DR442Q06C: Galileo - Q06 (Coded Response)</t>
  </si>
  <si>
    <t>CR442Q07S: Galileo - Q07 (Scored Response)</t>
  </si>
  <si>
    <t>CR245Q01S: Movie Reviews - Q01 (Scored Response)</t>
  </si>
  <si>
    <t>CR245Q02S: Movie Reviews - Q02 (Scored Response)</t>
  </si>
  <si>
    <t>CR101Q01S: Rhino - Q01 (Scored Response)</t>
  </si>
  <si>
    <t>CR101Q02S: Rhino - Q02 (Scored Response)</t>
  </si>
  <si>
    <t>CR101Q03S: Rhino - Q03 (Scored Response)</t>
  </si>
  <si>
    <t>CR101Q04S: Rhino - Q04 (Scored Response)</t>
  </si>
  <si>
    <t>CR101Q05S: Rhino - Q05 (Scored Response)</t>
  </si>
  <si>
    <t>CR445Q03S: Road - Q03 (Scored Response)</t>
  </si>
  <si>
    <t>DR445Q01C: Road - Q01 (Coded Response)</t>
  </si>
  <si>
    <t>CR445Q04S: Road - Q04 (Scored Response)</t>
  </si>
  <si>
    <t>CR445Q06S: Road - Q06 (Scored Response)</t>
  </si>
  <si>
    <t>DR462Q02C: Parcel Post - Q02 (Coded Response)</t>
  </si>
  <si>
    <t>DR462Q05C: Parcel Post - Q05 (Coded Response)</t>
  </si>
  <si>
    <t>CR462Q04S: Parcel Post - Q04 (Scored Response)</t>
  </si>
  <si>
    <t>CR435Q02S: Dust Mites - Q02 (Scored Response)</t>
  </si>
  <si>
    <t>CR435Q01S: Dust Mites - Q01 (Scored Response)</t>
  </si>
  <si>
    <t>DR435Q05C: Dust Mites - Q05 (Coded Response)</t>
  </si>
  <si>
    <t>CR435Q08S: Dust Mites - Q08 (Scored Response)</t>
  </si>
  <si>
    <t>DR465Q01C: How to survive at work - Q01 (Coded Response)</t>
  </si>
  <si>
    <t>DR465Q02C: How to survive at work - Q02 (Coded Response)</t>
  </si>
  <si>
    <t>DR465Q06C: How to survive at work - Q06 (Coded Response)</t>
  </si>
  <si>
    <t>DR465Q05C: How to survive at work - Q05 (Coded Response)</t>
  </si>
  <si>
    <t>R219Q01E: Employment - Q01E (Coded Paper Response)</t>
  </si>
  <si>
    <t>PR219Q01S: Employment - Q01 (Paper Scored Response)</t>
  </si>
  <si>
    <t>R219Q02: Employment - Q02 (Coded Paper Response)</t>
  </si>
  <si>
    <t>PR067Q01S: Aesop - Q01 (Paper Scored Response)</t>
  </si>
  <si>
    <t>R067Q04: Aesop - Q04 (Coded Paper Response)</t>
  </si>
  <si>
    <t>R067Q05: Aesop - Q05 (Coded Paper Response)</t>
  </si>
  <si>
    <t>R102Q04A: Shirts - Q04A (Coded Paper Response)</t>
  </si>
  <si>
    <t>R102Q05: Shirts - Q05 (Coded Paper Response)</t>
  </si>
  <si>
    <t>PR102Q07S: Shirts - Q07 (Paper Scored Response)</t>
  </si>
  <si>
    <t>R220Q01: South Pole - Q01 (Coded Paper Response)</t>
  </si>
  <si>
    <t>PR220Q02BS: South Pole - Q02 (Paper Scored Response)</t>
  </si>
  <si>
    <t>PR220Q04S: South Pole - Q04 (Paper Scored Response)</t>
  </si>
  <si>
    <t>PR220Q05S: South Pole - Q05 (Paper Scored Response)</t>
  </si>
  <si>
    <t>PR220Q06S: South Pole - Q06 (Paper Scored Response)</t>
  </si>
  <si>
    <t>PR227Q01S: Optician - Q01 (Paper Scored Response)</t>
  </si>
  <si>
    <t>PR227Q02S: Optician - Q02 (Paper Scored Response)</t>
  </si>
  <si>
    <t>R227Q03: Optician - Q03 (Coded Paper Response)</t>
  </si>
  <si>
    <t>R227Q06: Optician - Q06 (Coded Paper Response)</t>
  </si>
  <si>
    <t>PR111Q01S: Exchange - Q01 (Paper Scored Response)</t>
  </si>
  <si>
    <t>R111Q02B: Exchange - Q02B (Coded Paper Response)</t>
  </si>
  <si>
    <t>R111Q06B: Exchange - Q06B (Coded Paper Response)</t>
  </si>
  <si>
    <t>PR055Q01S: Drugged Spiders - Q01 (Paper Scored Response)</t>
  </si>
  <si>
    <t>R055Q02: Drugged Spiders - Q02 (Coded Paper Response)</t>
  </si>
  <si>
    <t>R055Q03: Drugged Spiders - Q03 (Coded Paper Response)</t>
  </si>
  <si>
    <t>R055Q05: Drugged Spiders - Q05 (Coded Paper Response)</t>
  </si>
  <si>
    <t>R104Q01: Telephone - Q01 (Coded Paper Response)</t>
  </si>
  <si>
    <t>R104Q02: Telephone - Q02 (Coded Paper Response)</t>
  </si>
  <si>
    <t>R104Q05: Telephone - Q05 (Coded Paper Response)</t>
  </si>
  <si>
    <t>PR420Q02: Children's Futures - Q02 (Coded Paper Response)</t>
  </si>
  <si>
    <t>PR420Q10: Children's Futures - Q10 (Coded Paper Response)</t>
  </si>
  <si>
    <t>PR420Q06: Children's Futures - Q06 (Coded Paper Response)</t>
  </si>
  <si>
    <t>PR420Q09: Children's Futures - Q09 (Coded Paper Response)</t>
  </si>
  <si>
    <t>PR453Q01S: Summer Job - Q01 (Paper Scored Response)</t>
  </si>
  <si>
    <t>PR453Q04: Summer Job - Q04 (Coded Paper Response)</t>
  </si>
  <si>
    <t>PR453Q05S: Summer Job - Q05 (Paper Scored Response)</t>
  </si>
  <si>
    <t>PR453Q06: Summer Job - Q06 (Coded Paper Response)</t>
  </si>
  <si>
    <t>PR412Q01S: World Languages - Q01 (Paper Scored Response)</t>
  </si>
  <si>
    <t>PR412Q05S: World Languages - Q05 (Paper Scored Response)</t>
  </si>
  <si>
    <t>PR412Q08: World Languages - Q08 (Coded Paper Response)</t>
  </si>
  <si>
    <t>PR412Q06S: World Languages - Q06 (Paper Scored Response)</t>
  </si>
  <si>
    <t>PR437Q01S: Narcissus - Q01 (Paper Scored Response)</t>
  </si>
  <si>
    <t>PR437Q07: Narcissus - Q07 (Coded Paper Response)</t>
  </si>
  <si>
    <t>PR437Q06S: Narcissus - Q06 (Paper Scored Response)</t>
  </si>
  <si>
    <t>PR456Q01S: Biscuits - Q01 (Paper Scored Response)</t>
  </si>
  <si>
    <t>PR456Q02: Biscuits - Q02 (Coded Paper Response)</t>
  </si>
  <si>
    <t>PR456Q06: Biscuits - Q06 (Coded Paper Response)</t>
  </si>
  <si>
    <t>PR466Q02: Work Right - Q02 (Coded Paper Response)</t>
  </si>
  <si>
    <t>PR466Q03S: Work Right - Q03 (Paper Scored Response)</t>
  </si>
  <si>
    <t>PR466Q06: Work Right - Q06 (Coded Paper Response)</t>
  </si>
  <si>
    <t>PR446Q03: Job Vacancy - Q03 (Coded Paper Response)</t>
  </si>
  <si>
    <t>PR446Q06: Job Vacancy - Q06 (Coded Paper Response)</t>
  </si>
  <si>
    <t>PR432Q01: About a book - Q01 (Coded Paper Response)</t>
  </si>
  <si>
    <t>PR432Q05: About a book - Q05 (Coded Paper Response)</t>
  </si>
  <si>
    <t>PR432Q06S: About a book - Q06 (Paper Scored Response)</t>
  </si>
  <si>
    <t>R460Q01: Gulf of Mexico - Q01 (Coded Paper Response)</t>
  </si>
  <si>
    <t>PR460Q05S: Gulf of Mexico - Q05 (Paper Scored Response)</t>
  </si>
  <si>
    <t>PR460Q06S: Gulf of Mexico - Q06 (Paper Scored Response)</t>
  </si>
  <si>
    <t>PR424Q02S: Fair Trade - Q02 (Paper Scored Response)</t>
  </si>
  <si>
    <t>PR424Q03S: Fair Trade - Q03 (Paper Scored Response)</t>
  </si>
  <si>
    <t>PR424Q07S: Fair Trade - Q07 (Paper Scored Response)</t>
  </si>
  <si>
    <t>PR404Q03S: Sleep - Q03 (Paper Scored Response)</t>
  </si>
  <si>
    <t>PR404Q06S: Sleep - Q06 (Paper Scored Response)</t>
  </si>
  <si>
    <t>PR404Q07S: Sleep - Q07 (Paper Scored Response)</t>
  </si>
  <si>
    <t>PR404Q10A: Sleep - Q10A (Coded Paper Response)</t>
  </si>
  <si>
    <t>PR404Q10B: Sleep - Q10B (Coded Paper Response)</t>
  </si>
  <si>
    <t>PR406Q01: Kokeshi Dolls - Q01 (Coded Paper Response)</t>
  </si>
  <si>
    <t>PR406Q05: Kokeshi Dolls - Q05 (Coded Paper Response)</t>
  </si>
  <si>
    <t>PR406Q02: Kokeshi Dolls - Q02 (Coded Paper Response)</t>
  </si>
  <si>
    <t>PR455Q02: Chocolate and Health - Q02 (Coded Paper Response)</t>
  </si>
  <si>
    <t>PR455Q03: Chocolate and Health - Q03 (Coded Paper Response)</t>
  </si>
  <si>
    <t>PR455Q04S: Chocolate and Health - Q04 (Paper Scored Response)</t>
  </si>
  <si>
    <t>PR455Q05S: Chocolate and Health - Q05 (Paper Scored Response)</t>
  </si>
  <si>
    <t>PR083Q01S: Household Work - Q01 (Paper Scored Response)</t>
  </si>
  <si>
    <t>R083Q02: Household Work - Q02 (Coded Paper Response)</t>
  </si>
  <si>
    <t>R083Q03: Household Work - Q03 (Coded Paper Response)</t>
  </si>
  <si>
    <t>PR083Q04S: Household Work - Q04 (Paper Scored Response)</t>
  </si>
  <si>
    <t>R442Q02: Galileo - Q02 (Coded Paper Response)</t>
  </si>
  <si>
    <t>R442Q03: Galileo - Q03 (Coded Paper Response)</t>
  </si>
  <si>
    <t>R442Q05: Galileo - Q05 (Coded Paper Response)</t>
  </si>
  <si>
    <t>R442Q06: Galileo - Q06 (Coded Paper Response)</t>
  </si>
  <si>
    <t>PR442Q07S: Galileo - Q07 (Paper Scored Response)</t>
  </si>
  <si>
    <t>R245Q01: Movie Reviews - Q01 (Coded Paper Response)</t>
  </si>
  <si>
    <t>R245Q02: Movie Reviews - Q02 (Coded Paper Response)</t>
  </si>
  <si>
    <t>PR101Q01S: Rhino - Q01 (Paper Scored Response)</t>
  </si>
  <si>
    <t>PR101Q02S: Rhino - Q02 (Paper Scored Response)</t>
  </si>
  <si>
    <t>PR101Q03S: Rhino - Q03 (Paper Scored Response)</t>
  </si>
  <si>
    <t>PR101Q04S: Rhino - Q04 (Paper Scored Response)</t>
  </si>
  <si>
    <t>PR101Q05S: Rhino - Q05 (Paper Scored Response)</t>
  </si>
  <si>
    <t>PR445Q03S: Road - Q03 (Paper Scored Response)</t>
  </si>
  <si>
    <t>R445Q01: Road - Q01 (Coded Paper Response)</t>
  </si>
  <si>
    <t>PR445Q04S: Road - Q04 (Paper Scored Response)</t>
  </si>
  <si>
    <t>PR445Q06S: Road - Q06 (Paper Scored Response)</t>
  </si>
  <si>
    <t>R462Q02: Parcel Post - Q02 (Coded Paper Response)</t>
  </si>
  <si>
    <t>R462Q05: Parcel Post - Q05 (Coded Paper Response)</t>
  </si>
  <si>
    <t>PR462Q04S: Parcel Post - Q04 (Paper Scored Response)</t>
  </si>
  <si>
    <t>R435Q02: Dust Mites - Q02 (Coded Paper Response)</t>
  </si>
  <si>
    <t>PR435Q01S: Dust Mites - Q01 (Paper Scored Response)</t>
  </si>
  <si>
    <t>R435Q05: Dust Mites - Q05 (Coded Paper Response)</t>
  </si>
  <si>
    <t>PR435Q08S: Dust Mites - Q08 (Paper Scored Response)</t>
  </si>
  <si>
    <t>R465Q01: How to survive at work - Q01 (Coded Paper Response)</t>
  </si>
  <si>
    <t>R465Q02: How to survive at work - Q02 (Coded Paper Response)</t>
  </si>
  <si>
    <t>R465Q06: How to survive at work - Q06 (Coded Paper Response)</t>
  </si>
  <si>
    <t>R465Q05: How to survive at work - Q05 (Coded Paper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</si>
</sst>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sharedStrings.xml" Type="http://schemas.openxmlformats.org/officeDocument/2006/relationships/sharedStrings"/><Relationship Id="rId209" Target="styles.xml" Type="http://schemas.openxmlformats.org/officeDocument/2006/relationships/styles"/><Relationship Id="rId210"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R219Q01EC'!A6" TargetMode="External" Type="http://schemas.openxmlformats.org/officeDocument/2006/relationships/hyperlink"/><Relationship Id="rId2" Target="#'DR219Q01C'!A6" TargetMode="External" Type="http://schemas.openxmlformats.org/officeDocument/2006/relationships/hyperlink"/><Relationship Id="rId3" Target="#'DR219Q02C'!A6" TargetMode="External" Type="http://schemas.openxmlformats.org/officeDocument/2006/relationships/hyperlink"/><Relationship Id="rId4" Target="#'CR067Q01S'!A6" TargetMode="External" Type="http://schemas.openxmlformats.org/officeDocument/2006/relationships/hyperlink"/><Relationship Id="rId5" Target="#'DR067Q04C'!A6" TargetMode="External" Type="http://schemas.openxmlformats.org/officeDocument/2006/relationships/hyperlink"/><Relationship Id="rId6" Target="#'DR067Q05C'!A6" TargetMode="External" Type="http://schemas.openxmlformats.org/officeDocument/2006/relationships/hyperlink"/><Relationship Id="rId7" Target="#'DR102Q04C'!A6" TargetMode="External" Type="http://schemas.openxmlformats.org/officeDocument/2006/relationships/hyperlink"/><Relationship Id="rId8" Target="#'DR102Q05C'!A6" TargetMode="External" Type="http://schemas.openxmlformats.org/officeDocument/2006/relationships/hyperlink"/><Relationship Id="rId9" Target="#'CR102Q07S'!A6" TargetMode="External" Type="http://schemas.openxmlformats.org/officeDocument/2006/relationships/hyperlink"/><Relationship Id="rId10" Target="#'CR220Q01S'!A6" TargetMode="External" Type="http://schemas.openxmlformats.org/officeDocument/2006/relationships/hyperlink"/><Relationship Id="rId11" Target="#'CR220Q02S'!A6" TargetMode="External" Type="http://schemas.openxmlformats.org/officeDocument/2006/relationships/hyperlink"/><Relationship Id="rId12" Target="#'CR220Q04S'!A6" TargetMode="External" Type="http://schemas.openxmlformats.org/officeDocument/2006/relationships/hyperlink"/><Relationship Id="rId13" Target="#'CR220Q05S'!A6" TargetMode="External" Type="http://schemas.openxmlformats.org/officeDocument/2006/relationships/hyperlink"/><Relationship Id="rId14" Target="#'CR220Q06S'!A6" TargetMode="External" Type="http://schemas.openxmlformats.org/officeDocument/2006/relationships/hyperlink"/><Relationship Id="rId15" Target="#'CR227Q01S'!A6" TargetMode="External" Type="http://schemas.openxmlformats.org/officeDocument/2006/relationships/hyperlink"/><Relationship Id="rId16" Target="#'CR227Q02S'!A6" TargetMode="External" Type="http://schemas.openxmlformats.org/officeDocument/2006/relationships/hyperlink"/><Relationship Id="rId17" Target="#'DR227Q03C'!A6" TargetMode="External" Type="http://schemas.openxmlformats.org/officeDocument/2006/relationships/hyperlink"/><Relationship Id="rId18" Target="#'DR227Q06C'!A6" TargetMode="External" Type="http://schemas.openxmlformats.org/officeDocument/2006/relationships/hyperlink"/><Relationship Id="rId19" Target="#'CR111Q01S'!A6" TargetMode="External" Type="http://schemas.openxmlformats.org/officeDocument/2006/relationships/hyperlink"/><Relationship Id="rId20" Target="#'DR111Q02BC'!A6" TargetMode="External" Type="http://schemas.openxmlformats.org/officeDocument/2006/relationships/hyperlink"/><Relationship Id="rId21" Target="#'DR111Q06C'!A6" TargetMode="External" Type="http://schemas.openxmlformats.org/officeDocument/2006/relationships/hyperlink"/><Relationship Id="rId22" Target="#'CR055Q01S'!A6" TargetMode="External" Type="http://schemas.openxmlformats.org/officeDocument/2006/relationships/hyperlink"/><Relationship Id="rId23" Target="#'DR055Q02C'!A6" TargetMode="External" Type="http://schemas.openxmlformats.org/officeDocument/2006/relationships/hyperlink"/><Relationship Id="rId24" Target="#'DR055Q03C'!A6" TargetMode="External" Type="http://schemas.openxmlformats.org/officeDocument/2006/relationships/hyperlink"/><Relationship Id="rId25" Target="#'DR055Q05C'!A6" TargetMode="External" Type="http://schemas.openxmlformats.org/officeDocument/2006/relationships/hyperlink"/><Relationship Id="rId26" Target="#'CR104Q01S'!A6" TargetMode="External" Type="http://schemas.openxmlformats.org/officeDocument/2006/relationships/hyperlink"/><Relationship Id="rId27" Target="#'CR104Q02S'!A6" TargetMode="External" Type="http://schemas.openxmlformats.org/officeDocument/2006/relationships/hyperlink"/><Relationship Id="rId28" Target="#'CR104Q05S'!A6" TargetMode="External" Type="http://schemas.openxmlformats.org/officeDocument/2006/relationships/hyperlink"/><Relationship Id="rId29" Target="#'DR420Q02C'!A6" TargetMode="External" Type="http://schemas.openxmlformats.org/officeDocument/2006/relationships/hyperlink"/><Relationship Id="rId30" Target="#'DR420Q10C'!A6" TargetMode="External" Type="http://schemas.openxmlformats.org/officeDocument/2006/relationships/hyperlink"/><Relationship Id="rId31" Target="#'DR420Q06C'!A6" TargetMode="External" Type="http://schemas.openxmlformats.org/officeDocument/2006/relationships/hyperlink"/><Relationship Id="rId32" Target="#'DR420Q09C'!A6" TargetMode="External" Type="http://schemas.openxmlformats.org/officeDocument/2006/relationships/hyperlink"/><Relationship Id="rId33" Target="#'CR453Q01S'!A6" TargetMode="External" Type="http://schemas.openxmlformats.org/officeDocument/2006/relationships/hyperlink"/><Relationship Id="rId34" Target="#'DR453Q04C'!A6" TargetMode="External" Type="http://schemas.openxmlformats.org/officeDocument/2006/relationships/hyperlink"/><Relationship Id="rId35" Target="#'CR453Q05S'!A6" TargetMode="External" Type="http://schemas.openxmlformats.org/officeDocument/2006/relationships/hyperlink"/><Relationship Id="rId36" Target="#'DR453Q06C'!A6" TargetMode="External" Type="http://schemas.openxmlformats.org/officeDocument/2006/relationships/hyperlink"/><Relationship Id="rId37" Target="#'CR412Q01S'!A6" TargetMode="External" Type="http://schemas.openxmlformats.org/officeDocument/2006/relationships/hyperlink"/><Relationship Id="rId38" Target="#'CR412Q05S'!A6" TargetMode="External" Type="http://schemas.openxmlformats.org/officeDocument/2006/relationships/hyperlink"/><Relationship Id="rId39" Target="#'DR412Q08C'!A6" TargetMode="External" Type="http://schemas.openxmlformats.org/officeDocument/2006/relationships/hyperlink"/><Relationship Id="rId40" Target="#'CR412Q06S'!A6" TargetMode="External" Type="http://schemas.openxmlformats.org/officeDocument/2006/relationships/hyperlink"/><Relationship Id="rId41" Target="#'CR437Q01S'!A6" TargetMode="External" Type="http://schemas.openxmlformats.org/officeDocument/2006/relationships/hyperlink"/><Relationship Id="rId42" Target="#'DR437Q07C'!A6" TargetMode="External" Type="http://schemas.openxmlformats.org/officeDocument/2006/relationships/hyperlink"/><Relationship Id="rId43" Target="#'CR437Q06S'!A6" TargetMode="External" Type="http://schemas.openxmlformats.org/officeDocument/2006/relationships/hyperlink"/><Relationship Id="rId44" Target="#'CR456Q01S'!A6" TargetMode="External" Type="http://schemas.openxmlformats.org/officeDocument/2006/relationships/hyperlink"/><Relationship Id="rId45" Target="#'DR456Q02C'!A6" TargetMode="External" Type="http://schemas.openxmlformats.org/officeDocument/2006/relationships/hyperlink"/><Relationship Id="rId46" Target="#'DR456Q06C'!A6" TargetMode="External" Type="http://schemas.openxmlformats.org/officeDocument/2006/relationships/hyperlink"/><Relationship Id="rId47" Target="#'DR466Q02C'!A6" TargetMode="External" Type="http://schemas.openxmlformats.org/officeDocument/2006/relationships/hyperlink"/><Relationship Id="rId48" Target="#'CR466Q03S'!A6" TargetMode="External" Type="http://schemas.openxmlformats.org/officeDocument/2006/relationships/hyperlink"/><Relationship Id="rId49" Target="#'CR466Q06S'!A6" TargetMode="External" Type="http://schemas.openxmlformats.org/officeDocument/2006/relationships/hyperlink"/><Relationship Id="rId50" Target="#'CR446Q03S'!A6" TargetMode="External" Type="http://schemas.openxmlformats.org/officeDocument/2006/relationships/hyperlink"/><Relationship Id="rId51" Target="#'DR446Q06C'!A6" TargetMode="External" Type="http://schemas.openxmlformats.org/officeDocument/2006/relationships/hyperlink"/><Relationship Id="rId52" Target="#'DR432Q01C'!A6" TargetMode="External" Type="http://schemas.openxmlformats.org/officeDocument/2006/relationships/hyperlink"/><Relationship Id="rId53" Target="#'DR432Q05C'!A6" TargetMode="External" Type="http://schemas.openxmlformats.org/officeDocument/2006/relationships/hyperlink"/><Relationship Id="rId54" Target="#'CR432Q06S'!A6" TargetMode="External" Type="http://schemas.openxmlformats.org/officeDocument/2006/relationships/hyperlink"/><Relationship Id="rId55" Target="#'DR460Q01C'!A6" TargetMode="External" Type="http://schemas.openxmlformats.org/officeDocument/2006/relationships/hyperlink"/><Relationship Id="rId56" Target="#'CR460Q05S'!A6" TargetMode="External" Type="http://schemas.openxmlformats.org/officeDocument/2006/relationships/hyperlink"/><Relationship Id="rId57" Target="#'CR460Q06S'!A6" TargetMode="External" Type="http://schemas.openxmlformats.org/officeDocument/2006/relationships/hyperlink"/><Relationship Id="rId58" Target="#'CR424Q02S'!A6" TargetMode="External" Type="http://schemas.openxmlformats.org/officeDocument/2006/relationships/hyperlink"/><Relationship Id="rId59" Target="#'CR424Q03S'!A6" TargetMode="External" Type="http://schemas.openxmlformats.org/officeDocument/2006/relationships/hyperlink"/><Relationship Id="rId60" Target="#'CR424Q07S'!A6" TargetMode="External" Type="http://schemas.openxmlformats.org/officeDocument/2006/relationships/hyperlink"/><Relationship Id="rId61" Target="#'CR404Q03S'!A6" TargetMode="External" Type="http://schemas.openxmlformats.org/officeDocument/2006/relationships/hyperlink"/><Relationship Id="rId62" Target="#'CR404Q06S'!A6" TargetMode="External" Type="http://schemas.openxmlformats.org/officeDocument/2006/relationships/hyperlink"/><Relationship Id="rId63" Target="#'CR404Q07S'!A6" TargetMode="External" Type="http://schemas.openxmlformats.org/officeDocument/2006/relationships/hyperlink"/><Relationship Id="rId64" Target="#'DR404Q10AC'!A6" TargetMode="External" Type="http://schemas.openxmlformats.org/officeDocument/2006/relationships/hyperlink"/><Relationship Id="rId65" Target="#'DR404Q10BC'!A6" TargetMode="External" Type="http://schemas.openxmlformats.org/officeDocument/2006/relationships/hyperlink"/><Relationship Id="rId66" Target="#'DR406Q01C'!A6" TargetMode="External" Type="http://schemas.openxmlformats.org/officeDocument/2006/relationships/hyperlink"/><Relationship Id="rId67" Target="#'DR406Q05C'!A6" TargetMode="External" Type="http://schemas.openxmlformats.org/officeDocument/2006/relationships/hyperlink"/><Relationship Id="rId68" Target="#'DR406Q02C'!A6" TargetMode="External" Type="http://schemas.openxmlformats.org/officeDocument/2006/relationships/hyperlink"/><Relationship Id="rId69" Target="#'DR455Q02C'!A6" TargetMode="External" Type="http://schemas.openxmlformats.org/officeDocument/2006/relationships/hyperlink"/><Relationship Id="rId70" Target="#'DR455Q03C'!A6" TargetMode="External" Type="http://schemas.openxmlformats.org/officeDocument/2006/relationships/hyperlink"/><Relationship Id="rId71" Target="#'CR455Q04S'!A6" TargetMode="External" Type="http://schemas.openxmlformats.org/officeDocument/2006/relationships/hyperlink"/><Relationship Id="rId72" Target="#'CR455Q05S'!A6" TargetMode="External" Type="http://schemas.openxmlformats.org/officeDocument/2006/relationships/hyperlink"/><Relationship Id="rId73" Target="#'CR083Q01S'!A6" TargetMode="External" Type="http://schemas.openxmlformats.org/officeDocument/2006/relationships/hyperlink"/><Relationship Id="rId74" Target="#'CR083Q02S'!A6" TargetMode="External" Type="http://schemas.openxmlformats.org/officeDocument/2006/relationships/hyperlink"/><Relationship Id="rId75" Target="#'CR083Q03S'!A6" TargetMode="External" Type="http://schemas.openxmlformats.org/officeDocument/2006/relationships/hyperlink"/><Relationship Id="rId76" Target="#'CR083Q04S'!A6" TargetMode="External" Type="http://schemas.openxmlformats.org/officeDocument/2006/relationships/hyperlink"/><Relationship Id="rId77" Target="#'DR442Q02C'!A6" TargetMode="External" Type="http://schemas.openxmlformats.org/officeDocument/2006/relationships/hyperlink"/><Relationship Id="rId78" Target="#'DR442Q03C'!A6" TargetMode="External" Type="http://schemas.openxmlformats.org/officeDocument/2006/relationships/hyperlink"/><Relationship Id="rId79" Target="#'DR442Q05C'!A6" TargetMode="External" Type="http://schemas.openxmlformats.org/officeDocument/2006/relationships/hyperlink"/><Relationship Id="rId80" Target="#'DR442Q06C'!A6" TargetMode="External" Type="http://schemas.openxmlformats.org/officeDocument/2006/relationships/hyperlink"/><Relationship Id="rId81" Target="#'CR442Q07S'!A6" TargetMode="External" Type="http://schemas.openxmlformats.org/officeDocument/2006/relationships/hyperlink"/><Relationship Id="rId82" Target="#'CR245Q01S'!A6" TargetMode="External" Type="http://schemas.openxmlformats.org/officeDocument/2006/relationships/hyperlink"/><Relationship Id="rId83" Target="#'CR245Q02S'!A6" TargetMode="External" Type="http://schemas.openxmlformats.org/officeDocument/2006/relationships/hyperlink"/><Relationship Id="rId84" Target="#'CR101Q01S'!A6" TargetMode="External" Type="http://schemas.openxmlformats.org/officeDocument/2006/relationships/hyperlink"/><Relationship Id="rId85" Target="#'CR101Q02S'!A6" TargetMode="External" Type="http://schemas.openxmlformats.org/officeDocument/2006/relationships/hyperlink"/><Relationship Id="rId86" Target="#'CR101Q03S'!A6" TargetMode="External" Type="http://schemas.openxmlformats.org/officeDocument/2006/relationships/hyperlink"/><Relationship Id="rId87" Target="#'CR101Q04S'!A6" TargetMode="External" Type="http://schemas.openxmlformats.org/officeDocument/2006/relationships/hyperlink"/><Relationship Id="rId88" Target="#'CR101Q05S'!A6" TargetMode="External" Type="http://schemas.openxmlformats.org/officeDocument/2006/relationships/hyperlink"/><Relationship Id="rId89" Target="#'CR445Q03S'!A6" TargetMode="External" Type="http://schemas.openxmlformats.org/officeDocument/2006/relationships/hyperlink"/><Relationship Id="rId90" Target="#'DR445Q01C'!A6" TargetMode="External" Type="http://schemas.openxmlformats.org/officeDocument/2006/relationships/hyperlink"/><Relationship Id="rId91" Target="#'CR445Q04S'!A6" TargetMode="External" Type="http://schemas.openxmlformats.org/officeDocument/2006/relationships/hyperlink"/><Relationship Id="rId92" Target="#'CR445Q06S'!A6" TargetMode="External" Type="http://schemas.openxmlformats.org/officeDocument/2006/relationships/hyperlink"/><Relationship Id="rId93" Target="#'DR462Q02C'!A6" TargetMode="External" Type="http://schemas.openxmlformats.org/officeDocument/2006/relationships/hyperlink"/><Relationship Id="rId94" Target="#'DR462Q05C'!A6" TargetMode="External" Type="http://schemas.openxmlformats.org/officeDocument/2006/relationships/hyperlink"/><Relationship Id="rId95" Target="#'CR462Q04S'!A6" TargetMode="External" Type="http://schemas.openxmlformats.org/officeDocument/2006/relationships/hyperlink"/><Relationship Id="rId96" Target="#'CR435Q02S'!A6" TargetMode="External" Type="http://schemas.openxmlformats.org/officeDocument/2006/relationships/hyperlink"/><Relationship Id="rId97" Target="#'CR435Q01S'!A6" TargetMode="External" Type="http://schemas.openxmlformats.org/officeDocument/2006/relationships/hyperlink"/><Relationship Id="rId98" Target="#'DR435Q05C'!A6" TargetMode="External" Type="http://schemas.openxmlformats.org/officeDocument/2006/relationships/hyperlink"/><Relationship Id="rId99" Target="#'CR435Q08S'!A6" TargetMode="External" Type="http://schemas.openxmlformats.org/officeDocument/2006/relationships/hyperlink"/><Relationship Id="rId100" Target="#'DR465Q01C'!A6" TargetMode="External" Type="http://schemas.openxmlformats.org/officeDocument/2006/relationships/hyperlink"/><Relationship Id="rId101" Target="#'DR465Q02C'!A6" TargetMode="External" Type="http://schemas.openxmlformats.org/officeDocument/2006/relationships/hyperlink"/><Relationship Id="rId102" Target="#'DR465Q06C'!A6" TargetMode="External" Type="http://schemas.openxmlformats.org/officeDocument/2006/relationships/hyperlink"/><Relationship Id="rId103" Target="#'DR465Q05C'!A6" TargetMode="External" Type="http://schemas.openxmlformats.org/officeDocument/2006/relationships/hyperlink"/><Relationship Id="rId104" Target="#'R219Q01E'!A6" TargetMode="External" Type="http://schemas.openxmlformats.org/officeDocument/2006/relationships/hyperlink"/><Relationship Id="rId105" Target="#'PR219Q01S'!A6" TargetMode="External" Type="http://schemas.openxmlformats.org/officeDocument/2006/relationships/hyperlink"/><Relationship Id="rId106" Target="#'R219Q02'!A6" TargetMode="External" Type="http://schemas.openxmlformats.org/officeDocument/2006/relationships/hyperlink"/><Relationship Id="rId107" Target="#'PR067Q01S'!A6" TargetMode="External" Type="http://schemas.openxmlformats.org/officeDocument/2006/relationships/hyperlink"/><Relationship Id="rId108" Target="#'R067Q04'!A6" TargetMode="External" Type="http://schemas.openxmlformats.org/officeDocument/2006/relationships/hyperlink"/><Relationship Id="rId109" Target="#'R067Q05'!A6" TargetMode="External" Type="http://schemas.openxmlformats.org/officeDocument/2006/relationships/hyperlink"/><Relationship Id="rId110" Target="#'R102Q04A'!A6" TargetMode="External" Type="http://schemas.openxmlformats.org/officeDocument/2006/relationships/hyperlink"/><Relationship Id="rId111" Target="#'R102Q05'!A6" TargetMode="External" Type="http://schemas.openxmlformats.org/officeDocument/2006/relationships/hyperlink"/><Relationship Id="rId112" Target="#'PR102Q07S'!A6" TargetMode="External" Type="http://schemas.openxmlformats.org/officeDocument/2006/relationships/hyperlink"/><Relationship Id="rId113" Target="#'R220Q01'!A6" TargetMode="External" Type="http://schemas.openxmlformats.org/officeDocument/2006/relationships/hyperlink"/><Relationship Id="rId114" Target="#'PR220Q02BS'!A6" TargetMode="External" Type="http://schemas.openxmlformats.org/officeDocument/2006/relationships/hyperlink"/><Relationship Id="rId115" Target="#'PR220Q04S'!A6" TargetMode="External" Type="http://schemas.openxmlformats.org/officeDocument/2006/relationships/hyperlink"/><Relationship Id="rId116" Target="#'PR220Q05S'!A6" TargetMode="External" Type="http://schemas.openxmlformats.org/officeDocument/2006/relationships/hyperlink"/><Relationship Id="rId117" Target="#'PR220Q06S'!A6" TargetMode="External" Type="http://schemas.openxmlformats.org/officeDocument/2006/relationships/hyperlink"/><Relationship Id="rId118" Target="#'PR227Q01S'!A6" TargetMode="External" Type="http://schemas.openxmlformats.org/officeDocument/2006/relationships/hyperlink"/><Relationship Id="rId119" Target="#'PR227Q02S'!A6" TargetMode="External" Type="http://schemas.openxmlformats.org/officeDocument/2006/relationships/hyperlink"/><Relationship Id="rId120" Target="#'R227Q03'!A6" TargetMode="External" Type="http://schemas.openxmlformats.org/officeDocument/2006/relationships/hyperlink"/><Relationship Id="rId121" Target="#'R227Q06'!A6" TargetMode="External" Type="http://schemas.openxmlformats.org/officeDocument/2006/relationships/hyperlink"/><Relationship Id="rId122" Target="#'PR111Q01S'!A6" TargetMode="External" Type="http://schemas.openxmlformats.org/officeDocument/2006/relationships/hyperlink"/><Relationship Id="rId123" Target="#'R111Q02B'!A6" TargetMode="External" Type="http://schemas.openxmlformats.org/officeDocument/2006/relationships/hyperlink"/><Relationship Id="rId124" Target="#'R111Q06B'!A6" TargetMode="External" Type="http://schemas.openxmlformats.org/officeDocument/2006/relationships/hyperlink"/><Relationship Id="rId125" Target="#'PR055Q01S'!A6" TargetMode="External" Type="http://schemas.openxmlformats.org/officeDocument/2006/relationships/hyperlink"/><Relationship Id="rId126" Target="#'R055Q02'!A6" TargetMode="External" Type="http://schemas.openxmlformats.org/officeDocument/2006/relationships/hyperlink"/><Relationship Id="rId127" Target="#'R055Q03'!A6" TargetMode="External" Type="http://schemas.openxmlformats.org/officeDocument/2006/relationships/hyperlink"/><Relationship Id="rId128" Target="#'R055Q05'!A6" TargetMode="External" Type="http://schemas.openxmlformats.org/officeDocument/2006/relationships/hyperlink"/><Relationship Id="rId129" Target="#'R104Q01'!A6" TargetMode="External" Type="http://schemas.openxmlformats.org/officeDocument/2006/relationships/hyperlink"/><Relationship Id="rId130" Target="#'R104Q02'!A6" TargetMode="External" Type="http://schemas.openxmlformats.org/officeDocument/2006/relationships/hyperlink"/><Relationship Id="rId131" Target="#'R104Q05'!A6" TargetMode="External" Type="http://schemas.openxmlformats.org/officeDocument/2006/relationships/hyperlink"/><Relationship Id="rId132" Target="#'PR420Q02'!A6" TargetMode="External" Type="http://schemas.openxmlformats.org/officeDocument/2006/relationships/hyperlink"/><Relationship Id="rId133" Target="#'PR420Q10'!A6" TargetMode="External" Type="http://schemas.openxmlformats.org/officeDocument/2006/relationships/hyperlink"/><Relationship Id="rId134" Target="#'PR420Q06'!A6" TargetMode="External" Type="http://schemas.openxmlformats.org/officeDocument/2006/relationships/hyperlink"/><Relationship Id="rId135" Target="#'PR420Q09'!A6" TargetMode="External" Type="http://schemas.openxmlformats.org/officeDocument/2006/relationships/hyperlink"/><Relationship Id="rId136" Target="#'PR453Q01S'!A6" TargetMode="External" Type="http://schemas.openxmlformats.org/officeDocument/2006/relationships/hyperlink"/><Relationship Id="rId137" Target="#'PR453Q04'!A6" TargetMode="External" Type="http://schemas.openxmlformats.org/officeDocument/2006/relationships/hyperlink"/><Relationship Id="rId138" Target="#'PR453Q05S'!A6" TargetMode="External" Type="http://schemas.openxmlformats.org/officeDocument/2006/relationships/hyperlink"/><Relationship Id="rId139" Target="#'PR453Q06'!A6" TargetMode="External" Type="http://schemas.openxmlformats.org/officeDocument/2006/relationships/hyperlink"/><Relationship Id="rId140" Target="#'PR412Q01S'!A6" TargetMode="External" Type="http://schemas.openxmlformats.org/officeDocument/2006/relationships/hyperlink"/><Relationship Id="rId141" Target="#'PR412Q05S'!A6" TargetMode="External" Type="http://schemas.openxmlformats.org/officeDocument/2006/relationships/hyperlink"/><Relationship Id="rId142" Target="#'PR412Q08'!A6" TargetMode="External" Type="http://schemas.openxmlformats.org/officeDocument/2006/relationships/hyperlink"/><Relationship Id="rId143" Target="#'PR412Q06S'!A6" TargetMode="External" Type="http://schemas.openxmlformats.org/officeDocument/2006/relationships/hyperlink"/><Relationship Id="rId144" Target="#'PR437Q01S'!A6" TargetMode="External" Type="http://schemas.openxmlformats.org/officeDocument/2006/relationships/hyperlink"/><Relationship Id="rId145" Target="#'PR437Q07'!A6" TargetMode="External" Type="http://schemas.openxmlformats.org/officeDocument/2006/relationships/hyperlink"/><Relationship Id="rId146" Target="#'PR437Q06S'!A6" TargetMode="External" Type="http://schemas.openxmlformats.org/officeDocument/2006/relationships/hyperlink"/><Relationship Id="rId147" Target="#'PR456Q01S'!A6" TargetMode="External" Type="http://schemas.openxmlformats.org/officeDocument/2006/relationships/hyperlink"/><Relationship Id="rId148" Target="#'PR456Q02'!A6" TargetMode="External" Type="http://schemas.openxmlformats.org/officeDocument/2006/relationships/hyperlink"/><Relationship Id="rId149" Target="#'PR456Q06'!A6" TargetMode="External" Type="http://schemas.openxmlformats.org/officeDocument/2006/relationships/hyperlink"/><Relationship Id="rId150" Target="#'PR466Q02'!A6" TargetMode="External" Type="http://schemas.openxmlformats.org/officeDocument/2006/relationships/hyperlink"/><Relationship Id="rId151" Target="#'PR466Q03S'!A6" TargetMode="External" Type="http://schemas.openxmlformats.org/officeDocument/2006/relationships/hyperlink"/><Relationship Id="rId152" Target="#'PR466Q06'!A6" TargetMode="External" Type="http://schemas.openxmlformats.org/officeDocument/2006/relationships/hyperlink"/><Relationship Id="rId153" Target="#'PR446Q03'!A6" TargetMode="External" Type="http://schemas.openxmlformats.org/officeDocument/2006/relationships/hyperlink"/><Relationship Id="rId154" Target="#'PR446Q06'!A6" TargetMode="External" Type="http://schemas.openxmlformats.org/officeDocument/2006/relationships/hyperlink"/><Relationship Id="rId155" Target="#'PR432Q01'!A6" TargetMode="External" Type="http://schemas.openxmlformats.org/officeDocument/2006/relationships/hyperlink"/><Relationship Id="rId156" Target="#'PR432Q05'!A6" TargetMode="External" Type="http://schemas.openxmlformats.org/officeDocument/2006/relationships/hyperlink"/><Relationship Id="rId157" Target="#'PR432Q06S'!A6" TargetMode="External" Type="http://schemas.openxmlformats.org/officeDocument/2006/relationships/hyperlink"/><Relationship Id="rId158" Target="#'R460Q01'!A6" TargetMode="External" Type="http://schemas.openxmlformats.org/officeDocument/2006/relationships/hyperlink"/><Relationship Id="rId159" Target="#'PR460Q05S'!A6" TargetMode="External" Type="http://schemas.openxmlformats.org/officeDocument/2006/relationships/hyperlink"/><Relationship Id="rId160" Target="#'PR460Q06S'!A6" TargetMode="External" Type="http://schemas.openxmlformats.org/officeDocument/2006/relationships/hyperlink"/><Relationship Id="rId161" Target="#'PR424Q02S'!A6" TargetMode="External" Type="http://schemas.openxmlformats.org/officeDocument/2006/relationships/hyperlink"/><Relationship Id="rId162" Target="#'PR424Q03S'!A6" TargetMode="External" Type="http://schemas.openxmlformats.org/officeDocument/2006/relationships/hyperlink"/><Relationship Id="rId163" Target="#'PR424Q07S'!A6" TargetMode="External" Type="http://schemas.openxmlformats.org/officeDocument/2006/relationships/hyperlink"/><Relationship Id="rId164" Target="#'PR404Q03S'!A6" TargetMode="External" Type="http://schemas.openxmlformats.org/officeDocument/2006/relationships/hyperlink"/><Relationship Id="rId165" Target="#'PR404Q06S'!A6" TargetMode="External" Type="http://schemas.openxmlformats.org/officeDocument/2006/relationships/hyperlink"/><Relationship Id="rId166" Target="#'PR404Q07S'!A6" TargetMode="External" Type="http://schemas.openxmlformats.org/officeDocument/2006/relationships/hyperlink"/><Relationship Id="rId167" Target="#'PR404Q10A'!A6" TargetMode="External" Type="http://schemas.openxmlformats.org/officeDocument/2006/relationships/hyperlink"/><Relationship Id="rId168" Target="#'PR404Q10B'!A6" TargetMode="External" Type="http://schemas.openxmlformats.org/officeDocument/2006/relationships/hyperlink"/><Relationship Id="rId169" Target="#'PR406Q01'!A6" TargetMode="External" Type="http://schemas.openxmlformats.org/officeDocument/2006/relationships/hyperlink"/><Relationship Id="rId170" Target="#'PR406Q05'!A6" TargetMode="External" Type="http://schemas.openxmlformats.org/officeDocument/2006/relationships/hyperlink"/><Relationship Id="rId171" Target="#'PR406Q02'!A6" TargetMode="External" Type="http://schemas.openxmlformats.org/officeDocument/2006/relationships/hyperlink"/><Relationship Id="rId172" Target="#'PR455Q02'!A6" TargetMode="External" Type="http://schemas.openxmlformats.org/officeDocument/2006/relationships/hyperlink"/><Relationship Id="rId173" Target="#'PR455Q03'!A6" TargetMode="External" Type="http://schemas.openxmlformats.org/officeDocument/2006/relationships/hyperlink"/><Relationship Id="rId174" Target="#'PR455Q04S'!A6" TargetMode="External" Type="http://schemas.openxmlformats.org/officeDocument/2006/relationships/hyperlink"/><Relationship Id="rId175" Target="#'PR455Q05S'!A6" TargetMode="External" Type="http://schemas.openxmlformats.org/officeDocument/2006/relationships/hyperlink"/><Relationship Id="rId176" Target="#'PR083Q01S'!A6" TargetMode="External" Type="http://schemas.openxmlformats.org/officeDocument/2006/relationships/hyperlink"/><Relationship Id="rId177" Target="#'R083Q02'!A6" TargetMode="External" Type="http://schemas.openxmlformats.org/officeDocument/2006/relationships/hyperlink"/><Relationship Id="rId178" Target="#'R083Q03'!A6" TargetMode="External" Type="http://schemas.openxmlformats.org/officeDocument/2006/relationships/hyperlink"/><Relationship Id="rId179" Target="#'PR083Q04S'!A6" TargetMode="External" Type="http://schemas.openxmlformats.org/officeDocument/2006/relationships/hyperlink"/><Relationship Id="rId180" Target="#'R442Q02'!A6" TargetMode="External" Type="http://schemas.openxmlformats.org/officeDocument/2006/relationships/hyperlink"/><Relationship Id="rId181" Target="#'R442Q03'!A6" TargetMode="External" Type="http://schemas.openxmlformats.org/officeDocument/2006/relationships/hyperlink"/><Relationship Id="rId182" Target="#'R442Q05'!A6" TargetMode="External" Type="http://schemas.openxmlformats.org/officeDocument/2006/relationships/hyperlink"/><Relationship Id="rId183" Target="#'R442Q06'!A6" TargetMode="External" Type="http://schemas.openxmlformats.org/officeDocument/2006/relationships/hyperlink"/><Relationship Id="rId184" Target="#'PR442Q07S'!A6" TargetMode="External" Type="http://schemas.openxmlformats.org/officeDocument/2006/relationships/hyperlink"/><Relationship Id="rId185" Target="#'R245Q01'!A6" TargetMode="External" Type="http://schemas.openxmlformats.org/officeDocument/2006/relationships/hyperlink"/><Relationship Id="rId186" Target="#'R245Q02'!A6" TargetMode="External" Type="http://schemas.openxmlformats.org/officeDocument/2006/relationships/hyperlink"/><Relationship Id="rId187" Target="#'PR101Q01S'!A6" TargetMode="External" Type="http://schemas.openxmlformats.org/officeDocument/2006/relationships/hyperlink"/><Relationship Id="rId188" Target="#'PR101Q02S'!A6" TargetMode="External" Type="http://schemas.openxmlformats.org/officeDocument/2006/relationships/hyperlink"/><Relationship Id="rId189" Target="#'PR101Q03S'!A6" TargetMode="External" Type="http://schemas.openxmlformats.org/officeDocument/2006/relationships/hyperlink"/><Relationship Id="rId190" Target="#'PR101Q04S'!A6" TargetMode="External" Type="http://schemas.openxmlformats.org/officeDocument/2006/relationships/hyperlink"/><Relationship Id="rId191" Target="#'PR101Q05S'!A6" TargetMode="External" Type="http://schemas.openxmlformats.org/officeDocument/2006/relationships/hyperlink"/><Relationship Id="rId192" Target="#'PR445Q03S'!A6" TargetMode="External" Type="http://schemas.openxmlformats.org/officeDocument/2006/relationships/hyperlink"/><Relationship Id="rId193" Target="#'R445Q01'!A6" TargetMode="External" Type="http://schemas.openxmlformats.org/officeDocument/2006/relationships/hyperlink"/><Relationship Id="rId194" Target="#'PR445Q04S'!A6" TargetMode="External" Type="http://schemas.openxmlformats.org/officeDocument/2006/relationships/hyperlink"/><Relationship Id="rId195" Target="#'PR445Q06S'!A6" TargetMode="External" Type="http://schemas.openxmlformats.org/officeDocument/2006/relationships/hyperlink"/><Relationship Id="rId196" Target="#'R462Q02'!A6" TargetMode="External" Type="http://schemas.openxmlformats.org/officeDocument/2006/relationships/hyperlink"/><Relationship Id="rId197" Target="#'R462Q05'!A6" TargetMode="External" Type="http://schemas.openxmlformats.org/officeDocument/2006/relationships/hyperlink"/><Relationship Id="rId198" Target="#'PR462Q04S'!A6" TargetMode="External" Type="http://schemas.openxmlformats.org/officeDocument/2006/relationships/hyperlink"/><Relationship Id="rId199" Target="#'R435Q02'!A6" TargetMode="External" Type="http://schemas.openxmlformats.org/officeDocument/2006/relationships/hyperlink"/><Relationship Id="rId200" Target="#'PR435Q01S'!A6" TargetMode="External" Type="http://schemas.openxmlformats.org/officeDocument/2006/relationships/hyperlink"/><Relationship Id="rId201" Target="#'R435Q05'!A6" TargetMode="External" Type="http://schemas.openxmlformats.org/officeDocument/2006/relationships/hyperlink"/><Relationship Id="rId202" Target="#'PR435Q08S'!A6" TargetMode="External" Type="http://schemas.openxmlformats.org/officeDocument/2006/relationships/hyperlink"/><Relationship Id="rId203" Target="#'R465Q01'!A6" TargetMode="External" Type="http://schemas.openxmlformats.org/officeDocument/2006/relationships/hyperlink"/><Relationship Id="rId204" Target="#'R465Q02'!A6" TargetMode="External" Type="http://schemas.openxmlformats.org/officeDocument/2006/relationships/hyperlink"/><Relationship Id="rId205" Target="#'R465Q06'!A6" TargetMode="External" Type="http://schemas.openxmlformats.org/officeDocument/2006/relationships/hyperlink"/><Relationship Id="rId206" Target="#'R465Q05'!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07"/>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414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(12711.0/B7*100)</f>
        <v/>
      </c>
      <c r="D7" s="19" t="n">
        <v>1819</v>
      </c>
      <c r="E7" s="18" t="n">
        <v>15.63677041</v>
      </c>
      <c r="F7" s="20" t="n">
        <v>0.96165076</v>
      </c>
      <c r="G7" s="18" t="n">
        <v>75.8556932</v>
      </c>
      <c r="H7" s="20" t="n">
        <v>1.07814747</v>
      </c>
      <c r="I7" s="18" t="n">
        <v>0</v>
      </c>
      <c r="J7" s="20" t="n">
        <v>0</v>
      </c>
      <c r="K7" s="18" t="n">
        <v>0.11222737</v>
      </c>
      <c r="L7" s="20" t="n">
        <v>0.09988547</v>
      </c>
      <c r="M7" s="18" t="n">
        <v>0</v>
      </c>
      <c r="N7" s="20" t="n">
        <v>0</v>
      </c>
      <c r="O7" s="18" t="n">
        <v>0</v>
      </c>
      <c r="P7" s="20" t="n">
        <v>0</v>
      </c>
      <c r="Q7" s="18" t="n">
        <v>8.395309019999999</v>
      </c>
      <c r="R7" s="20" t="n">
        <v>0.6452843</v>
      </c>
    </row>
    <row r="8" spans="1:18">
      <c r="A8" s="15" t="s">
        <v>430</v>
      </c>
      <c r="B8" s="17" t="n">
        <v>7007</v>
      </c>
      <c r="C8" s="18">
        <f>(6159.0/B8*100)</f>
        <v/>
      </c>
      <c r="D8" s="19" t="n">
        <v>848</v>
      </c>
      <c r="E8" s="18" t="n">
        <v>14.02675545</v>
      </c>
      <c r="F8" s="20" t="n">
        <v>1.33962621</v>
      </c>
      <c r="G8" s="18" t="n">
        <v>76.79440907999999</v>
      </c>
      <c r="H8" s="20" t="n">
        <v>1.7505678</v>
      </c>
      <c r="I8" s="18" t="n">
        <v>0</v>
      </c>
      <c r="J8" s="20" t="n">
        <v>0</v>
      </c>
      <c r="K8" s="18" t="n">
        <v>0</v>
      </c>
      <c r="L8" s="20" t="n">
        <v>0</v>
      </c>
      <c r="M8" s="18" t="n">
        <v>0</v>
      </c>
      <c r="N8" s="20" t="n">
        <v>0</v>
      </c>
      <c r="O8" s="18" t="n">
        <v>0</v>
      </c>
      <c r="P8" s="20" t="n">
        <v>0</v>
      </c>
      <c r="Q8" s="18" t="n">
        <v>9.178835469999999</v>
      </c>
      <c r="R8" s="20" t="n">
        <v>1.0663557</v>
      </c>
    </row>
    <row r="9" spans="1:18">
      <c r="A9" s="15" t="s">
        <v>431</v>
      </c>
      <c r="B9" s="17" t="n">
        <v>9651</v>
      </c>
      <c r="C9" s="18">
        <f>(8500.0/B9*100)</f>
        <v/>
      </c>
      <c r="D9" s="19" t="n">
        <v>1151</v>
      </c>
      <c r="E9" s="18" t="n">
        <v>16.84046502</v>
      </c>
      <c r="F9" s="20" t="n">
        <v>1.19362383</v>
      </c>
      <c r="G9" s="18" t="n">
        <v>73.98792858</v>
      </c>
      <c r="H9" s="20" t="n">
        <v>1.34297766</v>
      </c>
      <c r="I9" s="18" t="n">
        <v>0</v>
      </c>
      <c r="J9" s="20" t="n">
        <v>0</v>
      </c>
      <c r="K9" s="18" t="n">
        <v>0.07781697999999999</v>
      </c>
      <c r="L9" s="20" t="n">
        <v>0.07518294</v>
      </c>
      <c r="M9" s="18" t="n">
        <v>0</v>
      </c>
      <c r="N9" s="20" t="n">
        <v>0</v>
      </c>
      <c r="O9" s="18" t="n">
        <v>0</v>
      </c>
      <c r="P9" s="20" t="n">
        <v>0</v>
      </c>
      <c r="Q9" s="18" t="n">
        <v>9.09378942</v>
      </c>
      <c r="R9" s="20" t="n">
        <v>0.70575681</v>
      </c>
    </row>
    <row r="10" spans="1:18">
      <c r="A10" s="15" t="s">
        <v>432</v>
      </c>
      <c r="B10" s="17" t="n">
        <v>20058</v>
      </c>
      <c r="C10" s="18">
        <f>(17617.0/B10*100)</f>
        <v/>
      </c>
      <c r="D10" s="19" t="n">
        <v>2441</v>
      </c>
      <c r="E10" s="18" t="n">
        <v>19.86208683</v>
      </c>
      <c r="F10" s="20" t="n">
        <v>1.15021636</v>
      </c>
      <c r="G10" s="18" t="n">
        <v>72.90364803999999</v>
      </c>
      <c r="H10" s="20" t="n">
        <v>1.39572619</v>
      </c>
      <c r="I10" s="18" t="n">
        <v>0</v>
      </c>
      <c r="J10" s="20" t="n">
        <v>0</v>
      </c>
      <c r="K10" s="18" t="n">
        <v>0.10618841</v>
      </c>
      <c r="L10" s="20" t="n">
        <v>0.10092006</v>
      </c>
      <c r="M10" s="18" t="n">
        <v>0</v>
      </c>
      <c r="N10" s="20" t="n">
        <v>0</v>
      </c>
      <c r="O10" s="18" t="n">
        <v>0</v>
      </c>
      <c r="P10" s="20" t="n">
        <v>0</v>
      </c>
      <c r="Q10" s="18" t="n">
        <v>7.12807672</v>
      </c>
      <c r="R10" s="20" t="n">
        <v>0.79910568</v>
      </c>
    </row>
    <row r="11" spans="1:18">
      <c r="A11" s="15" t="s">
        <v>433</v>
      </c>
      <c r="B11" s="17" t="n">
        <v>7053</v>
      </c>
      <c r="C11" s="18">
        <f>(6187.0/B11*100)</f>
        <v/>
      </c>
      <c r="D11" s="19" t="n">
        <v>866</v>
      </c>
      <c r="E11" s="18" t="n">
        <v>33.61056311</v>
      </c>
      <c r="F11" s="20" t="n">
        <v>2.09636177</v>
      </c>
      <c r="G11" s="18" t="n">
        <v>37.52534138</v>
      </c>
      <c r="H11" s="20" t="n">
        <v>2.13072725</v>
      </c>
      <c r="I11" s="18" t="n">
        <v>0</v>
      </c>
      <c r="J11" s="20" t="n">
        <v>0</v>
      </c>
      <c r="K11" s="18" t="n">
        <v>0</v>
      </c>
      <c r="L11" s="20" t="n">
        <v>0</v>
      </c>
      <c r="M11" s="18" t="n">
        <v>0</v>
      </c>
      <c r="N11" s="20" t="n">
        <v>0</v>
      </c>
      <c r="O11" s="18" t="n">
        <v>0</v>
      </c>
      <c r="P11" s="20" t="n">
        <v>0</v>
      </c>
      <c r="Q11" s="18" t="n">
        <v>28.86409551</v>
      </c>
      <c r="R11" s="20" t="n">
        <v>1.95589874</v>
      </c>
    </row>
    <row r="12" spans="1:18">
      <c r="A12" s="15" t="s">
        <v>434</v>
      </c>
      <c r="B12" s="17" t="n">
        <v>6894</v>
      </c>
      <c r="C12" s="18">
        <f>(6057.0/B12*100)</f>
        <v/>
      </c>
      <c r="D12" s="19" t="n">
        <v>837</v>
      </c>
      <c r="E12" s="18" t="n">
        <v>19.54206647</v>
      </c>
      <c r="F12" s="20" t="n">
        <v>1.48193149</v>
      </c>
      <c r="G12" s="18" t="n">
        <v>71.96688657</v>
      </c>
      <c r="H12" s="20" t="n">
        <v>1.82975111</v>
      </c>
      <c r="I12" s="18" t="n">
        <v>0</v>
      </c>
      <c r="J12" s="20" t="n">
        <v>0</v>
      </c>
      <c r="K12" s="18" t="n">
        <v>0</v>
      </c>
      <c r="L12" s="20" t="n">
        <v>0</v>
      </c>
      <c r="M12" s="18" t="n">
        <v>0</v>
      </c>
      <c r="N12" s="20" t="n">
        <v>0</v>
      </c>
      <c r="O12" s="18" t="n">
        <v>0</v>
      </c>
      <c r="P12" s="20" t="n">
        <v>0</v>
      </c>
      <c r="Q12" s="18" t="n">
        <v>8.49104696</v>
      </c>
      <c r="R12" s="20" t="n">
        <v>1.24211127</v>
      </c>
    </row>
    <row r="13" spans="1:18">
      <c r="A13" s="15" t="s">
        <v>435</v>
      </c>
      <c r="B13" s="17" t="n">
        <v>7161</v>
      </c>
      <c r="C13" s="18">
        <f>(6332.0/B13*100)</f>
        <v/>
      </c>
      <c r="D13" s="19" t="n">
        <v>829</v>
      </c>
      <c r="E13" s="18" t="n">
        <v>18.03968715</v>
      </c>
      <c r="F13" s="20" t="n">
        <v>1.3968154</v>
      </c>
      <c r="G13" s="18" t="n">
        <v>75.67581610000001</v>
      </c>
      <c r="H13" s="20" t="n">
        <v>1.5650351</v>
      </c>
      <c r="I13" s="18" t="n">
        <v>0</v>
      </c>
      <c r="J13" s="20" t="n">
        <v>0</v>
      </c>
      <c r="K13" s="18" t="n">
        <v>0.24986237</v>
      </c>
      <c r="L13" s="20" t="n">
        <v>0.12269246</v>
      </c>
      <c r="M13" s="18" t="n">
        <v>0</v>
      </c>
      <c r="N13" s="20" t="n">
        <v>0</v>
      </c>
      <c r="O13" s="18" t="n">
        <v>0</v>
      </c>
      <c r="P13" s="20" t="n">
        <v>0</v>
      </c>
      <c r="Q13" s="18" t="n">
        <v>6.03463438</v>
      </c>
      <c r="R13" s="20" t="n">
        <v>1.0805705</v>
      </c>
    </row>
    <row r="14" spans="1:18">
      <c r="A14" s="15" t="s">
        <v>436</v>
      </c>
      <c r="B14" s="17" t="n">
        <v>5587</v>
      </c>
      <c r="C14" s="18">
        <f>(4915.0/B14*100)</f>
        <v/>
      </c>
      <c r="D14" s="19" t="n">
        <v>672</v>
      </c>
      <c r="E14" s="18" t="n">
        <v>23.7992729</v>
      </c>
      <c r="F14" s="20" t="n">
        <v>1.8625957</v>
      </c>
      <c r="G14" s="18" t="n">
        <v>71.946459</v>
      </c>
      <c r="H14" s="20" t="n">
        <v>2.04548965</v>
      </c>
      <c r="I14" s="18" t="n">
        <v>0</v>
      </c>
      <c r="J14" s="20" t="n">
        <v>0</v>
      </c>
      <c r="K14" s="18" t="n">
        <v>0</v>
      </c>
      <c r="L14" s="20" t="n">
        <v>0</v>
      </c>
      <c r="M14" s="18" t="n">
        <v>0</v>
      </c>
      <c r="N14" s="20" t="n">
        <v>0</v>
      </c>
      <c r="O14" s="18" t="n">
        <v>0</v>
      </c>
      <c r="P14" s="20" t="n">
        <v>0</v>
      </c>
      <c r="Q14" s="18" t="n">
        <v>4.25426811</v>
      </c>
      <c r="R14" s="20" t="n">
        <v>0.91627009</v>
      </c>
    </row>
    <row r="15" spans="1:18">
      <c r="A15" s="15" t="s">
        <v>437</v>
      </c>
      <c r="B15" s="17" t="n">
        <v>5882</v>
      </c>
      <c r="C15" s="18">
        <f>(5161.0/B15*100)</f>
        <v/>
      </c>
      <c r="D15" s="19" t="n">
        <v>721</v>
      </c>
      <c r="E15" s="18" t="n">
        <v>17.5777206</v>
      </c>
      <c r="F15" s="20" t="n">
        <v>1.33872493</v>
      </c>
      <c r="G15" s="18" t="n">
        <v>76.58645224</v>
      </c>
      <c r="H15" s="20" t="n">
        <v>1.63148382</v>
      </c>
      <c r="I15" s="18" t="n">
        <v>0</v>
      </c>
      <c r="J15" s="20" t="n">
        <v>0</v>
      </c>
      <c r="K15" s="18" t="n">
        <v>0</v>
      </c>
      <c r="L15" s="20" t="n">
        <v>0</v>
      </c>
      <c r="M15" s="18" t="n">
        <v>0</v>
      </c>
      <c r="N15" s="20" t="n">
        <v>0</v>
      </c>
      <c r="O15" s="18" t="n">
        <v>0</v>
      </c>
      <c r="P15" s="20" t="n">
        <v>0</v>
      </c>
      <c r="Q15" s="18" t="n">
        <v>5.83582716</v>
      </c>
      <c r="R15" s="20" t="n">
        <v>0.85636816</v>
      </c>
    </row>
    <row r="16" spans="1:18">
      <c r="A16" s="15" t="s">
        <v>438</v>
      </c>
      <c r="B16" s="17" t="n">
        <v>6108</v>
      </c>
      <c r="C16" s="18">
        <f>(5347.0/B16*100)</f>
        <v/>
      </c>
      <c r="D16" s="19" t="n">
        <v>761</v>
      </c>
      <c r="E16" s="18" t="n">
        <v>20.25164219</v>
      </c>
      <c r="F16" s="20" t="n">
        <v>1.40465829</v>
      </c>
      <c r="G16" s="18" t="n">
        <v>66.96398313</v>
      </c>
      <c r="H16" s="20" t="n">
        <v>1.48634899</v>
      </c>
      <c r="I16" s="18" t="n">
        <v>0</v>
      </c>
      <c r="J16" s="20" t="n">
        <v>0</v>
      </c>
      <c r="K16" s="18" t="n">
        <v>0.27725544</v>
      </c>
      <c r="L16" s="20" t="n">
        <v>0.24206877</v>
      </c>
      <c r="M16" s="18" t="n">
        <v>0</v>
      </c>
      <c r="N16" s="20" t="n">
        <v>0</v>
      </c>
      <c r="O16" s="18" t="n">
        <v>0</v>
      </c>
      <c r="P16" s="20" t="n">
        <v>0</v>
      </c>
      <c r="Q16" s="18" t="n">
        <v>12.50711924</v>
      </c>
      <c r="R16" s="20" t="n">
        <v>1.3199672</v>
      </c>
    </row>
    <row r="17" spans="1:18">
      <c r="A17" s="15" t="s">
        <v>439</v>
      </c>
      <c r="B17" s="17" t="n">
        <v>6504</v>
      </c>
      <c r="C17" s="18">
        <f>(5710.0/B17*100)</f>
        <v/>
      </c>
      <c r="D17" s="19" t="n">
        <v>794</v>
      </c>
      <c r="E17" s="18" t="n">
        <v>11.73555462</v>
      </c>
      <c r="F17" s="20" t="n">
        <v>1.26693305</v>
      </c>
      <c r="G17" s="18" t="n">
        <v>81.45880507</v>
      </c>
      <c r="H17" s="20" t="n">
        <v>1.44880183</v>
      </c>
      <c r="I17" s="18" t="n">
        <v>0</v>
      </c>
      <c r="J17" s="20" t="n">
        <v>0</v>
      </c>
      <c r="K17" s="18" t="n">
        <v>0.17695239</v>
      </c>
      <c r="L17" s="20" t="n">
        <v>0.15415955</v>
      </c>
      <c r="M17" s="18" t="n">
        <v>0</v>
      </c>
      <c r="N17" s="20" t="n">
        <v>0</v>
      </c>
      <c r="O17" s="18" t="n">
        <v>0</v>
      </c>
      <c r="P17" s="20" t="n">
        <v>0</v>
      </c>
      <c r="Q17" s="18" t="n">
        <v>6.62868792</v>
      </c>
      <c r="R17" s="20" t="n">
        <v>1.06237143</v>
      </c>
    </row>
    <row r="18" spans="1:18">
      <c r="A18" s="15" t="s">
        <v>440</v>
      </c>
      <c r="B18" s="17" t="n">
        <v>5532</v>
      </c>
      <c r="C18" s="18">
        <f>(4846.0/B18*100)</f>
        <v/>
      </c>
      <c r="D18" s="19" t="n">
        <v>686</v>
      </c>
      <c r="E18" s="18" t="n">
        <v>37.68549562</v>
      </c>
      <c r="F18" s="20" t="n">
        <v>1.79058042</v>
      </c>
      <c r="G18" s="18" t="n">
        <v>45.84141429</v>
      </c>
      <c r="H18" s="20" t="n">
        <v>2.19569997</v>
      </c>
      <c r="I18" s="18" t="n">
        <v>0</v>
      </c>
      <c r="J18" s="20" t="n">
        <v>0</v>
      </c>
      <c r="K18" s="18" t="n">
        <v>0</v>
      </c>
      <c r="L18" s="20" t="n">
        <v>0</v>
      </c>
      <c r="M18" s="18" t="n">
        <v>0</v>
      </c>
      <c r="N18" s="20" t="n">
        <v>0</v>
      </c>
      <c r="O18" s="18" t="n">
        <v>0</v>
      </c>
      <c r="P18" s="20" t="n">
        <v>0</v>
      </c>
      <c r="Q18" s="18" t="n">
        <v>16.47309009</v>
      </c>
      <c r="R18" s="20" t="n">
        <v>1.46245393</v>
      </c>
    </row>
    <row r="19" spans="1:18">
      <c r="A19" s="15" t="s">
        <v>441</v>
      </c>
      <c r="B19" s="17" t="n">
        <v>5658</v>
      </c>
      <c r="C19" s="18">
        <f>(4967.0/B19*100)</f>
        <v/>
      </c>
      <c r="D19" s="19" t="n">
        <v>691</v>
      </c>
      <c r="E19" s="18" t="n">
        <v>23.69260245</v>
      </c>
      <c r="F19" s="20" t="n">
        <v>1.76242401</v>
      </c>
      <c r="G19" s="18" t="n">
        <v>55.07740516</v>
      </c>
      <c r="H19" s="20" t="n">
        <v>2.01748525</v>
      </c>
      <c r="I19" s="18" t="n">
        <v>0</v>
      </c>
      <c r="J19" s="20" t="n">
        <v>0</v>
      </c>
      <c r="K19" s="18" t="n">
        <v>0</v>
      </c>
      <c r="L19" s="20" t="n">
        <v>0</v>
      </c>
      <c r="M19" s="18" t="n">
        <v>0</v>
      </c>
      <c r="N19" s="20" t="n">
        <v>0</v>
      </c>
      <c r="O19" s="18" t="n">
        <v>0</v>
      </c>
      <c r="P19" s="20" t="n">
        <v>0</v>
      </c>
      <c r="Q19" s="18" t="n">
        <v>21.22999239</v>
      </c>
      <c r="R19" s="20" t="n">
        <v>1.61799735</v>
      </c>
    </row>
    <row r="20" spans="1:18">
      <c r="A20" s="15" t="s">
        <v>442</v>
      </c>
      <c r="B20" s="17" t="n">
        <v>3371</v>
      </c>
      <c r="C20" s="18">
        <f>(2952.0/B20*100)</f>
        <v/>
      </c>
      <c r="D20" s="19" t="n">
        <v>419</v>
      </c>
      <c r="E20" s="18" t="n">
        <v>26.33607908</v>
      </c>
      <c r="F20" s="20" t="n">
        <v>2.50226276</v>
      </c>
      <c r="G20" s="18" t="n">
        <v>63.30845113</v>
      </c>
      <c r="H20" s="20" t="n">
        <v>2.27649619</v>
      </c>
      <c r="I20" s="18" t="n">
        <v>0</v>
      </c>
      <c r="J20" s="20" t="n">
        <v>0</v>
      </c>
      <c r="K20" s="18" t="n">
        <v>0</v>
      </c>
      <c r="L20" s="20" t="n">
        <v>0</v>
      </c>
      <c r="M20" s="18" t="n">
        <v>0</v>
      </c>
      <c r="N20" s="20" t="n">
        <v>0</v>
      </c>
      <c r="O20" s="18" t="n">
        <v>0</v>
      </c>
      <c r="P20" s="20" t="n">
        <v>0</v>
      </c>
      <c r="Q20" s="18" t="n">
        <v>10.35546979</v>
      </c>
      <c r="R20" s="20" t="n">
        <v>1.59039751</v>
      </c>
    </row>
    <row r="21" spans="1:18">
      <c r="A21" s="15" t="s">
        <v>443</v>
      </c>
      <c r="B21" s="17" t="n">
        <v>5741</v>
      </c>
      <c r="C21" s="18">
        <f>(4793.0/B21*100)</f>
        <v/>
      </c>
      <c r="D21" s="19" t="n">
        <v>948</v>
      </c>
      <c r="E21" s="18" t="n">
        <v>15.13193573</v>
      </c>
      <c r="F21" s="20" t="n">
        <v>1.17431512</v>
      </c>
      <c r="G21" s="18" t="n">
        <v>77.52846987</v>
      </c>
      <c r="H21" s="20" t="n">
        <v>1.29043403</v>
      </c>
      <c r="I21" s="18" t="n">
        <v>0</v>
      </c>
      <c r="J21" s="20" t="n">
        <v>0</v>
      </c>
      <c r="K21" s="18" t="n">
        <v>0.09126556</v>
      </c>
      <c r="L21" s="20" t="n">
        <v>0.06593515</v>
      </c>
      <c r="M21" s="18" t="n">
        <v>0</v>
      </c>
      <c r="N21" s="20" t="n">
        <v>0</v>
      </c>
      <c r="O21" s="18" t="n">
        <v>0</v>
      </c>
      <c r="P21" s="20" t="n">
        <v>0</v>
      </c>
      <c r="Q21" s="18" t="n">
        <v>7.24832884</v>
      </c>
      <c r="R21" s="20" t="n">
        <v>0.82570872</v>
      </c>
    </row>
    <row r="22" spans="1:18">
      <c r="A22" s="15" t="s">
        <v>444</v>
      </c>
      <c r="B22" s="17" t="n">
        <v>6598</v>
      </c>
      <c r="C22" s="18">
        <f>(5765.0/B22*100)</f>
        <v/>
      </c>
      <c r="D22" s="19" t="n">
        <v>833</v>
      </c>
      <c r="E22" s="18" t="n">
        <v>24.6444563</v>
      </c>
      <c r="F22" s="20" t="n">
        <v>1.64526501</v>
      </c>
      <c r="G22" s="18" t="n">
        <v>59.09155869</v>
      </c>
      <c r="H22" s="20" t="n">
        <v>2.08708117</v>
      </c>
      <c r="I22" s="18" t="n">
        <v>0</v>
      </c>
      <c r="J22" s="20" t="n">
        <v>0</v>
      </c>
      <c r="K22" s="18" t="n">
        <v>0.20102447</v>
      </c>
      <c r="L22" s="20" t="n">
        <v>0.15186398</v>
      </c>
      <c r="M22" s="18" t="n">
        <v>0</v>
      </c>
      <c r="N22" s="20" t="n">
        <v>0</v>
      </c>
      <c r="O22" s="18" t="n">
        <v>0</v>
      </c>
      <c r="P22" s="20" t="n">
        <v>0</v>
      </c>
      <c r="Q22" s="18" t="n">
        <v>16.06296054</v>
      </c>
      <c r="R22" s="20" t="n">
        <v>1.60216987</v>
      </c>
    </row>
    <row r="23" spans="1:18">
      <c r="A23" s="15" t="s">
        <v>445</v>
      </c>
      <c r="B23" s="17" t="n">
        <v>11583</v>
      </c>
      <c r="C23" s="18">
        <f>(10185.0/B23*100)</f>
        <v/>
      </c>
      <c r="D23" s="19" t="n">
        <v>1398</v>
      </c>
      <c r="E23" s="18" t="n">
        <v>24.10473158</v>
      </c>
      <c r="F23" s="20" t="n">
        <v>1.65350826</v>
      </c>
      <c r="G23" s="18" t="n">
        <v>63.35581061</v>
      </c>
      <c r="H23" s="20" t="n">
        <v>1.89026073</v>
      </c>
      <c r="I23" s="18" t="n">
        <v>0</v>
      </c>
      <c r="J23" s="20" t="n">
        <v>0</v>
      </c>
      <c r="K23" s="18" t="n">
        <v>0.22006426</v>
      </c>
      <c r="L23" s="20" t="n">
        <v>0.21625155</v>
      </c>
      <c r="M23" s="18" t="n">
        <v>0</v>
      </c>
      <c r="N23" s="20" t="n">
        <v>0</v>
      </c>
      <c r="O23" s="18" t="n">
        <v>0</v>
      </c>
      <c r="P23" s="20" t="n">
        <v>0</v>
      </c>
      <c r="Q23" s="18" t="n">
        <v>12.31939356</v>
      </c>
      <c r="R23" s="20" t="n">
        <v>1.42035104</v>
      </c>
    </row>
    <row r="24" spans="1:18">
      <c r="A24" s="15" t="s">
        <v>446</v>
      </c>
      <c r="B24" s="17" t="n">
        <v>6647</v>
      </c>
      <c r="C24" s="18">
        <f>(5810.0/B24*100)</f>
        <v/>
      </c>
      <c r="D24" s="19" t="n">
        <v>837</v>
      </c>
      <c r="E24" s="18" t="n">
        <v>12.88051029</v>
      </c>
      <c r="F24" s="20" t="n">
        <v>1.10605855</v>
      </c>
      <c r="G24" s="18" t="n">
        <v>73.28016038</v>
      </c>
      <c r="H24" s="20" t="n">
        <v>1.56534177</v>
      </c>
      <c r="I24" s="18" t="n">
        <v>0</v>
      </c>
      <c r="J24" s="20" t="n">
        <v>0</v>
      </c>
      <c r="K24" s="18" t="n">
        <v>0.20683933</v>
      </c>
      <c r="L24" s="20" t="n">
        <v>0.14430741</v>
      </c>
      <c r="M24" s="18" t="n">
        <v>0</v>
      </c>
      <c r="N24" s="20" t="n">
        <v>0</v>
      </c>
      <c r="O24" s="18" t="n">
        <v>0</v>
      </c>
      <c r="P24" s="20" t="n">
        <v>0</v>
      </c>
      <c r="Q24" s="18" t="n">
        <v>13.63249</v>
      </c>
      <c r="R24" s="20" t="n">
        <v>1.13683385</v>
      </c>
    </row>
    <row r="25" spans="1:18">
      <c r="A25" s="15" t="s">
        <v>447</v>
      </c>
      <c r="B25" s="17" t="n">
        <v>5581</v>
      </c>
      <c r="C25" s="18">
        <f>(4883.0/B25*100)</f>
        <v/>
      </c>
      <c r="D25" s="19" t="n">
        <v>698</v>
      </c>
      <c r="E25" s="18" t="n">
        <v>11.35735352</v>
      </c>
      <c r="F25" s="20" t="n">
        <v>1.14595104</v>
      </c>
      <c r="G25" s="18" t="n">
        <v>77.55095953</v>
      </c>
      <c r="H25" s="20" t="n">
        <v>1.91037101</v>
      </c>
      <c r="I25" s="18" t="n">
        <v>0</v>
      </c>
      <c r="J25" s="20" t="n">
        <v>0</v>
      </c>
      <c r="K25" s="18" t="n">
        <v>0.14377859</v>
      </c>
      <c r="L25" s="20" t="n">
        <v>0.14377038</v>
      </c>
      <c r="M25" s="18" t="n">
        <v>0</v>
      </c>
      <c r="N25" s="20" t="n">
        <v>0</v>
      </c>
      <c r="O25" s="18" t="n">
        <v>0</v>
      </c>
      <c r="P25" s="20" t="n">
        <v>0</v>
      </c>
      <c r="Q25" s="18" t="n">
        <v>10.94790837</v>
      </c>
      <c r="R25" s="20" t="n">
        <v>1.34121838</v>
      </c>
    </row>
    <row r="26" spans="1:18">
      <c r="A26" s="15" t="s">
        <v>448</v>
      </c>
      <c r="B26" s="17" t="n">
        <v>4869</v>
      </c>
      <c r="C26" s="18">
        <f>(4278.0/B26*100)</f>
        <v/>
      </c>
      <c r="D26" s="19" t="n">
        <v>591</v>
      </c>
      <c r="E26" s="18" t="n">
        <v>29.68985154</v>
      </c>
      <c r="F26" s="20" t="n">
        <v>2.32081441</v>
      </c>
      <c r="G26" s="18" t="n">
        <v>63.97398593</v>
      </c>
      <c r="H26" s="20" t="n">
        <v>2.37414352</v>
      </c>
      <c r="I26" s="18" t="n">
        <v>0</v>
      </c>
      <c r="J26" s="20" t="n">
        <v>0</v>
      </c>
      <c r="K26" s="18" t="n">
        <v>0</v>
      </c>
      <c r="L26" s="20" t="n">
        <v>0</v>
      </c>
      <c r="M26" s="18" t="n">
        <v>0</v>
      </c>
      <c r="N26" s="20" t="n">
        <v>0</v>
      </c>
      <c r="O26" s="18" t="n">
        <v>0</v>
      </c>
      <c r="P26" s="20" t="n">
        <v>0</v>
      </c>
      <c r="Q26" s="18" t="n">
        <v>6.33616252</v>
      </c>
      <c r="R26" s="20" t="n">
        <v>1.11455262</v>
      </c>
    </row>
    <row r="27" spans="1:18">
      <c r="A27" s="15" t="s">
        <v>449</v>
      </c>
      <c r="B27" s="17" t="n">
        <v>5299</v>
      </c>
      <c r="C27" s="18">
        <f>(4642.0/B27*100)</f>
        <v/>
      </c>
      <c r="D27" s="19" t="n">
        <v>657</v>
      </c>
      <c r="E27" s="18" t="n">
        <v>20.27916059</v>
      </c>
      <c r="F27" s="20" t="n">
        <v>1.49463061</v>
      </c>
      <c r="G27" s="18" t="n">
        <v>66.67994442</v>
      </c>
      <c r="H27" s="20" t="n">
        <v>1.74642577</v>
      </c>
      <c r="I27" s="18" t="n">
        <v>0</v>
      </c>
      <c r="J27" s="20" t="n">
        <v>0</v>
      </c>
      <c r="K27" s="18" t="n">
        <v>0</v>
      </c>
      <c r="L27" s="20" t="n">
        <v>0</v>
      </c>
      <c r="M27" s="18" t="n">
        <v>0</v>
      </c>
      <c r="N27" s="20" t="n">
        <v>0</v>
      </c>
      <c r="O27" s="18" t="n">
        <v>0</v>
      </c>
      <c r="P27" s="20" t="n">
        <v>0</v>
      </c>
      <c r="Q27" s="18" t="n">
        <v>13.04089499</v>
      </c>
      <c r="R27" s="20" t="n">
        <v>1.2838049</v>
      </c>
    </row>
    <row r="28" spans="1:18">
      <c r="A28" s="15" t="s">
        <v>450</v>
      </c>
      <c r="B28" s="17" t="n">
        <v>7568</v>
      </c>
      <c r="C28" s="18">
        <f>(6678.0/B28*100)</f>
        <v/>
      </c>
      <c r="D28" s="19" t="n">
        <v>890</v>
      </c>
      <c r="E28" s="18" t="n">
        <v>45.99663089</v>
      </c>
      <c r="F28" s="20" t="n">
        <v>1.85996248</v>
      </c>
      <c r="G28" s="18" t="n">
        <v>32.78359612</v>
      </c>
      <c r="H28" s="20" t="n">
        <v>1.75636853</v>
      </c>
      <c r="I28" s="18" t="n">
        <v>0</v>
      </c>
      <c r="J28" s="20" t="n">
        <v>0</v>
      </c>
      <c r="K28" s="18" t="n">
        <v>0</v>
      </c>
      <c r="L28" s="20" t="n">
        <v>0</v>
      </c>
      <c r="M28" s="18" t="n">
        <v>0</v>
      </c>
      <c r="N28" s="20" t="n">
        <v>0</v>
      </c>
      <c r="O28" s="18" t="n">
        <v>0</v>
      </c>
      <c r="P28" s="20" t="n">
        <v>0</v>
      </c>
      <c r="Q28" s="18" t="n">
        <v>21.21977299</v>
      </c>
      <c r="R28" s="20" t="n">
        <v>1.40335459</v>
      </c>
    </row>
    <row r="29" spans="1:18">
      <c r="A29" s="15" t="s">
        <v>451</v>
      </c>
      <c r="B29" s="17" t="n">
        <v>5385</v>
      </c>
      <c r="C29" s="18">
        <f>(4727.0/B29*100)</f>
        <v/>
      </c>
      <c r="D29" s="19" t="n">
        <v>658</v>
      </c>
      <c r="E29" s="18" t="n">
        <v>12.72503046</v>
      </c>
      <c r="F29" s="20" t="n">
        <v>1.69516547</v>
      </c>
      <c r="G29" s="18" t="n">
        <v>82.71858908999999</v>
      </c>
      <c r="H29" s="20" t="n">
        <v>1.77981814</v>
      </c>
      <c r="I29" s="18" t="n">
        <v>0</v>
      </c>
      <c r="J29" s="20" t="n">
        <v>0</v>
      </c>
      <c r="K29" s="18" t="n">
        <v>0</v>
      </c>
      <c r="L29" s="20" t="n">
        <v>0</v>
      </c>
      <c r="M29" s="18" t="n">
        <v>0</v>
      </c>
      <c r="N29" s="20" t="n">
        <v>0</v>
      </c>
      <c r="O29" s="18" t="n">
        <v>0</v>
      </c>
      <c r="P29" s="20" t="n">
        <v>0</v>
      </c>
      <c r="Q29" s="18" t="n">
        <v>4.55638045</v>
      </c>
      <c r="R29" s="20" t="n">
        <v>0.8210463</v>
      </c>
    </row>
    <row r="30" spans="1:18">
      <c r="A30" s="15" t="s">
        <v>452</v>
      </c>
      <c r="B30" s="17" t="n">
        <v>4520</v>
      </c>
      <c r="C30" s="18">
        <f>(3962.0/B30*100)</f>
        <v/>
      </c>
      <c r="D30" s="19" t="n">
        <v>558</v>
      </c>
      <c r="E30" s="18" t="n">
        <v>12.84289633</v>
      </c>
      <c r="F30" s="20" t="n">
        <v>1.69358495</v>
      </c>
      <c r="G30" s="18" t="n">
        <v>77.94857585</v>
      </c>
      <c r="H30" s="20" t="n">
        <v>1.94409844</v>
      </c>
      <c r="I30" s="18" t="n">
        <v>0</v>
      </c>
      <c r="J30" s="20" t="n">
        <v>0</v>
      </c>
      <c r="K30" s="18" t="n">
        <v>0.29929255</v>
      </c>
      <c r="L30" s="20" t="n">
        <v>0.20544776</v>
      </c>
      <c r="M30" s="18" t="n">
        <v>0</v>
      </c>
      <c r="N30" s="20" t="n">
        <v>0</v>
      </c>
      <c r="O30" s="18" t="n">
        <v>0</v>
      </c>
      <c r="P30" s="20" t="n">
        <v>0</v>
      </c>
      <c r="Q30" s="18" t="n">
        <v>8.90923527</v>
      </c>
      <c r="R30" s="20" t="n">
        <v>1.27125279</v>
      </c>
    </row>
    <row r="31" spans="1:18">
      <c r="A31" s="15" t="s">
        <v>453</v>
      </c>
      <c r="B31" s="17" t="n">
        <v>5456</v>
      </c>
      <c r="C31" s="18">
        <f>(4769.0/B31*100)</f>
        <v/>
      </c>
      <c r="D31" s="19" t="n">
        <v>687</v>
      </c>
      <c r="E31" s="18" t="n">
        <v>18.20374012</v>
      </c>
      <c r="F31" s="20" t="n">
        <v>1.48735349</v>
      </c>
      <c r="G31" s="18" t="n">
        <v>75.65999639</v>
      </c>
      <c r="H31" s="20" t="n">
        <v>1.83649402</v>
      </c>
      <c r="I31" s="18" t="n">
        <v>0</v>
      </c>
      <c r="J31" s="20" t="n">
        <v>0</v>
      </c>
      <c r="K31" s="18" t="n">
        <v>0.26980714</v>
      </c>
      <c r="L31" s="20" t="n">
        <v>0.18582776</v>
      </c>
      <c r="M31" s="18" t="n">
        <v>0</v>
      </c>
      <c r="N31" s="20" t="n">
        <v>0</v>
      </c>
      <c r="O31" s="18" t="n">
        <v>0</v>
      </c>
      <c r="P31" s="20" t="n">
        <v>0</v>
      </c>
      <c r="Q31" s="18" t="n">
        <v>5.86645635</v>
      </c>
      <c r="R31" s="20" t="n">
        <v>1.05110332</v>
      </c>
    </row>
    <row r="32" spans="1:18">
      <c r="A32" s="15" t="s">
        <v>454</v>
      </c>
      <c r="B32" s="17" t="n">
        <v>4478</v>
      </c>
      <c r="C32" s="18">
        <f>(3737.0/B32*100)</f>
        <v/>
      </c>
      <c r="D32" s="19" t="n">
        <v>741</v>
      </c>
      <c r="E32" s="18" t="n">
        <v>25.89612234</v>
      </c>
      <c r="F32" s="20" t="n">
        <v>1.48398324</v>
      </c>
      <c r="G32" s="18" t="n">
        <v>65.63829289</v>
      </c>
      <c r="H32" s="20" t="n">
        <v>1.74828781</v>
      </c>
      <c r="I32" s="18" t="n">
        <v>0</v>
      </c>
      <c r="J32" s="20" t="n">
        <v>0</v>
      </c>
      <c r="K32" s="18" t="n">
        <v>0.12149363</v>
      </c>
      <c r="L32" s="20" t="n">
        <v>0.12130556</v>
      </c>
      <c r="M32" s="18" t="n">
        <v>0</v>
      </c>
      <c r="N32" s="20" t="n">
        <v>0</v>
      </c>
      <c r="O32" s="18" t="n">
        <v>0</v>
      </c>
      <c r="P32" s="20" t="n">
        <v>0</v>
      </c>
      <c r="Q32" s="18" t="n">
        <v>8.344091150000001</v>
      </c>
      <c r="R32" s="20" t="n">
        <v>0.87479976</v>
      </c>
    </row>
    <row r="33" spans="1:18">
      <c r="A33" s="15" t="s">
        <v>455</v>
      </c>
      <c r="B33" s="17" t="n">
        <v>7325</v>
      </c>
      <c r="C33" s="18">
        <f>(6408.0/B33*100)</f>
        <v/>
      </c>
      <c r="D33" s="19" t="n">
        <v>917</v>
      </c>
      <c r="E33" s="18" t="n">
        <v>22.61649387</v>
      </c>
      <c r="F33" s="20" t="n">
        <v>1.56376053</v>
      </c>
      <c r="G33" s="18" t="n">
        <v>61.28856326</v>
      </c>
      <c r="H33" s="20" t="n">
        <v>1.78501143</v>
      </c>
      <c r="I33" s="18" t="n">
        <v>0</v>
      </c>
      <c r="J33" s="20" t="n">
        <v>0</v>
      </c>
      <c r="K33" s="18" t="n">
        <v>0.3343487</v>
      </c>
      <c r="L33" s="20" t="n">
        <v>0.26921755</v>
      </c>
      <c r="M33" s="18" t="n">
        <v>0</v>
      </c>
      <c r="N33" s="20" t="n">
        <v>0</v>
      </c>
      <c r="O33" s="18" t="n">
        <v>0</v>
      </c>
      <c r="P33" s="20" t="n">
        <v>0</v>
      </c>
      <c r="Q33" s="18" t="n">
        <v>15.76059416</v>
      </c>
      <c r="R33" s="20" t="n">
        <v>1.35784064</v>
      </c>
    </row>
    <row r="34" spans="1:18">
      <c r="A34" s="15" t="s">
        <v>456</v>
      </c>
      <c r="B34" s="17" t="n">
        <v>6350</v>
      </c>
      <c r="C34" s="18">
        <f>(5582.0/B34*100)</f>
        <v/>
      </c>
      <c r="D34" s="19" t="n">
        <v>768</v>
      </c>
      <c r="E34" s="18" t="n">
        <v>24.56692735</v>
      </c>
      <c r="F34" s="20" t="n">
        <v>1.59571914</v>
      </c>
      <c r="G34" s="18" t="n">
        <v>59.57167731</v>
      </c>
      <c r="H34" s="20" t="n">
        <v>1.61554562</v>
      </c>
      <c r="I34" s="18" t="n">
        <v>0</v>
      </c>
      <c r="J34" s="20" t="n">
        <v>0</v>
      </c>
      <c r="K34" s="18" t="n">
        <v>0.17836297</v>
      </c>
      <c r="L34" s="20" t="n">
        <v>0.10025718</v>
      </c>
      <c r="M34" s="18" t="n">
        <v>0</v>
      </c>
      <c r="N34" s="20" t="n">
        <v>0</v>
      </c>
      <c r="O34" s="18" t="n">
        <v>0</v>
      </c>
      <c r="P34" s="20" t="n">
        <v>0</v>
      </c>
      <c r="Q34" s="18" t="n">
        <v>15.68303237</v>
      </c>
      <c r="R34" s="20" t="n">
        <v>1.26899682</v>
      </c>
    </row>
    <row r="35" spans="1:18">
      <c r="A35" s="15" t="s">
        <v>457</v>
      </c>
      <c r="B35" s="17" t="n">
        <v>6406</v>
      </c>
      <c r="C35" s="18">
        <f>(5619.0/B35*100)</f>
        <v/>
      </c>
      <c r="D35" s="19" t="n">
        <v>787</v>
      </c>
      <c r="E35" s="18" t="n">
        <v>16.42379765</v>
      </c>
      <c r="F35" s="20" t="n">
        <v>1.78875141</v>
      </c>
      <c r="G35" s="18" t="n">
        <v>77.93145027</v>
      </c>
      <c r="H35" s="20" t="n">
        <v>2.01094759</v>
      </c>
      <c r="I35" s="18" t="n">
        <v>0</v>
      </c>
      <c r="J35" s="20" t="n">
        <v>0</v>
      </c>
      <c r="K35" s="18" t="n">
        <v>0</v>
      </c>
      <c r="L35" s="20" t="n">
        <v>0</v>
      </c>
      <c r="M35" s="18" t="n">
        <v>0</v>
      </c>
      <c r="N35" s="20" t="n">
        <v>0</v>
      </c>
      <c r="O35" s="18" t="n">
        <v>0</v>
      </c>
      <c r="P35" s="20" t="n">
        <v>0</v>
      </c>
      <c r="Q35" s="18" t="n">
        <v>5.64475208</v>
      </c>
      <c r="R35" s="20" t="n">
        <v>1.01879651</v>
      </c>
    </row>
    <row r="36" spans="1:18">
      <c r="A36" s="15" t="s">
        <v>458</v>
      </c>
      <c r="B36" s="17" t="n">
        <v>6736</v>
      </c>
      <c r="C36" s="18">
        <f>(5900.0/B36*100)</f>
        <v/>
      </c>
      <c r="D36" s="19" t="n">
        <v>836</v>
      </c>
      <c r="E36" s="18" t="n">
        <v>21.38635956</v>
      </c>
      <c r="F36" s="20" t="n">
        <v>1.51557753</v>
      </c>
      <c r="G36" s="18" t="n">
        <v>64.80969159</v>
      </c>
      <c r="H36" s="20" t="n">
        <v>1.97526535</v>
      </c>
      <c r="I36" s="18" t="n">
        <v>0</v>
      </c>
      <c r="J36" s="20" t="n">
        <v>0</v>
      </c>
      <c r="K36" s="18" t="n">
        <v>0.12633735</v>
      </c>
      <c r="L36" s="20" t="n">
        <v>0.12614694</v>
      </c>
      <c r="M36" s="18" t="n">
        <v>0</v>
      </c>
      <c r="N36" s="20" t="n">
        <v>0</v>
      </c>
      <c r="O36" s="18" t="n">
        <v>0</v>
      </c>
      <c r="P36" s="20" t="n">
        <v>0</v>
      </c>
      <c r="Q36" s="18" t="n">
        <v>13.6776115</v>
      </c>
      <c r="R36" s="20" t="n">
        <v>1.20174413</v>
      </c>
    </row>
    <row r="37" spans="1:18">
      <c r="A37" s="15" t="s">
        <v>459</v>
      </c>
      <c r="B37" s="17" t="n">
        <v>5458</v>
      </c>
      <c r="C37" s="18">
        <f>(4793.0/B37*100)</f>
        <v/>
      </c>
      <c r="D37" s="19" t="n">
        <v>665</v>
      </c>
      <c r="E37" s="18" t="n">
        <v>19.23459838</v>
      </c>
      <c r="F37" s="20" t="n">
        <v>1.60147152</v>
      </c>
      <c r="G37" s="18" t="n">
        <v>71.74198595</v>
      </c>
      <c r="H37" s="20" t="n">
        <v>1.87259543</v>
      </c>
      <c r="I37" s="18" t="n">
        <v>0</v>
      </c>
      <c r="J37" s="20" t="n">
        <v>0</v>
      </c>
      <c r="K37" s="18" t="n">
        <v>0.16027601</v>
      </c>
      <c r="L37" s="20" t="n">
        <v>0.15989229</v>
      </c>
      <c r="M37" s="18" t="n">
        <v>0</v>
      </c>
      <c r="N37" s="20" t="n">
        <v>0</v>
      </c>
      <c r="O37" s="18" t="n">
        <v>0</v>
      </c>
      <c r="P37" s="20" t="n">
        <v>0</v>
      </c>
      <c r="Q37" s="18" t="n">
        <v>8.86313966</v>
      </c>
      <c r="R37" s="20" t="n">
        <v>1.28801439</v>
      </c>
    </row>
    <row r="38" spans="1:18">
      <c r="A38" s="15" t="s">
        <v>460</v>
      </c>
      <c r="B38" s="17" t="n">
        <v>5860</v>
      </c>
      <c r="C38" s="18">
        <f>(4896.0/B38*100)</f>
        <v/>
      </c>
      <c r="D38" s="19" t="n">
        <v>964</v>
      </c>
      <c r="E38" s="18" t="n">
        <v>14.42504481</v>
      </c>
      <c r="F38" s="20" t="n">
        <v>1.22035273</v>
      </c>
      <c r="G38" s="18" t="n">
        <v>77.08073963</v>
      </c>
      <c r="H38" s="20" t="n">
        <v>1.6050512</v>
      </c>
      <c r="I38" s="18" t="n">
        <v>0</v>
      </c>
      <c r="J38" s="20" t="n">
        <v>0</v>
      </c>
      <c r="K38" s="18" t="n">
        <v>0.08960296</v>
      </c>
      <c r="L38" s="20" t="n">
        <v>0.07834318</v>
      </c>
      <c r="M38" s="18" t="n">
        <v>0</v>
      </c>
      <c r="N38" s="20" t="n">
        <v>0</v>
      </c>
      <c r="O38" s="18" t="n">
        <v>0</v>
      </c>
      <c r="P38" s="20" t="n">
        <v>0</v>
      </c>
      <c r="Q38" s="18" t="n">
        <v>8.404612589999999</v>
      </c>
      <c r="R38" s="20" t="n">
        <v>1.29984607</v>
      </c>
    </row>
    <row r="39" spans="1:18">
      <c r="A39" s="15" t="s">
        <v>461</v>
      </c>
      <c r="B39" s="17" t="n">
        <v>5895</v>
      </c>
      <c r="C39" s="18">
        <f>(5171.0/B39*100)</f>
        <v/>
      </c>
      <c r="D39" s="19" t="n">
        <v>724</v>
      </c>
      <c r="E39" s="18" t="n">
        <v>34.46102675</v>
      </c>
      <c r="F39" s="20" t="n">
        <v>2.03449623</v>
      </c>
      <c r="G39" s="18" t="n">
        <v>41.10241242</v>
      </c>
      <c r="H39" s="20" t="n">
        <v>2.64221697</v>
      </c>
      <c r="I39" s="18" t="n">
        <v>0</v>
      </c>
      <c r="J39" s="20" t="n">
        <v>0</v>
      </c>
      <c r="K39" s="18" t="n">
        <v>0</v>
      </c>
      <c r="L39" s="20" t="n">
        <v>0</v>
      </c>
      <c r="M39" s="18" t="n">
        <v>0</v>
      </c>
      <c r="N39" s="20" t="n">
        <v>0</v>
      </c>
      <c r="O39" s="18" t="n">
        <v>0</v>
      </c>
      <c r="P39" s="20" t="n">
        <v>0</v>
      </c>
      <c r="Q39" s="18" t="n">
        <v>24.43656083</v>
      </c>
      <c r="R39" s="20" t="n">
        <v>1.98170333</v>
      </c>
    </row>
    <row r="40" spans="1:18">
      <c r="A40" s="15" t="s">
        <v>462</v>
      </c>
      <c r="B40" s="17" t="n">
        <v>14157</v>
      </c>
      <c r="C40" s="18">
        <f>(12428.0/B40*100)</f>
        <v/>
      </c>
      <c r="D40" s="19" t="n">
        <v>1729</v>
      </c>
      <c r="E40" s="18" t="n">
        <v>17.27123927</v>
      </c>
      <c r="F40" s="20" t="n">
        <v>1.31786447</v>
      </c>
      <c r="G40" s="18" t="n">
        <v>72.18456858</v>
      </c>
      <c r="H40" s="20" t="n">
        <v>1.55306614</v>
      </c>
      <c r="I40" s="18" t="n">
        <v>0</v>
      </c>
      <c r="J40" s="20" t="n">
        <v>0</v>
      </c>
      <c r="K40" s="18" t="n">
        <v>0.18656772</v>
      </c>
      <c r="L40" s="20" t="n">
        <v>0.12772064</v>
      </c>
      <c r="M40" s="18" t="n">
        <v>0</v>
      </c>
      <c r="N40" s="20" t="n">
        <v>0</v>
      </c>
      <c r="O40" s="18" t="n">
        <v>0</v>
      </c>
      <c r="P40" s="20" t="n">
        <v>0</v>
      </c>
      <c r="Q40" s="18" t="n">
        <v>10.35762443</v>
      </c>
      <c r="R40" s="20" t="n">
        <v>1.27773658</v>
      </c>
    </row>
    <row r="41" spans="1:18">
      <c r="A41" s="15" t="s">
        <v>463</v>
      </c>
      <c r="B41" s="17" t="n">
        <v>5712</v>
      </c>
      <c r="C41" s="18">
        <f>(5030.0/B41*100)</f>
        <v/>
      </c>
      <c r="D41" s="19" t="n">
        <v>682</v>
      </c>
      <c r="E41" s="18" t="n">
        <v>21.58296236</v>
      </c>
      <c r="F41" s="20" t="n">
        <v>1.60813537</v>
      </c>
      <c r="G41" s="18" t="n">
        <v>67.78607782</v>
      </c>
      <c r="H41" s="20" t="n">
        <v>1.94812544</v>
      </c>
      <c r="I41" s="18" t="n">
        <v>0</v>
      </c>
      <c r="J41" s="20" t="n">
        <v>0</v>
      </c>
      <c r="K41" s="18" t="n">
        <v>0.26029239</v>
      </c>
      <c r="L41" s="20" t="n">
        <v>0.19165359</v>
      </c>
      <c r="M41" s="18" t="n">
        <v>0</v>
      </c>
      <c r="N41" s="20" t="n">
        <v>0</v>
      </c>
      <c r="O41" s="18" t="n">
        <v>0</v>
      </c>
      <c r="P41" s="20" t="n">
        <v>0</v>
      </c>
      <c r="Q41" s="18" t="n">
        <v>10.37066742</v>
      </c>
      <c r="R41" s="20" t="n">
        <v>1.17030194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(20464.0/B46*100)</f>
        <v/>
      </c>
      <c r="D46" s="19" t="n">
        <v>2677</v>
      </c>
      <c r="E46" s="18" t="n">
        <v>36.24068355</v>
      </c>
      <c r="F46" s="20" t="n">
        <v>1.22300437</v>
      </c>
      <c r="G46" s="18" t="n">
        <v>18.85017961</v>
      </c>
      <c r="H46" s="20" t="n">
        <v>1.249548</v>
      </c>
      <c r="I46" s="18" t="n">
        <v>0</v>
      </c>
      <c r="J46" s="20" t="n">
        <v>0</v>
      </c>
      <c r="K46" s="18" t="n">
        <v>0.21104339</v>
      </c>
      <c r="L46" s="20" t="n">
        <v>0.09142097</v>
      </c>
      <c r="M46" s="18" t="n">
        <v>0.008686009999999999</v>
      </c>
      <c r="N46" s="20" t="n">
        <v>0.008549910000000001</v>
      </c>
      <c r="O46" s="18" t="n">
        <v>0</v>
      </c>
      <c r="P46" s="20" t="n">
        <v>0</v>
      </c>
      <c r="Q46" s="18" t="n">
        <v>44.68940743</v>
      </c>
      <c r="R46" s="20" t="n">
        <v>1.59372461</v>
      </c>
    </row>
    <row r="47" spans="1:18">
      <c r="A47" s="15" t="s">
        <v>470</v>
      </c>
      <c r="B47" s="17" t="n">
        <v>5928</v>
      </c>
      <c r="C47" s="18">
        <f>(5211.0/B47*100)</f>
        <v/>
      </c>
      <c r="D47" s="19" t="n">
        <v>717</v>
      </c>
      <c r="E47" s="18" t="n">
        <v>30.65559792</v>
      </c>
      <c r="F47" s="20" t="n">
        <v>1.65675383</v>
      </c>
      <c r="G47" s="18" t="n">
        <v>53.8771801</v>
      </c>
      <c r="H47" s="20" t="n">
        <v>1.98091503</v>
      </c>
      <c r="I47" s="18" t="n">
        <v>0</v>
      </c>
      <c r="J47" s="20" t="n">
        <v>0</v>
      </c>
      <c r="K47" s="18" t="n">
        <v>0.27067268</v>
      </c>
      <c r="L47" s="20" t="n">
        <v>0.18789942</v>
      </c>
      <c r="M47" s="18" t="n">
        <v>0</v>
      </c>
      <c r="N47" s="20" t="n">
        <v>0</v>
      </c>
      <c r="O47" s="18" t="n">
        <v>0</v>
      </c>
      <c r="P47" s="20" t="n">
        <v>0</v>
      </c>
      <c r="Q47" s="18" t="n">
        <v>15.1965493</v>
      </c>
      <c r="R47" s="20" t="n">
        <v>1.72681935</v>
      </c>
    </row>
    <row r="48" spans="1:18">
      <c r="A48" s="15" t="s">
        <v>471</v>
      </c>
      <c r="B48" s="17" t="n">
        <v>9841</v>
      </c>
      <c r="C48" s="18">
        <f>(8591.0/B48*100)</f>
        <v/>
      </c>
      <c r="D48" s="19" t="n">
        <v>1250</v>
      </c>
      <c r="E48" s="18" t="n">
        <v>30.48124775</v>
      </c>
      <c r="F48" s="20" t="n">
        <v>1.76046614</v>
      </c>
      <c r="G48" s="18" t="n">
        <v>51.10323285</v>
      </c>
      <c r="H48" s="20" t="n">
        <v>2.15761074</v>
      </c>
      <c r="I48" s="18" t="n">
        <v>0</v>
      </c>
      <c r="J48" s="20" t="n">
        <v>0</v>
      </c>
      <c r="K48" s="18" t="n">
        <v>0.10689105</v>
      </c>
      <c r="L48" s="20" t="n">
        <v>0.1067525</v>
      </c>
      <c r="M48" s="18" t="n">
        <v>0</v>
      </c>
      <c r="N48" s="20" t="n">
        <v>0</v>
      </c>
      <c r="O48" s="18" t="n">
        <v>0</v>
      </c>
      <c r="P48" s="20" t="n">
        <v>0</v>
      </c>
      <c r="Q48" s="18" t="n">
        <v>18.30862836</v>
      </c>
      <c r="R48" s="20" t="n">
        <v>1.85174006</v>
      </c>
    </row>
    <row r="49" spans="1:18">
      <c r="A49" s="15" t="s">
        <v>472</v>
      </c>
      <c r="B49" s="17" t="n">
        <v>11795</v>
      </c>
      <c r="C49" s="18">
        <f>(10380.0/B49*100)</f>
        <v/>
      </c>
      <c r="D49" s="19" t="n">
        <v>1415</v>
      </c>
      <c r="E49" s="18" t="n">
        <v>47.85039916</v>
      </c>
      <c r="F49" s="20" t="n">
        <v>1.70914587</v>
      </c>
      <c r="G49" s="18" t="n">
        <v>27.87925347</v>
      </c>
      <c r="H49" s="20" t="n">
        <v>1.66196701</v>
      </c>
      <c r="I49" s="18" t="n">
        <v>0</v>
      </c>
      <c r="J49" s="20" t="n">
        <v>0</v>
      </c>
      <c r="K49" s="18" t="n">
        <v>0.61605016</v>
      </c>
      <c r="L49" s="20" t="n">
        <v>0.29074957</v>
      </c>
      <c r="M49" s="18" t="n">
        <v>0</v>
      </c>
      <c r="N49" s="20" t="n">
        <v>0</v>
      </c>
      <c r="O49" s="18" t="n">
        <v>0</v>
      </c>
      <c r="P49" s="20" t="n">
        <v>0</v>
      </c>
      <c r="Q49" s="18" t="n">
        <v>23.65429721</v>
      </c>
      <c r="R49" s="20" t="n">
        <v>1.54192097</v>
      </c>
    </row>
    <row r="50" spans="1:18">
      <c r="A50" s="15" t="s">
        <v>473</v>
      </c>
      <c r="B50" s="17" t="n">
        <v>6866</v>
      </c>
      <c r="C50" s="18">
        <f>(6136.0/B50*100)</f>
        <v/>
      </c>
      <c r="D50" s="19" t="n">
        <v>730</v>
      </c>
      <c r="E50" s="18" t="n">
        <v>49.94604008</v>
      </c>
      <c r="F50" s="20" t="n">
        <v>2.16341035</v>
      </c>
      <c r="G50" s="18" t="n">
        <v>27.09220131</v>
      </c>
      <c r="H50" s="20" t="n">
        <v>1.81442816</v>
      </c>
      <c r="I50" s="18" t="n">
        <v>0</v>
      </c>
      <c r="J50" s="20" t="n">
        <v>0</v>
      </c>
      <c r="K50" s="18" t="n">
        <v>0.38738437</v>
      </c>
      <c r="L50" s="20" t="n">
        <v>0.25840809</v>
      </c>
      <c r="M50" s="18" t="n">
        <v>0</v>
      </c>
      <c r="N50" s="20" t="n">
        <v>0</v>
      </c>
      <c r="O50" s="18" t="n">
        <v>0</v>
      </c>
      <c r="P50" s="20" t="n">
        <v>0</v>
      </c>
      <c r="Q50" s="18" t="n">
        <v>22.57437425</v>
      </c>
      <c r="R50" s="20" t="n">
        <v>1.91926371</v>
      </c>
    </row>
    <row r="51" spans="1:18">
      <c r="A51" s="15" t="s">
        <v>474</v>
      </c>
      <c r="B51" s="17" t="n">
        <v>5809</v>
      </c>
      <c r="C51" s="18">
        <f>(5088.0/B51*100)</f>
        <v/>
      </c>
      <c r="D51" s="19" t="n">
        <v>721</v>
      </c>
      <c r="E51" s="18" t="n">
        <v>23.58144074</v>
      </c>
      <c r="F51" s="20" t="n">
        <v>1.60753847</v>
      </c>
      <c r="G51" s="18" t="n">
        <v>54.67424678</v>
      </c>
      <c r="H51" s="20" t="n">
        <v>2.17638237</v>
      </c>
      <c r="I51" s="18" t="n">
        <v>0</v>
      </c>
      <c r="J51" s="20" t="n">
        <v>0</v>
      </c>
      <c r="K51" s="18" t="n">
        <v>0</v>
      </c>
      <c r="L51" s="20" t="n">
        <v>0</v>
      </c>
      <c r="M51" s="18" t="n">
        <v>0</v>
      </c>
      <c r="N51" s="20" t="n">
        <v>0</v>
      </c>
      <c r="O51" s="18" t="n">
        <v>0</v>
      </c>
      <c r="P51" s="20" t="n">
        <v>0</v>
      </c>
      <c r="Q51" s="18" t="n">
        <v>21.74431248</v>
      </c>
      <c r="R51" s="20" t="n">
        <v>1.59785406</v>
      </c>
    </row>
    <row r="52" spans="1:18">
      <c r="A52" s="15" t="s">
        <v>475</v>
      </c>
      <c r="B52" s="17" t="n">
        <v>5571</v>
      </c>
      <c r="C52" s="18">
        <f>(4887.0/B52*100)</f>
        <v/>
      </c>
      <c r="D52" s="19" t="n">
        <v>684</v>
      </c>
      <c r="E52" s="18" t="n">
        <v>23.10767608</v>
      </c>
      <c r="F52" s="20" t="n">
        <v>2.00684662</v>
      </c>
      <c r="G52" s="18" t="n">
        <v>57.61222184</v>
      </c>
      <c r="H52" s="20" t="n">
        <v>2.16812417</v>
      </c>
      <c r="I52" s="18" t="n">
        <v>0</v>
      </c>
      <c r="J52" s="20" t="n">
        <v>0</v>
      </c>
      <c r="K52" s="18" t="n">
        <v>0</v>
      </c>
      <c r="L52" s="20" t="n">
        <v>0</v>
      </c>
      <c r="M52" s="18" t="n">
        <v>0</v>
      </c>
      <c r="N52" s="20" t="n">
        <v>0</v>
      </c>
      <c r="O52" s="18" t="n">
        <v>0</v>
      </c>
      <c r="P52" s="20" t="n">
        <v>0</v>
      </c>
      <c r="Q52" s="18" t="n">
        <v>19.28010207</v>
      </c>
      <c r="R52" s="20" t="n">
        <v>1.77854416</v>
      </c>
    </row>
    <row r="53" spans="1:18">
      <c r="A53" s="15" t="s">
        <v>476</v>
      </c>
      <c r="B53" s="17" t="n">
        <v>4740</v>
      </c>
      <c r="C53" s="18">
        <f>(3942.0/B53*100)</f>
        <v/>
      </c>
      <c r="D53" s="19" t="n">
        <v>798</v>
      </c>
      <c r="E53" s="18" t="n">
        <v>46.73923567</v>
      </c>
      <c r="F53" s="20" t="n">
        <v>2.22569653</v>
      </c>
      <c r="G53" s="18" t="n">
        <v>15.8609412</v>
      </c>
      <c r="H53" s="20" t="n">
        <v>1.76251093</v>
      </c>
      <c r="I53" s="18" t="n">
        <v>0</v>
      </c>
      <c r="J53" s="20" t="n">
        <v>0</v>
      </c>
      <c r="K53" s="18" t="n">
        <v>4.56926174</v>
      </c>
      <c r="L53" s="20" t="n">
        <v>0.76733565</v>
      </c>
      <c r="M53" s="18" t="n">
        <v>0</v>
      </c>
      <c r="N53" s="20" t="n">
        <v>0</v>
      </c>
      <c r="O53" s="18" t="n">
        <v>0</v>
      </c>
      <c r="P53" s="20" t="n">
        <v>0</v>
      </c>
      <c r="Q53" s="18" t="n">
        <v>32.83056139</v>
      </c>
      <c r="R53" s="20" t="n">
        <v>1.71017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(4690.0/B55*100)</f>
        <v/>
      </c>
      <c r="D55" s="19" t="n">
        <v>669</v>
      </c>
      <c r="E55" s="18" t="n">
        <v>14.87408614</v>
      </c>
      <c r="F55" s="20" t="n">
        <v>1.5624179</v>
      </c>
      <c r="G55" s="18" t="n">
        <v>73.54743378000001</v>
      </c>
      <c r="H55" s="20" t="n">
        <v>1.55539395</v>
      </c>
      <c r="I55" s="18" t="n">
        <v>0</v>
      </c>
      <c r="J55" s="20" t="n">
        <v>0</v>
      </c>
      <c r="K55" s="18" t="n">
        <v>0</v>
      </c>
      <c r="L55" s="20" t="n">
        <v>0</v>
      </c>
      <c r="M55" s="18" t="n">
        <v>0</v>
      </c>
      <c r="N55" s="20" t="n">
        <v>0</v>
      </c>
      <c r="O55" s="18" t="n">
        <v>0</v>
      </c>
      <c r="P55" s="20" t="n">
        <v>0</v>
      </c>
      <c r="Q55" s="18" t="n">
        <v>11.57848008</v>
      </c>
      <c r="R55" s="20" t="n">
        <v>1.30594766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(5741.0/B61*100)</f>
        <v/>
      </c>
      <c r="D61" s="19" t="n">
        <v>784</v>
      </c>
      <c r="E61" s="18" t="n">
        <v>32.22477334</v>
      </c>
      <c r="F61" s="20" t="n">
        <v>1.97520002</v>
      </c>
      <c r="G61" s="18" t="n">
        <v>57.00325021</v>
      </c>
      <c r="H61" s="20" t="n">
        <v>2.16104147</v>
      </c>
      <c r="I61" s="18" t="n">
        <v>0</v>
      </c>
      <c r="J61" s="20" t="n">
        <v>0</v>
      </c>
      <c r="K61" s="18" t="n">
        <v>0.13003367</v>
      </c>
      <c r="L61" s="20" t="n">
        <v>0.09042041000000001</v>
      </c>
      <c r="M61" s="18" t="n">
        <v>0</v>
      </c>
      <c r="N61" s="20" t="n">
        <v>0</v>
      </c>
      <c r="O61" s="18" t="n">
        <v>0</v>
      </c>
      <c r="P61" s="20" t="n">
        <v>0</v>
      </c>
      <c r="Q61" s="18" t="n">
        <v>10.64194277</v>
      </c>
      <c r="R61" s="20" t="n">
        <v>1.18438041</v>
      </c>
    </row>
    <row r="62" spans="1:18">
      <c r="A62" s="15" t="s">
        <v>486</v>
      </c>
      <c r="B62" s="17" t="n">
        <v>4476</v>
      </c>
      <c r="C62" s="18">
        <f>(3923.0/B62*100)</f>
        <v/>
      </c>
      <c r="D62" s="19" t="n">
        <v>553</v>
      </c>
      <c r="E62" s="18" t="n">
        <v>18.83421225</v>
      </c>
      <c r="F62" s="20" t="n">
        <v>1.7570823</v>
      </c>
      <c r="G62" s="18" t="n">
        <v>72.83413856</v>
      </c>
      <c r="H62" s="20" t="n">
        <v>1.97222545</v>
      </c>
      <c r="I62" s="18" t="n">
        <v>0</v>
      </c>
      <c r="J62" s="20" t="n">
        <v>0</v>
      </c>
      <c r="K62" s="18" t="n">
        <v>0</v>
      </c>
      <c r="L62" s="20" t="n">
        <v>0</v>
      </c>
      <c r="M62" s="18" t="n">
        <v>0</v>
      </c>
      <c r="N62" s="20" t="n">
        <v>0</v>
      </c>
      <c r="O62" s="18" t="n">
        <v>0</v>
      </c>
      <c r="P62" s="20" t="n">
        <v>0</v>
      </c>
      <c r="Q62" s="18" t="n">
        <v>8.33164919</v>
      </c>
      <c r="R62" s="20" t="n">
        <v>1.25683154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(4979.0/B67*100)</f>
        <v/>
      </c>
      <c r="D67" s="19" t="n">
        <v>686</v>
      </c>
      <c r="E67" s="18" t="n">
        <v>25.74011357</v>
      </c>
      <c r="F67" s="20" t="n">
        <v>1.8112235</v>
      </c>
      <c r="G67" s="18" t="n">
        <v>46.96780004</v>
      </c>
      <c r="H67" s="20" t="n">
        <v>1.95268457</v>
      </c>
      <c r="I67" s="18" t="n">
        <v>0</v>
      </c>
      <c r="J67" s="20" t="n">
        <v>0</v>
      </c>
      <c r="K67" s="18" t="n">
        <v>0.87789306</v>
      </c>
      <c r="L67" s="20" t="n">
        <v>0.36001948</v>
      </c>
      <c r="M67" s="18" t="n">
        <v>0</v>
      </c>
      <c r="N67" s="20" t="n">
        <v>0</v>
      </c>
      <c r="O67" s="18" t="n">
        <v>0</v>
      </c>
      <c r="P67" s="20" t="n">
        <v>0</v>
      </c>
      <c r="Q67" s="18" t="n">
        <v>26.41419333</v>
      </c>
      <c r="R67" s="20" t="n">
        <v>1.84873873</v>
      </c>
    </row>
    <row r="68" spans="1:18">
      <c r="A68" s="15" t="s">
        <v>492</v>
      </c>
      <c r="B68" s="17" t="n">
        <v>6971</v>
      </c>
      <c r="C68" s="18">
        <f>(6158.0/B68*100)</f>
        <v/>
      </c>
      <c r="D68" s="19" t="n">
        <v>813</v>
      </c>
      <c r="E68" s="18" t="n">
        <v>40.92745469</v>
      </c>
      <c r="F68" s="20" t="n">
        <v>1.73626378</v>
      </c>
      <c r="G68" s="18" t="n">
        <v>25.24194934</v>
      </c>
      <c r="H68" s="20" t="n">
        <v>1.69675886</v>
      </c>
      <c r="I68" s="18" t="n">
        <v>0</v>
      </c>
      <c r="J68" s="20" t="n">
        <v>0</v>
      </c>
      <c r="K68" s="18" t="n">
        <v>0.13679301</v>
      </c>
      <c r="L68" s="20" t="n">
        <v>0.13635709</v>
      </c>
      <c r="M68" s="18" t="n">
        <v>0</v>
      </c>
      <c r="N68" s="20" t="n">
        <v>0</v>
      </c>
      <c r="O68" s="18" t="n">
        <v>0</v>
      </c>
      <c r="P68" s="20" t="n">
        <v>0</v>
      </c>
      <c r="Q68" s="18" t="n">
        <v>33.69380296</v>
      </c>
      <c r="R68" s="20" t="n">
        <v>1.65067595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(10066.0/B70*100)</f>
        <v/>
      </c>
      <c r="D70" s="19" t="n">
        <v>2017</v>
      </c>
      <c r="E70" s="18" t="n">
        <v>35.37295113</v>
      </c>
      <c r="F70" s="20" t="n">
        <v>1.17090221</v>
      </c>
      <c r="G70" s="18" t="n">
        <v>38.3564068</v>
      </c>
      <c r="H70" s="20" t="n">
        <v>1.04469358</v>
      </c>
      <c r="I70" s="18" t="n">
        <v>0</v>
      </c>
      <c r="J70" s="20" t="n">
        <v>0</v>
      </c>
      <c r="K70" s="18" t="n">
        <v>1.25717485</v>
      </c>
      <c r="L70" s="20" t="n">
        <v>0.25980272</v>
      </c>
      <c r="M70" s="18" t="n">
        <v>0.30915892</v>
      </c>
      <c r="N70" s="20" t="n">
        <v>0.12687075</v>
      </c>
      <c r="O70" s="18" t="n">
        <v>0</v>
      </c>
      <c r="P70" s="20" t="n">
        <v>0</v>
      </c>
      <c r="Q70" s="18" t="n">
        <v>24.70430831</v>
      </c>
      <c r="R70" s="20" t="n">
        <v>1.15922019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(5301.0/B72*100)</f>
        <v/>
      </c>
      <c r="D72" s="19" t="n">
        <v>735</v>
      </c>
      <c r="E72" s="18" t="n">
        <v>33.77381644</v>
      </c>
      <c r="F72" s="20" t="n">
        <v>1.82033795</v>
      </c>
      <c r="G72" s="18" t="n">
        <v>56.39735409</v>
      </c>
      <c r="H72" s="20" t="n">
        <v>2.27329836</v>
      </c>
      <c r="I72" s="18" t="n">
        <v>0</v>
      </c>
      <c r="J72" s="20" t="n">
        <v>0</v>
      </c>
      <c r="K72" s="18" t="n">
        <v>0</v>
      </c>
      <c r="L72" s="20" t="n">
        <v>0</v>
      </c>
      <c r="M72" s="18" t="n">
        <v>0</v>
      </c>
      <c r="N72" s="20" t="n">
        <v>0</v>
      </c>
      <c r="O72" s="18" t="n">
        <v>0</v>
      </c>
      <c r="P72" s="20" t="n">
        <v>0</v>
      </c>
      <c r="Q72" s="18" t="n">
        <v>9.828829470000001</v>
      </c>
      <c r="R72" s="20" t="n">
        <v>1.3649232</v>
      </c>
    </row>
    <row r="73" spans="1:18">
      <c r="A73" s="15" t="s">
        <v>497</v>
      </c>
      <c r="B73" s="17" t="n">
        <v>6115</v>
      </c>
      <c r="C73" s="18">
        <f>(5356.0/B73*100)</f>
        <v/>
      </c>
      <c r="D73" s="19" t="n">
        <v>759</v>
      </c>
      <c r="E73" s="18" t="n">
        <v>13.45160949</v>
      </c>
      <c r="F73" s="20" t="n">
        <v>1.25321369</v>
      </c>
      <c r="G73" s="18" t="n">
        <v>79.48353518</v>
      </c>
      <c r="H73" s="20" t="n">
        <v>1.43202802</v>
      </c>
      <c r="I73" s="18" t="n">
        <v>0</v>
      </c>
      <c r="J73" s="20" t="n">
        <v>0</v>
      </c>
      <c r="K73" s="18" t="n">
        <v>0.12136474</v>
      </c>
      <c r="L73" s="20" t="n">
        <v>0.12149512</v>
      </c>
      <c r="M73" s="18" t="n">
        <v>0</v>
      </c>
      <c r="N73" s="20" t="n">
        <v>0</v>
      </c>
      <c r="O73" s="18" t="n">
        <v>0</v>
      </c>
      <c r="P73" s="20" t="n">
        <v>0</v>
      </c>
      <c r="Q73" s="18" t="n">
        <v>6.9434906</v>
      </c>
      <c r="R73" s="20" t="n">
        <v>0.86284557</v>
      </c>
    </row>
    <row r="74" spans="1:18">
      <c r="A74" s="15" t="s">
        <v>498</v>
      </c>
      <c r="B74" s="17" t="n">
        <v>7708</v>
      </c>
      <c r="C74" s="18">
        <f>(6761.0/B74*100)</f>
        <v/>
      </c>
      <c r="D74" s="19" t="n">
        <v>947</v>
      </c>
      <c r="E74" s="18" t="n">
        <v>26.09563229</v>
      </c>
      <c r="F74" s="20" t="n">
        <v>1.52939015</v>
      </c>
      <c r="G74" s="18" t="n">
        <v>61.28647572</v>
      </c>
      <c r="H74" s="20" t="n">
        <v>1.55610431</v>
      </c>
      <c r="I74" s="18" t="n">
        <v>0</v>
      </c>
      <c r="J74" s="20" t="n">
        <v>0</v>
      </c>
      <c r="K74" s="18" t="n">
        <v>0.30617379</v>
      </c>
      <c r="L74" s="20" t="n">
        <v>0.18267622</v>
      </c>
      <c r="M74" s="18" t="n">
        <v>0</v>
      </c>
      <c r="N74" s="20" t="n">
        <v>0</v>
      </c>
      <c r="O74" s="18" t="n">
        <v>0</v>
      </c>
      <c r="P74" s="20" t="n">
        <v>0</v>
      </c>
      <c r="Q74" s="18" t="n">
        <v>12.3117182</v>
      </c>
      <c r="R74" s="20" t="n">
        <v>0.9771445600000001</v>
      </c>
    </row>
    <row r="75" spans="1:18">
      <c r="A75" s="15" t="s">
        <v>499</v>
      </c>
      <c r="B75" s="17" t="n">
        <v>8249</v>
      </c>
      <c r="C75" s="18">
        <f>(7256.0/B75*100)</f>
        <v/>
      </c>
      <c r="D75" s="19" t="n">
        <v>993</v>
      </c>
      <c r="E75" s="18" t="n">
        <v>36.92954567</v>
      </c>
      <c r="F75" s="20" t="n">
        <v>2.13134561</v>
      </c>
      <c r="G75" s="18" t="n">
        <v>35.82054394</v>
      </c>
      <c r="H75" s="20" t="n">
        <v>1.84496988</v>
      </c>
      <c r="I75" s="18" t="n">
        <v>0</v>
      </c>
      <c r="J75" s="20" t="n">
        <v>0</v>
      </c>
      <c r="K75" s="18" t="n">
        <v>0.00574322</v>
      </c>
      <c r="L75" s="20" t="n">
        <v>0.00577839</v>
      </c>
      <c r="M75" s="18" t="n">
        <v>0.30330096</v>
      </c>
      <c r="N75" s="20" t="n">
        <v>0.02774067</v>
      </c>
      <c r="O75" s="18" t="n">
        <v>0</v>
      </c>
      <c r="P75" s="20" t="n">
        <v>0</v>
      </c>
      <c r="Q75" s="18" t="n">
        <v>26.94086621</v>
      </c>
      <c r="R75" s="20" t="n">
        <v>1.97411221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(4777.0/B77*100)</f>
        <v/>
      </c>
      <c r="D77" s="19" t="n">
        <v>598</v>
      </c>
      <c r="E77" s="18" t="n">
        <v>45.37087411</v>
      </c>
      <c r="F77" s="20" t="n">
        <v>2.21359654</v>
      </c>
      <c r="G77" s="18" t="n">
        <v>13.86191071</v>
      </c>
      <c r="H77" s="20" t="n">
        <v>1.36132508</v>
      </c>
      <c r="I77" s="18" t="n">
        <v>0</v>
      </c>
      <c r="J77" s="20" t="n">
        <v>0</v>
      </c>
      <c r="K77" s="18" t="n">
        <v>1.58005424</v>
      </c>
      <c r="L77" s="20" t="n">
        <v>0.48615644</v>
      </c>
      <c r="M77" s="18" t="n">
        <v>0</v>
      </c>
      <c r="N77" s="20" t="n">
        <v>0</v>
      </c>
      <c r="O77" s="18" t="n">
        <v>0</v>
      </c>
      <c r="P77" s="20" t="n">
        <v>0</v>
      </c>
      <c r="Q77" s="18" t="n">
        <v>39.18716094</v>
      </c>
      <c r="R77" s="20" t="n">
        <v>2.03798591</v>
      </c>
    </row>
    <row r="78" spans="1:18">
      <c r="A78" s="15" t="s">
        <v>502</v>
      </c>
      <c r="B78" s="17" t="n">
        <v>14167</v>
      </c>
      <c r="C78" s="18">
        <f>(12441.0/B78*100)</f>
        <v/>
      </c>
      <c r="D78" s="19" t="n">
        <v>1726</v>
      </c>
      <c r="E78" s="18" t="n">
        <v>37.63754822</v>
      </c>
      <c r="F78" s="20" t="n">
        <v>1.49064451</v>
      </c>
      <c r="G78" s="18" t="n">
        <v>46.34114086</v>
      </c>
      <c r="H78" s="20" t="n">
        <v>1.52582693</v>
      </c>
      <c r="I78" s="18" t="n">
        <v>0</v>
      </c>
      <c r="J78" s="20" t="n">
        <v>0</v>
      </c>
      <c r="K78" s="18" t="n">
        <v>0.34362728</v>
      </c>
      <c r="L78" s="20" t="n">
        <v>0.1553566</v>
      </c>
      <c r="M78" s="18" t="n">
        <v>0</v>
      </c>
      <c r="N78" s="20" t="n">
        <v>0</v>
      </c>
      <c r="O78" s="18" t="n">
        <v>0</v>
      </c>
      <c r="P78" s="20" t="n">
        <v>0</v>
      </c>
      <c r="Q78" s="18" t="n">
        <v>15.67768364</v>
      </c>
      <c r="R78" s="20" t="n">
        <v>1.06794354</v>
      </c>
    </row>
    <row r="79" spans="1:18">
      <c r="A79" s="15" t="s">
        <v>503</v>
      </c>
      <c r="B79" s="17" t="n">
        <v>6062</v>
      </c>
      <c r="C79" s="18">
        <f>(5356.0/B79*100)</f>
        <v/>
      </c>
      <c r="D79" s="19" t="n">
        <v>706</v>
      </c>
      <c r="E79" s="18" t="n">
        <v>32.23175111</v>
      </c>
      <c r="F79" s="20" t="n">
        <v>1.85067036</v>
      </c>
      <c r="G79" s="18" t="n">
        <v>45.11323953</v>
      </c>
      <c r="H79" s="20" t="n">
        <v>2.04148099</v>
      </c>
      <c r="I79" s="18" t="n">
        <v>0</v>
      </c>
      <c r="J79" s="20" t="n">
        <v>0</v>
      </c>
      <c r="K79" s="18" t="n">
        <v>0.62255037</v>
      </c>
      <c r="L79" s="20" t="n">
        <v>0.31379339</v>
      </c>
      <c r="M79" s="18" t="n">
        <v>0</v>
      </c>
      <c r="N79" s="20" t="n">
        <v>0</v>
      </c>
      <c r="O79" s="18" t="n">
        <v>0</v>
      </c>
      <c r="P79" s="20" t="n">
        <v>0</v>
      </c>
      <c r="Q79" s="18" t="n">
        <v>22.03245899</v>
      </c>
      <c r="R79" s="20" t="n">
        <v>1.64707566</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(28388.0/B82*100)</f>
        <v/>
      </c>
      <c r="D82" s="19" t="n">
        <v>3942</v>
      </c>
      <c r="E82" s="18" t="n">
        <v>22.78755818</v>
      </c>
      <c r="F82" s="20" t="n">
        <v>1.06191108</v>
      </c>
      <c r="G82" s="18" t="n">
        <v>65.00830535</v>
      </c>
      <c r="H82" s="20" t="n">
        <v>1.37781086</v>
      </c>
      <c r="I82" s="18" t="n">
        <v>0</v>
      </c>
      <c r="J82" s="20" t="n">
        <v>0</v>
      </c>
      <c r="K82" s="18" t="n">
        <v>0.10434358</v>
      </c>
      <c r="L82" s="20" t="n">
        <v>0.07825842</v>
      </c>
      <c r="M82" s="18" t="n">
        <v>0</v>
      </c>
      <c r="N82" s="20" t="n">
        <v>0</v>
      </c>
      <c r="O82" s="18" t="n">
        <v>0</v>
      </c>
      <c r="P82" s="20" t="n">
        <v>0</v>
      </c>
      <c r="Q82" s="18" t="n">
        <v>12.0997929</v>
      </c>
      <c r="R82" s="20" t="n">
        <v>0.88304041</v>
      </c>
    </row>
    <row r="83" spans="1:18">
      <c r="A83" s="15" t="s">
        <v>507</v>
      </c>
      <c r="B83" s="17" t="n">
        <v>1652</v>
      </c>
      <c r="C83" s="18">
        <f>(1459.0/B83*100)</f>
        <v/>
      </c>
      <c r="D83" s="19" t="n">
        <v>193</v>
      </c>
      <c r="E83" s="18" t="n">
        <v>18.39137588</v>
      </c>
      <c r="F83" s="20" t="n">
        <v>2.30606433</v>
      </c>
      <c r="G83" s="18" t="n">
        <v>72.15774473</v>
      </c>
      <c r="H83" s="20" t="n">
        <v>2.83219593</v>
      </c>
      <c r="I83" s="18" t="n">
        <v>0</v>
      </c>
      <c r="J83" s="20" t="n">
        <v>0</v>
      </c>
      <c r="K83" s="18" t="n">
        <v>0</v>
      </c>
      <c r="L83" s="20" t="n">
        <v>0</v>
      </c>
      <c r="M83" s="18" t="n">
        <v>0</v>
      </c>
      <c r="N83" s="20" t="n">
        <v>0</v>
      </c>
      <c r="O83" s="18" t="n">
        <v>0</v>
      </c>
      <c r="P83" s="20" t="n">
        <v>0</v>
      </c>
      <c r="Q83" s="18" t="n">
        <v>9.450879390000001</v>
      </c>
      <c r="R83" s="20" t="n">
        <v>1.9551755</v>
      </c>
    </row>
    <row r="84" spans="1:18">
      <c r="A84" s="23" t="s">
        <v>508</v>
      </c>
      <c r="B84" s="24" t="n">
        <v>1887</v>
      </c>
      <c r="C84" s="25">
        <f>(1651.0/B84*100)</f>
        <v/>
      </c>
      <c r="D84" s="19" t="n">
        <v>236</v>
      </c>
      <c r="E84" s="18" t="n">
        <v>21.56849081</v>
      </c>
      <c r="F84" s="20" t="n">
        <v>2.68629042</v>
      </c>
      <c r="G84" s="18" t="n">
        <v>71.51572227</v>
      </c>
      <c r="H84" s="20" t="n">
        <v>3.52991378</v>
      </c>
      <c r="I84" s="18" t="n">
        <v>0</v>
      </c>
      <c r="J84" s="20" t="n">
        <v>0</v>
      </c>
      <c r="K84" s="18" t="n">
        <v>0</v>
      </c>
      <c r="L84" s="20" t="n">
        <v>0</v>
      </c>
      <c r="M84" s="18" t="n">
        <v>0</v>
      </c>
      <c r="N84" s="20" t="n">
        <v>0</v>
      </c>
      <c r="O84" s="18" t="n">
        <v>0</v>
      </c>
      <c r="P84" s="20" t="n">
        <v>0</v>
      </c>
      <c r="Q84" s="18" t="n">
        <v>6.91578692</v>
      </c>
      <c r="R84" s="20" t="n">
        <v>1.71718664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(12711.0/B7*100)</f>
        <v/>
      </c>
      <c r="D7" s="19" t="n">
        <v>1819</v>
      </c>
      <c r="E7" s="18" t="n">
        <v>11.91108158</v>
      </c>
      <c r="F7" s="20" t="n">
        <v>0.89582876</v>
      </c>
      <c r="G7" s="18" t="n">
        <v>80.50893268999999</v>
      </c>
      <c r="H7" s="20" t="n">
        <v>0.88295214</v>
      </c>
      <c r="I7" s="18" t="n">
        <v>0</v>
      </c>
      <c r="J7" s="20" t="n">
        <v>0</v>
      </c>
      <c r="K7" s="18" t="n">
        <v>0.11222737</v>
      </c>
      <c r="L7" s="20" t="n">
        <v>0.09988547</v>
      </c>
      <c r="M7" s="18" t="n">
        <v>0</v>
      </c>
      <c r="N7" s="20" t="n">
        <v>0</v>
      </c>
      <c r="O7" s="18" t="n">
        <v>0</v>
      </c>
      <c r="P7" s="20" t="n">
        <v>0</v>
      </c>
      <c r="Q7" s="18" t="n">
        <v>7.46775836</v>
      </c>
      <c r="R7" s="20" t="n">
        <v>0.6588695</v>
      </c>
    </row>
    <row r="8" spans="1:18">
      <c r="A8" s="15" t="s">
        <v>430</v>
      </c>
      <c r="B8" s="17" t="n">
        <v>7007</v>
      </c>
      <c r="C8" s="18">
        <f>(6159.0/B8*100)</f>
        <v/>
      </c>
      <c r="D8" s="19" t="n">
        <v>848</v>
      </c>
      <c r="E8" s="18" t="n">
        <v>13.37052238</v>
      </c>
      <c r="F8" s="20" t="n">
        <v>1.40261998</v>
      </c>
      <c r="G8" s="18" t="n">
        <v>80.32253102</v>
      </c>
      <c r="H8" s="20" t="n">
        <v>1.59924648</v>
      </c>
      <c r="I8" s="18" t="n">
        <v>0</v>
      </c>
      <c r="J8" s="20" t="n">
        <v>0</v>
      </c>
      <c r="K8" s="18" t="n">
        <v>0</v>
      </c>
      <c r="L8" s="20" t="n">
        <v>0</v>
      </c>
      <c r="M8" s="18" t="n">
        <v>0</v>
      </c>
      <c r="N8" s="20" t="n">
        <v>0</v>
      </c>
      <c r="O8" s="18" t="n">
        <v>0</v>
      </c>
      <c r="P8" s="20" t="n">
        <v>0</v>
      </c>
      <c r="Q8" s="18" t="n">
        <v>6.30694661</v>
      </c>
      <c r="R8" s="20" t="n">
        <v>0.8033345</v>
      </c>
    </row>
    <row r="9" spans="1:18">
      <c r="A9" s="15" t="s">
        <v>431</v>
      </c>
      <c r="B9" s="17" t="n">
        <v>9651</v>
      </c>
      <c r="C9" s="18">
        <f>(8500.0/B9*100)</f>
        <v/>
      </c>
      <c r="D9" s="19" t="n">
        <v>1151</v>
      </c>
      <c r="E9" s="18" t="n">
        <v>16.86468773</v>
      </c>
      <c r="F9" s="20" t="n">
        <v>1.34728753</v>
      </c>
      <c r="G9" s="18" t="n">
        <v>75.79548548</v>
      </c>
      <c r="H9" s="20" t="n">
        <v>1.35392053</v>
      </c>
      <c r="I9" s="18" t="n">
        <v>0</v>
      </c>
      <c r="J9" s="20" t="n">
        <v>0</v>
      </c>
      <c r="K9" s="18" t="n">
        <v>0.07781697999999999</v>
      </c>
      <c r="L9" s="20" t="n">
        <v>0.07518294</v>
      </c>
      <c r="M9" s="18" t="n">
        <v>0</v>
      </c>
      <c r="N9" s="20" t="n">
        <v>0</v>
      </c>
      <c r="O9" s="18" t="n">
        <v>0</v>
      </c>
      <c r="P9" s="20" t="n">
        <v>0</v>
      </c>
      <c r="Q9" s="18" t="n">
        <v>7.26200981</v>
      </c>
      <c r="R9" s="20" t="n">
        <v>0.6828122599999999</v>
      </c>
    </row>
    <row r="10" spans="1:18">
      <c r="A10" s="15" t="s">
        <v>432</v>
      </c>
      <c r="B10" s="17" t="n">
        <v>20058</v>
      </c>
      <c r="C10" s="18">
        <f>(17617.0/B10*100)</f>
        <v/>
      </c>
      <c r="D10" s="19" t="n">
        <v>2441</v>
      </c>
      <c r="E10" s="18" t="n">
        <v>12.37241262</v>
      </c>
      <c r="F10" s="20" t="n">
        <v>0.87258506</v>
      </c>
      <c r="G10" s="18" t="n">
        <v>81.29076225999999</v>
      </c>
      <c r="H10" s="20" t="n">
        <v>1.26873835</v>
      </c>
      <c r="I10" s="18" t="n">
        <v>0</v>
      </c>
      <c r="J10" s="20" t="n">
        <v>0</v>
      </c>
      <c r="K10" s="18" t="n">
        <v>0.10618841</v>
      </c>
      <c r="L10" s="20" t="n">
        <v>0.10092006</v>
      </c>
      <c r="M10" s="18" t="n">
        <v>0</v>
      </c>
      <c r="N10" s="20" t="n">
        <v>0</v>
      </c>
      <c r="O10" s="18" t="n">
        <v>0</v>
      </c>
      <c r="P10" s="20" t="n">
        <v>0</v>
      </c>
      <c r="Q10" s="18" t="n">
        <v>6.2306367</v>
      </c>
      <c r="R10" s="20" t="n">
        <v>0.73965059</v>
      </c>
    </row>
    <row r="11" spans="1:18">
      <c r="A11" s="15" t="s">
        <v>433</v>
      </c>
      <c r="B11" s="17" t="n">
        <v>7053</v>
      </c>
      <c r="C11" s="18">
        <f>(6187.0/B11*100)</f>
        <v/>
      </c>
      <c r="D11" s="19" t="n">
        <v>866</v>
      </c>
      <c r="E11" s="18" t="n">
        <v>28.36676491</v>
      </c>
      <c r="F11" s="20" t="n">
        <v>1.76366267</v>
      </c>
      <c r="G11" s="18" t="n">
        <v>48.89186153</v>
      </c>
      <c r="H11" s="20" t="n">
        <v>2.04379232</v>
      </c>
      <c r="I11" s="18" t="n">
        <v>0</v>
      </c>
      <c r="J11" s="20" t="n">
        <v>0</v>
      </c>
      <c r="K11" s="18" t="n">
        <v>0</v>
      </c>
      <c r="L11" s="20" t="n">
        <v>0</v>
      </c>
      <c r="M11" s="18" t="n">
        <v>0</v>
      </c>
      <c r="N11" s="20" t="n">
        <v>0</v>
      </c>
      <c r="O11" s="18" t="n">
        <v>0</v>
      </c>
      <c r="P11" s="20" t="n">
        <v>0</v>
      </c>
      <c r="Q11" s="18" t="n">
        <v>22.74137355</v>
      </c>
      <c r="R11" s="20" t="n">
        <v>1.65017787</v>
      </c>
    </row>
    <row r="12" spans="1:18">
      <c r="A12" s="15" t="s">
        <v>434</v>
      </c>
      <c r="B12" s="17" t="n">
        <v>6894</v>
      </c>
      <c r="C12" s="18">
        <f>(6057.0/B12*100)</f>
        <v/>
      </c>
      <c r="D12" s="19" t="n">
        <v>837</v>
      </c>
      <c r="E12" s="18" t="n">
        <v>19.49214995</v>
      </c>
      <c r="F12" s="20" t="n">
        <v>1.57210601</v>
      </c>
      <c r="G12" s="18" t="n">
        <v>73.66542112</v>
      </c>
      <c r="H12" s="20" t="n">
        <v>1.89708862</v>
      </c>
      <c r="I12" s="18" t="n">
        <v>0</v>
      </c>
      <c r="J12" s="20" t="n">
        <v>0</v>
      </c>
      <c r="K12" s="18" t="n">
        <v>0</v>
      </c>
      <c r="L12" s="20" t="n">
        <v>0</v>
      </c>
      <c r="M12" s="18" t="n">
        <v>0</v>
      </c>
      <c r="N12" s="20" t="n">
        <v>0</v>
      </c>
      <c r="O12" s="18" t="n">
        <v>0</v>
      </c>
      <c r="P12" s="20" t="n">
        <v>0</v>
      </c>
      <c r="Q12" s="18" t="n">
        <v>6.84242893</v>
      </c>
      <c r="R12" s="20" t="n">
        <v>1.04119376</v>
      </c>
    </row>
    <row r="13" spans="1:18">
      <c r="A13" s="15" t="s">
        <v>435</v>
      </c>
      <c r="B13" s="17" t="n">
        <v>7161</v>
      </c>
      <c r="C13" s="18">
        <f>(6332.0/B13*100)</f>
        <v/>
      </c>
      <c r="D13" s="19" t="n">
        <v>829</v>
      </c>
      <c r="E13" s="18" t="n">
        <v>11.06161672</v>
      </c>
      <c r="F13" s="20" t="n">
        <v>1.40016441</v>
      </c>
      <c r="G13" s="18" t="n">
        <v>83.83567051</v>
      </c>
      <c r="H13" s="20" t="n">
        <v>1.70664163</v>
      </c>
      <c r="I13" s="18" t="n">
        <v>0</v>
      </c>
      <c r="J13" s="20" t="n">
        <v>0</v>
      </c>
      <c r="K13" s="18" t="n">
        <v>0.24986237</v>
      </c>
      <c r="L13" s="20" t="n">
        <v>0.12269246</v>
      </c>
      <c r="M13" s="18" t="n">
        <v>0</v>
      </c>
      <c r="N13" s="20" t="n">
        <v>0</v>
      </c>
      <c r="O13" s="18" t="n">
        <v>0</v>
      </c>
      <c r="P13" s="20" t="n">
        <v>0</v>
      </c>
      <c r="Q13" s="18" t="n">
        <v>4.8528504</v>
      </c>
      <c r="R13" s="20" t="n">
        <v>0.96765976</v>
      </c>
    </row>
    <row r="14" spans="1:18">
      <c r="A14" s="15" t="s">
        <v>436</v>
      </c>
      <c r="B14" s="17" t="n">
        <v>5587</v>
      </c>
      <c r="C14" s="18">
        <f>(4915.0/B14*100)</f>
        <v/>
      </c>
      <c r="D14" s="19" t="n">
        <v>672</v>
      </c>
      <c r="E14" s="18" t="n">
        <v>12.33197429</v>
      </c>
      <c r="F14" s="20" t="n">
        <v>1.3065015</v>
      </c>
      <c r="G14" s="18" t="n">
        <v>84.37718881000001</v>
      </c>
      <c r="H14" s="20" t="n">
        <v>1.45767401</v>
      </c>
      <c r="I14" s="18" t="n">
        <v>0</v>
      </c>
      <c r="J14" s="20" t="n">
        <v>0</v>
      </c>
      <c r="K14" s="18" t="n">
        <v>0</v>
      </c>
      <c r="L14" s="20" t="n">
        <v>0</v>
      </c>
      <c r="M14" s="18" t="n">
        <v>0</v>
      </c>
      <c r="N14" s="20" t="n">
        <v>0</v>
      </c>
      <c r="O14" s="18" t="n">
        <v>0</v>
      </c>
      <c r="P14" s="20" t="n">
        <v>0</v>
      </c>
      <c r="Q14" s="18" t="n">
        <v>3.2908369</v>
      </c>
      <c r="R14" s="20" t="n">
        <v>0.77747492</v>
      </c>
    </row>
    <row r="15" spans="1:18">
      <c r="A15" s="15" t="s">
        <v>437</v>
      </c>
      <c r="B15" s="17" t="n">
        <v>5882</v>
      </c>
      <c r="C15" s="18">
        <f>(5161.0/B15*100)</f>
        <v/>
      </c>
      <c r="D15" s="19" t="n">
        <v>721</v>
      </c>
      <c r="E15" s="18" t="n">
        <v>13.95757659</v>
      </c>
      <c r="F15" s="20" t="n">
        <v>1.30835572</v>
      </c>
      <c r="G15" s="18" t="n">
        <v>81.62312343000001</v>
      </c>
      <c r="H15" s="20" t="n">
        <v>1.51757725</v>
      </c>
      <c r="I15" s="18" t="n">
        <v>0</v>
      </c>
      <c r="J15" s="20" t="n">
        <v>0</v>
      </c>
      <c r="K15" s="18" t="n">
        <v>0</v>
      </c>
      <c r="L15" s="20" t="n">
        <v>0</v>
      </c>
      <c r="M15" s="18" t="n">
        <v>0</v>
      </c>
      <c r="N15" s="20" t="n">
        <v>0</v>
      </c>
      <c r="O15" s="18" t="n">
        <v>0</v>
      </c>
      <c r="P15" s="20" t="n">
        <v>0</v>
      </c>
      <c r="Q15" s="18" t="n">
        <v>4.41929997</v>
      </c>
      <c r="R15" s="20" t="n">
        <v>0.6824531700000001</v>
      </c>
    </row>
    <row r="16" spans="1:18">
      <c r="A16" s="15" t="s">
        <v>438</v>
      </c>
      <c r="B16" s="17" t="n">
        <v>6108</v>
      </c>
      <c r="C16" s="18">
        <f>(5347.0/B16*100)</f>
        <v/>
      </c>
      <c r="D16" s="19" t="n">
        <v>761</v>
      </c>
      <c r="E16" s="18" t="n">
        <v>16.5463724</v>
      </c>
      <c r="F16" s="20" t="n">
        <v>1.39718028</v>
      </c>
      <c r="G16" s="18" t="n">
        <v>72.96591493</v>
      </c>
      <c r="H16" s="20" t="n">
        <v>1.75004301</v>
      </c>
      <c r="I16" s="18" t="n">
        <v>0</v>
      </c>
      <c r="J16" s="20" t="n">
        <v>0</v>
      </c>
      <c r="K16" s="18" t="n">
        <v>0.27725544</v>
      </c>
      <c r="L16" s="20" t="n">
        <v>0.24206877</v>
      </c>
      <c r="M16" s="18" t="n">
        <v>0</v>
      </c>
      <c r="N16" s="20" t="n">
        <v>0</v>
      </c>
      <c r="O16" s="18" t="n">
        <v>0</v>
      </c>
      <c r="P16" s="20" t="n">
        <v>0</v>
      </c>
      <c r="Q16" s="18" t="n">
        <v>10.21045723</v>
      </c>
      <c r="R16" s="20" t="n">
        <v>1.2506815</v>
      </c>
    </row>
    <row r="17" spans="1:18">
      <c r="A17" s="15" t="s">
        <v>439</v>
      </c>
      <c r="B17" s="17" t="n">
        <v>6504</v>
      </c>
      <c r="C17" s="18">
        <f>(5710.0/B17*100)</f>
        <v/>
      </c>
      <c r="D17" s="19" t="n">
        <v>794</v>
      </c>
      <c r="E17" s="18" t="n">
        <v>14.56347379</v>
      </c>
      <c r="F17" s="20" t="n">
        <v>1.49608195</v>
      </c>
      <c r="G17" s="18" t="n">
        <v>79.80976195</v>
      </c>
      <c r="H17" s="20" t="n">
        <v>1.54846024</v>
      </c>
      <c r="I17" s="18" t="n">
        <v>0</v>
      </c>
      <c r="J17" s="20" t="n">
        <v>0</v>
      </c>
      <c r="K17" s="18" t="n">
        <v>0.17695239</v>
      </c>
      <c r="L17" s="20" t="n">
        <v>0.15415955</v>
      </c>
      <c r="M17" s="18" t="n">
        <v>0</v>
      </c>
      <c r="N17" s="20" t="n">
        <v>0</v>
      </c>
      <c r="O17" s="18" t="n">
        <v>0</v>
      </c>
      <c r="P17" s="20" t="n">
        <v>0</v>
      </c>
      <c r="Q17" s="18" t="n">
        <v>5.44981188</v>
      </c>
      <c r="R17" s="20" t="n">
        <v>0.99805234</v>
      </c>
    </row>
    <row r="18" spans="1:18">
      <c r="A18" s="15" t="s">
        <v>440</v>
      </c>
      <c r="B18" s="17" t="n">
        <v>5532</v>
      </c>
      <c r="C18" s="18">
        <f>(4846.0/B18*100)</f>
        <v/>
      </c>
      <c r="D18" s="19" t="n">
        <v>686</v>
      </c>
      <c r="E18" s="18" t="n">
        <v>27.0004007</v>
      </c>
      <c r="F18" s="20" t="n">
        <v>1.63940339</v>
      </c>
      <c r="G18" s="18" t="n">
        <v>60.47528164</v>
      </c>
      <c r="H18" s="20" t="n">
        <v>2.07212582</v>
      </c>
      <c r="I18" s="18" t="n">
        <v>0</v>
      </c>
      <c r="J18" s="20" t="n">
        <v>0</v>
      </c>
      <c r="K18" s="18" t="n">
        <v>0</v>
      </c>
      <c r="L18" s="20" t="n">
        <v>0</v>
      </c>
      <c r="M18" s="18" t="n">
        <v>0</v>
      </c>
      <c r="N18" s="20" t="n">
        <v>0</v>
      </c>
      <c r="O18" s="18" t="n">
        <v>0</v>
      </c>
      <c r="P18" s="20" t="n">
        <v>0</v>
      </c>
      <c r="Q18" s="18" t="n">
        <v>12.52431766</v>
      </c>
      <c r="R18" s="20" t="n">
        <v>1.38113869</v>
      </c>
    </row>
    <row r="19" spans="1:18">
      <c r="A19" s="15" t="s">
        <v>441</v>
      </c>
      <c r="B19" s="17" t="n">
        <v>5658</v>
      </c>
      <c r="C19" s="18">
        <f>(4967.0/B19*100)</f>
        <v/>
      </c>
      <c r="D19" s="19" t="n">
        <v>691</v>
      </c>
      <c r="E19" s="18" t="n">
        <v>14.80841362</v>
      </c>
      <c r="F19" s="20" t="n">
        <v>1.48466538</v>
      </c>
      <c r="G19" s="18" t="n">
        <v>70.58458385</v>
      </c>
      <c r="H19" s="20" t="n">
        <v>1.54379911</v>
      </c>
      <c r="I19" s="18" t="n">
        <v>0</v>
      </c>
      <c r="J19" s="20" t="n">
        <v>0</v>
      </c>
      <c r="K19" s="18" t="n">
        <v>0</v>
      </c>
      <c r="L19" s="20" t="n">
        <v>0</v>
      </c>
      <c r="M19" s="18" t="n">
        <v>0</v>
      </c>
      <c r="N19" s="20" t="n">
        <v>0</v>
      </c>
      <c r="O19" s="18" t="n">
        <v>0</v>
      </c>
      <c r="P19" s="20" t="n">
        <v>0</v>
      </c>
      <c r="Q19" s="18" t="n">
        <v>14.60700252</v>
      </c>
      <c r="R19" s="20" t="n">
        <v>1.54415928</v>
      </c>
    </row>
    <row r="20" spans="1:18">
      <c r="A20" s="15" t="s">
        <v>442</v>
      </c>
      <c r="B20" s="17" t="n">
        <v>3371</v>
      </c>
      <c r="C20" s="18">
        <f>(2952.0/B20*100)</f>
        <v/>
      </c>
      <c r="D20" s="19" t="n">
        <v>419</v>
      </c>
      <c r="E20" s="18" t="n">
        <v>19.05482882</v>
      </c>
      <c r="F20" s="20" t="n">
        <v>2.07643992</v>
      </c>
      <c r="G20" s="18" t="n">
        <v>70.79262438000001</v>
      </c>
      <c r="H20" s="20" t="n">
        <v>2.48748575</v>
      </c>
      <c r="I20" s="18" t="n">
        <v>0</v>
      </c>
      <c r="J20" s="20" t="n">
        <v>0</v>
      </c>
      <c r="K20" s="18" t="n">
        <v>0</v>
      </c>
      <c r="L20" s="20" t="n">
        <v>0</v>
      </c>
      <c r="M20" s="18" t="n">
        <v>0</v>
      </c>
      <c r="N20" s="20" t="n">
        <v>0</v>
      </c>
      <c r="O20" s="18" t="n">
        <v>0</v>
      </c>
      <c r="P20" s="20" t="n">
        <v>0</v>
      </c>
      <c r="Q20" s="18" t="n">
        <v>10.1525468</v>
      </c>
      <c r="R20" s="20" t="n">
        <v>1.6200169</v>
      </c>
    </row>
    <row r="21" spans="1:18">
      <c r="A21" s="15" t="s">
        <v>443</v>
      </c>
      <c r="B21" s="17" t="n">
        <v>5741</v>
      </c>
      <c r="C21" s="18">
        <f>(4793.0/B21*100)</f>
        <v/>
      </c>
      <c r="D21" s="19" t="n">
        <v>948</v>
      </c>
      <c r="E21" s="18" t="n">
        <v>6.37220273</v>
      </c>
      <c r="F21" s="20" t="n">
        <v>0.80946006</v>
      </c>
      <c r="G21" s="18" t="n">
        <v>88.77794411000001</v>
      </c>
      <c r="H21" s="20" t="n">
        <v>0.90638397</v>
      </c>
      <c r="I21" s="18" t="n">
        <v>0</v>
      </c>
      <c r="J21" s="20" t="n">
        <v>0</v>
      </c>
      <c r="K21" s="18" t="n">
        <v>0.09126556</v>
      </c>
      <c r="L21" s="20" t="n">
        <v>0.06593515</v>
      </c>
      <c r="M21" s="18" t="n">
        <v>0</v>
      </c>
      <c r="N21" s="20" t="n">
        <v>0</v>
      </c>
      <c r="O21" s="18" t="n">
        <v>0</v>
      </c>
      <c r="P21" s="20" t="n">
        <v>0</v>
      </c>
      <c r="Q21" s="18" t="n">
        <v>4.75858759</v>
      </c>
      <c r="R21" s="20" t="n">
        <v>0.73588982</v>
      </c>
    </row>
    <row r="22" spans="1:18">
      <c r="A22" s="15" t="s">
        <v>444</v>
      </c>
      <c r="B22" s="17" t="n">
        <v>6598</v>
      </c>
      <c r="C22" s="18">
        <f>(5765.0/B22*100)</f>
        <v/>
      </c>
      <c r="D22" s="19" t="n">
        <v>833</v>
      </c>
      <c r="E22" s="18" t="n">
        <v>16.21705174</v>
      </c>
      <c r="F22" s="20" t="n">
        <v>1.49473357</v>
      </c>
      <c r="G22" s="18" t="n">
        <v>69.54700083</v>
      </c>
      <c r="H22" s="20" t="n">
        <v>1.83907188</v>
      </c>
      <c r="I22" s="18" t="n">
        <v>0</v>
      </c>
      <c r="J22" s="20" t="n">
        <v>0</v>
      </c>
      <c r="K22" s="18" t="n">
        <v>0.20102447</v>
      </c>
      <c r="L22" s="20" t="n">
        <v>0.15186398</v>
      </c>
      <c r="M22" s="18" t="n">
        <v>0</v>
      </c>
      <c r="N22" s="20" t="n">
        <v>0</v>
      </c>
      <c r="O22" s="18" t="n">
        <v>0</v>
      </c>
      <c r="P22" s="20" t="n">
        <v>0</v>
      </c>
      <c r="Q22" s="18" t="n">
        <v>14.03492296</v>
      </c>
      <c r="R22" s="20" t="n">
        <v>1.51715402</v>
      </c>
    </row>
    <row r="23" spans="1:18">
      <c r="A23" s="15" t="s">
        <v>445</v>
      </c>
      <c r="B23" s="17" t="n">
        <v>11583</v>
      </c>
      <c r="C23" s="18">
        <f>(10185.0/B23*100)</f>
        <v/>
      </c>
      <c r="D23" s="19" t="n">
        <v>1398</v>
      </c>
      <c r="E23" s="18" t="n">
        <v>15.44974182</v>
      </c>
      <c r="F23" s="20" t="n">
        <v>1.48252625</v>
      </c>
      <c r="G23" s="18" t="n">
        <v>77.75970809</v>
      </c>
      <c r="H23" s="20" t="n">
        <v>1.84651679</v>
      </c>
      <c r="I23" s="18" t="n">
        <v>0</v>
      </c>
      <c r="J23" s="20" t="n">
        <v>0</v>
      </c>
      <c r="K23" s="18" t="n">
        <v>0.22006426</v>
      </c>
      <c r="L23" s="20" t="n">
        <v>0.21625155</v>
      </c>
      <c r="M23" s="18" t="n">
        <v>0</v>
      </c>
      <c r="N23" s="20" t="n">
        <v>0</v>
      </c>
      <c r="O23" s="18" t="n">
        <v>0</v>
      </c>
      <c r="P23" s="20" t="n">
        <v>0</v>
      </c>
      <c r="Q23" s="18" t="n">
        <v>6.57048584</v>
      </c>
      <c r="R23" s="20" t="n">
        <v>1.04968118</v>
      </c>
    </row>
    <row r="24" spans="1:18">
      <c r="A24" s="15" t="s">
        <v>446</v>
      </c>
      <c r="B24" s="17" t="n">
        <v>6647</v>
      </c>
      <c r="C24" s="18">
        <f>(5810.0/B24*100)</f>
        <v/>
      </c>
      <c r="D24" s="19" t="n">
        <v>837</v>
      </c>
      <c r="E24" s="18" t="n">
        <v>12.66460357</v>
      </c>
      <c r="F24" s="20" t="n">
        <v>1.04909764</v>
      </c>
      <c r="G24" s="18" t="n">
        <v>78.29616720999999</v>
      </c>
      <c r="H24" s="20" t="n">
        <v>1.42863506</v>
      </c>
      <c r="I24" s="18" t="n">
        <v>0</v>
      </c>
      <c r="J24" s="20" t="n">
        <v>0</v>
      </c>
      <c r="K24" s="18" t="n">
        <v>0.20683933</v>
      </c>
      <c r="L24" s="20" t="n">
        <v>0.14430741</v>
      </c>
      <c r="M24" s="18" t="n">
        <v>0</v>
      </c>
      <c r="N24" s="20" t="n">
        <v>0</v>
      </c>
      <c r="O24" s="18" t="n">
        <v>0</v>
      </c>
      <c r="P24" s="20" t="n">
        <v>0</v>
      </c>
      <c r="Q24" s="18" t="n">
        <v>8.83238989</v>
      </c>
      <c r="R24" s="20" t="n">
        <v>1.07112802</v>
      </c>
    </row>
    <row r="25" spans="1:18">
      <c r="A25" s="15" t="s">
        <v>447</v>
      </c>
      <c r="B25" s="17" t="n">
        <v>5581</v>
      </c>
      <c r="C25" s="18">
        <f>(4883.0/B25*100)</f>
        <v/>
      </c>
      <c r="D25" s="19" t="n">
        <v>698</v>
      </c>
      <c r="E25" s="18" t="n">
        <v>8.892842659999999</v>
      </c>
      <c r="F25" s="20" t="n">
        <v>1.02783298</v>
      </c>
      <c r="G25" s="18" t="n">
        <v>81.92693047</v>
      </c>
      <c r="H25" s="20" t="n">
        <v>1.64235128</v>
      </c>
      <c r="I25" s="18" t="n">
        <v>0</v>
      </c>
      <c r="J25" s="20" t="n">
        <v>0</v>
      </c>
      <c r="K25" s="18" t="n">
        <v>0.14377859</v>
      </c>
      <c r="L25" s="20" t="n">
        <v>0.14377038</v>
      </c>
      <c r="M25" s="18" t="n">
        <v>0</v>
      </c>
      <c r="N25" s="20" t="n">
        <v>0</v>
      </c>
      <c r="O25" s="18" t="n">
        <v>0</v>
      </c>
      <c r="P25" s="20" t="n">
        <v>0</v>
      </c>
      <c r="Q25" s="18" t="n">
        <v>9.03644828</v>
      </c>
      <c r="R25" s="20" t="n">
        <v>1.1333001</v>
      </c>
    </row>
    <row r="26" spans="1:18">
      <c r="A26" s="15" t="s">
        <v>448</v>
      </c>
      <c r="B26" s="17" t="n">
        <v>4869</v>
      </c>
      <c r="C26" s="18">
        <f>(4278.0/B26*100)</f>
        <v/>
      </c>
      <c r="D26" s="19" t="n">
        <v>591</v>
      </c>
      <c r="E26" s="18" t="n">
        <v>16.59888054</v>
      </c>
      <c r="F26" s="20" t="n">
        <v>2.01170746</v>
      </c>
      <c r="G26" s="18" t="n">
        <v>76.81229503</v>
      </c>
      <c r="H26" s="20" t="n">
        <v>2.11701143</v>
      </c>
      <c r="I26" s="18" t="n">
        <v>0</v>
      </c>
      <c r="J26" s="20" t="n">
        <v>0</v>
      </c>
      <c r="K26" s="18" t="n">
        <v>0</v>
      </c>
      <c r="L26" s="20" t="n">
        <v>0</v>
      </c>
      <c r="M26" s="18" t="n">
        <v>0</v>
      </c>
      <c r="N26" s="20" t="n">
        <v>0</v>
      </c>
      <c r="O26" s="18" t="n">
        <v>0</v>
      </c>
      <c r="P26" s="20" t="n">
        <v>0</v>
      </c>
      <c r="Q26" s="18" t="n">
        <v>6.58882443</v>
      </c>
      <c r="R26" s="20" t="n">
        <v>1.08046491</v>
      </c>
    </row>
    <row r="27" spans="1:18">
      <c r="A27" s="15" t="s">
        <v>449</v>
      </c>
      <c r="B27" s="17" t="n">
        <v>5299</v>
      </c>
      <c r="C27" s="18">
        <f>(4642.0/B27*100)</f>
        <v/>
      </c>
      <c r="D27" s="19" t="n">
        <v>657</v>
      </c>
      <c r="E27" s="18" t="n">
        <v>20.50498913</v>
      </c>
      <c r="F27" s="20" t="n">
        <v>1.64692564</v>
      </c>
      <c r="G27" s="18" t="n">
        <v>69.81279342000001</v>
      </c>
      <c r="H27" s="20" t="n">
        <v>1.85558136</v>
      </c>
      <c r="I27" s="18" t="n">
        <v>0</v>
      </c>
      <c r="J27" s="20" t="n">
        <v>0</v>
      </c>
      <c r="K27" s="18" t="n">
        <v>0</v>
      </c>
      <c r="L27" s="20" t="n">
        <v>0</v>
      </c>
      <c r="M27" s="18" t="n">
        <v>0</v>
      </c>
      <c r="N27" s="20" t="n">
        <v>0</v>
      </c>
      <c r="O27" s="18" t="n">
        <v>0</v>
      </c>
      <c r="P27" s="20" t="n">
        <v>0</v>
      </c>
      <c r="Q27" s="18" t="n">
        <v>9.68221745</v>
      </c>
      <c r="R27" s="20" t="n">
        <v>1.01028241</v>
      </c>
    </row>
    <row r="28" spans="1:18">
      <c r="A28" s="15" t="s">
        <v>450</v>
      </c>
      <c r="B28" s="17" t="n">
        <v>7568</v>
      </c>
      <c r="C28" s="18">
        <f>(6678.0/B28*100)</f>
        <v/>
      </c>
      <c r="D28" s="19" t="n">
        <v>890</v>
      </c>
      <c r="E28" s="18" t="n">
        <v>45.615718</v>
      </c>
      <c r="F28" s="20" t="n">
        <v>1.94515689</v>
      </c>
      <c r="G28" s="18" t="n">
        <v>35.11634582</v>
      </c>
      <c r="H28" s="20" t="n">
        <v>2.14525371</v>
      </c>
      <c r="I28" s="18" t="n">
        <v>0</v>
      </c>
      <c r="J28" s="20" t="n">
        <v>0</v>
      </c>
      <c r="K28" s="18" t="n">
        <v>0</v>
      </c>
      <c r="L28" s="20" t="n">
        <v>0</v>
      </c>
      <c r="M28" s="18" t="n">
        <v>0</v>
      </c>
      <c r="N28" s="20" t="n">
        <v>0</v>
      </c>
      <c r="O28" s="18" t="n">
        <v>0</v>
      </c>
      <c r="P28" s="20" t="n">
        <v>0</v>
      </c>
      <c r="Q28" s="18" t="n">
        <v>19.26793618</v>
      </c>
      <c r="R28" s="20" t="n">
        <v>1.29810084</v>
      </c>
    </row>
    <row r="29" spans="1:18">
      <c r="A29" s="15" t="s">
        <v>451</v>
      </c>
      <c r="B29" s="17" t="n">
        <v>5385</v>
      </c>
      <c r="C29" s="18">
        <f>(4727.0/B29*100)</f>
        <v/>
      </c>
      <c r="D29" s="19" t="n">
        <v>658</v>
      </c>
      <c r="E29" s="18" t="n">
        <v>13.14273043</v>
      </c>
      <c r="F29" s="20" t="n">
        <v>1.44878873</v>
      </c>
      <c r="G29" s="18" t="n">
        <v>82.55333822999999</v>
      </c>
      <c r="H29" s="20" t="n">
        <v>1.55411094</v>
      </c>
      <c r="I29" s="18" t="n">
        <v>0</v>
      </c>
      <c r="J29" s="20" t="n">
        <v>0</v>
      </c>
      <c r="K29" s="18" t="n">
        <v>0</v>
      </c>
      <c r="L29" s="20" t="n">
        <v>0</v>
      </c>
      <c r="M29" s="18" t="n">
        <v>0</v>
      </c>
      <c r="N29" s="20" t="n">
        <v>0</v>
      </c>
      <c r="O29" s="18" t="n">
        <v>0</v>
      </c>
      <c r="P29" s="20" t="n">
        <v>0</v>
      </c>
      <c r="Q29" s="18" t="n">
        <v>4.30393133</v>
      </c>
      <c r="R29" s="20" t="n">
        <v>0.77398143</v>
      </c>
    </row>
    <row r="30" spans="1:18">
      <c r="A30" s="15" t="s">
        <v>452</v>
      </c>
      <c r="B30" s="17" t="n">
        <v>4520</v>
      </c>
      <c r="C30" s="18">
        <f>(3962.0/B30*100)</f>
        <v/>
      </c>
      <c r="D30" s="19" t="n">
        <v>558</v>
      </c>
      <c r="E30" s="18" t="n">
        <v>10.14960059</v>
      </c>
      <c r="F30" s="20" t="n">
        <v>1.30836504</v>
      </c>
      <c r="G30" s="18" t="n">
        <v>82.91580386</v>
      </c>
      <c r="H30" s="20" t="n">
        <v>1.40954396</v>
      </c>
      <c r="I30" s="18" t="n">
        <v>0</v>
      </c>
      <c r="J30" s="20" t="n">
        <v>0</v>
      </c>
      <c r="K30" s="18" t="n">
        <v>0.29929255</v>
      </c>
      <c r="L30" s="20" t="n">
        <v>0.20544776</v>
      </c>
      <c r="M30" s="18" t="n">
        <v>0</v>
      </c>
      <c r="N30" s="20" t="n">
        <v>0</v>
      </c>
      <c r="O30" s="18" t="n">
        <v>0</v>
      </c>
      <c r="P30" s="20" t="n">
        <v>0</v>
      </c>
      <c r="Q30" s="18" t="n">
        <v>6.63530301</v>
      </c>
      <c r="R30" s="20" t="n">
        <v>1.06281504</v>
      </c>
    </row>
    <row r="31" spans="1:18">
      <c r="A31" s="15" t="s">
        <v>453</v>
      </c>
      <c r="B31" s="17" t="n">
        <v>5456</v>
      </c>
      <c r="C31" s="18">
        <f>(4769.0/B31*100)</f>
        <v/>
      </c>
      <c r="D31" s="19" t="n">
        <v>687</v>
      </c>
      <c r="E31" s="18" t="n">
        <v>14.30129827</v>
      </c>
      <c r="F31" s="20" t="n">
        <v>1.39565713</v>
      </c>
      <c r="G31" s="18" t="n">
        <v>80.63995841000001</v>
      </c>
      <c r="H31" s="20" t="n">
        <v>1.40069084</v>
      </c>
      <c r="I31" s="18" t="n">
        <v>0</v>
      </c>
      <c r="J31" s="20" t="n">
        <v>0</v>
      </c>
      <c r="K31" s="18" t="n">
        <v>0.26980714</v>
      </c>
      <c r="L31" s="20" t="n">
        <v>0.18582776</v>
      </c>
      <c r="M31" s="18" t="n">
        <v>0</v>
      </c>
      <c r="N31" s="20" t="n">
        <v>0</v>
      </c>
      <c r="O31" s="18" t="n">
        <v>0</v>
      </c>
      <c r="P31" s="20" t="n">
        <v>0</v>
      </c>
      <c r="Q31" s="18" t="n">
        <v>4.78893618</v>
      </c>
      <c r="R31" s="20" t="n">
        <v>0.89843819</v>
      </c>
    </row>
    <row r="32" spans="1:18">
      <c r="A32" s="15" t="s">
        <v>454</v>
      </c>
      <c r="B32" s="17" t="n">
        <v>4478</v>
      </c>
      <c r="C32" s="18">
        <f>(3737.0/B32*100)</f>
        <v/>
      </c>
      <c r="D32" s="19" t="n">
        <v>741</v>
      </c>
      <c r="E32" s="18" t="n">
        <v>12.08142557</v>
      </c>
      <c r="F32" s="20" t="n">
        <v>1.27052748</v>
      </c>
      <c r="G32" s="18" t="n">
        <v>80.42898844</v>
      </c>
      <c r="H32" s="20" t="n">
        <v>1.46179666</v>
      </c>
      <c r="I32" s="18" t="n">
        <v>0</v>
      </c>
      <c r="J32" s="20" t="n">
        <v>0</v>
      </c>
      <c r="K32" s="18" t="n">
        <v>0.12149363</v>
      </c>
      <c r="L32" s="20" t="n">
        <v>0.12130556</v>
      </c>
      <c r="M32" s="18" t="n">
        <v>0</v>
      </c>
      <c r="N32" s="20" t="n">
        <v>0</v>
      </c>
      <c r="O32" s="18" t="n">
        <v>0</v>
      </c>
      <c r="P32" s="20" t="n">
        <v>0</v>
      </c>
      <c r="Q32" s="18" t="n">
        <v>7.36809237</v>
      </c>
      <c r="R32" s="20" t="n">
        <v>0.84011788</v>
      </c>
    </row>
    <row r="33" spans="1:18">
      <c r="A33" s="15" t="s">
        <v>455</v>
      </c>
      <c r="B33" s="17" t="n">
        <v>7325</v>
      </c>
      <c r="C33" s="18">
        <f>(6408.0/B33*100)</f>
        <v/>
      </c>
      <c r="D33" s="19" t="n">
        <v>917</v>
      </c>
      <c r="E33" s="18" t="n">
        <v>21.17886208</v>
      </c>
      <c r="F33" s="20" t="n">
        <v>1.28362705</v>
      </c>
      <c r="G33" s="18" t="n">
        <v>65.22010830000001</v>
      </c>
      <c r="H33" s="20" t="n">
        <v>1.49815566</v>
      </c>
      <c r="I33" s="18" t="n">
        <v>0</v>
      </c>
      <c r="J33" s="20" t="n">
        <v>0</v>
      </c>
      <c r="K33" s="18" t="n">
        <v>0.3343487</v>
      </c>
      <c r="L33" s="20" t="n">
        <v>0.26921755</v>
      </c>
      <c r="M33" s="18" t="n">
        <v>0</v>
      </c>
      <c r="N33" s="20" t="n">
        <v>0</v>
      </c>
      <c r="O33" s="18" t="n">
        <v>0</v>
      </c>
      <c r="P33" s="20" t="n">
        <v>0</v>
      </c>
      <c r="Q33" s="18" t="n">
        <v>13.26668092</v>
      </c>
      <c r="R33" s="20" t="n">
        <v>1.29338659</v>
      </c>
    </row>
    <row r="34" spans="1:18">
      <c r="A34" s="15" t="s">
        <v>456</v>
      </c>
      <c r="B34" s="17" t="n">
        <v>6350</v>
      </c>
      <c r="C34" s="18">
        <f>(5582.0/B34*100)</f>
        <v/>
      </c>
      <c r="D34" s="19" t="n">
        <v>768</v>
      </c>
      <c r="E34" s="18" t="n">
        <v>20.00621014</v>
      </c>
      <c r="F34" s="20" t="n">
        <v>1.62360752</v>
      </c>
      <c r="G34" s="18" t="n">
        <v>66.23470761999999</v>
      </c>
      <c r="H34" s="20" t="n">
        <v>1.78722445</v>
      </c>
      <c r="I34" s="18" t="n">
        <v>0</v>
      </c>
      <c r="J34" s="20" t="n">
        <v>0</v>
      </c>
      <c r="K34" s="18" t="n">
        <v>0.17836297</v>
      </c>
      <c r="L34" s="20" t="n">
        <v>0.10025718</v>
      </c>
      <c r="M34" s="18" t="n">
        <v>0</v>
      </c>
      <c r="N34" s="20" t="n">
        <v>0</v>
      </c>
      <c r="O34" s="18" t="n">
        <v>0</v>
      </c>
      <c r="P34" s="20" t="n">
        <v>0</v>
      </c>
      <c r="Q34" s="18" t="n">
        <v>13.58071927</v>
      </c>
      <c r="R34" s="20" t="n">
        <v>1.16226386</v>
      </c>
    </row>
    <row r="35" spans="1:18">
      <c r="A35" s="15" t="s">
        <v>457</v>
      </c>
      <c r="B35" s="17" t="n">
        <v>6406</v>
      </c>
      <c r="C35" s="18">
        <f>(5619.0/B35*100)</f>
        <v/>
      </c>
      <c r="D35" s="19" t="n">
        <v>787</v>
      </c>
      <c r="E35" s="18" t="n">
        <v>10.25996531</v>
      </c>
      <c r="F35" s="20" t="n">
        <v>1.19235955</v>
      </c>
      <c r="G35" s="18" t="n">
        <v>85.67058305</v>
      </c>
      <c r="H35" s="20" t="n">
        <v>1.51802646</v>
      </c>
      <c r="I35" s="18" t="n">
        <v>0</v>
      </c>
      <c r="J35" s="20" t="n">
        <v>0</v>
      </c>
      <c r="K35" s="18" t="n">
        <v>0</v>
      </c>
      <c r="L35" s="20" t="n">
        <v>0</v>
      </c>
      <c r="M35" s="18" t="n">
        <v>0</v>
      </c>
      <c r="N35" s="20" t="n">
        <v>0</v>
      </c>
      <c r="O35" s="18" t="n">
        <v>0</v>
      </c>
      <c r="P35" s="20" t="n">
        <v>0</v>
      </c>
      <c r="Q35" s="18" t="n">
        <v>4.06945163</v>
      </c>
      <c r="R35" s="20" t="n">
        <v>0.79939284</v>
      </c>
    </row>
    <row r="36" spans="1:18">
      <c r="A36" s="15" t="s">
        <v>458</v>
      </c>
      <c r="B36" s="17" t="n">
        <v>6736</v>
      </c>
      <c r="C36" s="18">
        <f>(5900.0/B36*100)</f>
        <v/>
      </c>
      <c r="D36" s="19" t="n">
        <v>836</v>
      </c>
      <c r="E36" s="18" t="n">
        <v>15.35232792</v>
      </c>
      <c r="F36" s="20" t="n">
        <v>1.34656781</v>
      </c>
      <c r="G36" s="18" t="n">
        <v>73.59745152000001</v>
      </c>
      <c r="H36" s="20" t="n">
        <v>1.52996926</v>
      </c>
      <c r="I36" s="18" t="n">
        <v>0</v>
      </c>
      <c r="J36" s="20" t="n">
        <v>0</v>
      </c>
      <c r="K36" s="18" t="n">
        <v>0.12633735</v>
      </c>
      <c r="L36" s="20" t="n">
        <v>0.12614694</v>
      </c>
      <c r="M36" s="18" t="n">
        <v>0</v>
      </c>
      <c r="N36" s="20" t="n">
        <v>0</v>
      </c>
      <c r="O36" s="18" t="n">
        <v>0</v>
      </c>
      <c r="P36" s="20" t="n">
        <v>0</v>
      </c>
      <c r="Q36" s="18" t="n">
        <v>10.92388322</v>
      </c>
      <c r="R36" s="20" t="n">
        <v>1.10013916</v>
      </c>
    </row>
    <row r="37" spans="1:18">
      <c r="A37" s="15" t="s">
        <v>459</v>
      </c>
      <c r="B37" s="17" t="n">
        <v>5458</v>
      </c>
      <c r="C37" s="18">
        <f>(4793.0/B37*100)</f>
        <v/>
      </c>
      <c r="D37" s="19" t="n">
        <v>665</v>
      </c>
      <c r="E37" s="18" t="n">
        <v>13.18599018</v>
      </c>
      <c r="F37" s="20" t="n">
        <v>1.32542963</v>
      </c>
      <c r="G37" s="18" t="n">
        <v>79.4336984</v>
      </c>
      <c r="H37" s="20" t="n">
        <v>1.60157164</v>
      </c>
      <c r="I37" s="18" t="n">
        <v>0</v>
      </c>
      <c r="J37" s="20" t="n">
        <v>0</v>
      </c>
      <c r="K37" s="18" t="n">
        <v>0.16027601</v>
      </c>
      <c r="L37" s="20" t="n">
        <v>0.15989229</v>
      </c>
      <c r="M37" s="18" t="n">
        <v>0</v>
      </c>
      <c r="N37" s="20" t="n">
        <v>0</v>
      </c>
      <c r="O37" s="18" t="n">
        <v>0</v>
      </c>
      <c r="P37" s="20" t="n">
        <v>0</v>
      </c>
      <c r="Q37" s="18" t="n">
        <v>7.22003541</v>
      </c>
      <c r="R37" s="20" t="n">
        <v>1.05887171</v>
      </c>
    </row>
    <row r="38" spans="1:18">
      <c r="A38" s="15" t="s">
        <v>460</v>
      </c>
      <c r="B38" s="17" t="n">
        <v>5860</v>
      </c>
      <c r="C38" s="18">
        <f>(4896.0/B38*100)</f>
        <v/>
      </c>
      <c r="D38" s="19" t="n">
        <v>964</v>
      </c>
      <c r="E38" s="18" t="n">
        <v>27.97695267</v>
      </c>
      <c r="F38" s="20" t="n">
        <v>1.80752646</v>
      </c>
      <c r="G38" s="18" t="n">
        <v>65.59175621</v>
      </c>
      <c r="H38" s="20" t="n">
        <v>2.10574713</v>
      </c>
      <c r="I38" s="18" t="n">
        <v>0</v>
      </c>
      <c r="J38" s="20" t="n">
        <v>0</v>
      </c>
      <c r="K38" s="18" t="n">
        <v>0.08960296</v>
      </c>
      <c r="L38" s="20" t="n">
        <v>0.07834318</v>
      </c>
      <c r="M38" s="18" t="n">
        <v>0</v>
      </c>
      <c r="N38" s="20" t="n">
        <v>0</v>
      </c>
      <c r="O38" s="18" t="n">
        <v>0</v>
      </c>
      <c r="P38" s="20" t="n">
        <v>0</v>
      </c>
      <c r="Q38" s="18" t="n">
        <v>6.34168816</v>
      </c>
      <c r="R38" s="20" t="n">
        <v>1.15606387</v>
      </c>
    </row>
    <row r="39" spans="1:18">
      <c r="A39" s="15" t="s">
        <v>461</v>
      </c>
      <c r="B39" s="17" t="n">
        <v>5895</v>
      </c>
      <c r="C39" s="18">
        <f>(5171.0/B39*100)</f>
        <v/>
      </c>
      <c r="D39" s="19" t="n">
        <v>724</v>
      </c>
      <c r="E39" s="18" t="n">
        <v>37.99578911</v>
      </c>
      <c r="F39" s="20" t="n">
        <v>1.92968173</v>
      </c>
      <c r="G39" s="18" t="n">
        <v>41.23447519</v>
      </c>
      <c r="H39" s="20" t="n">
        <v>2.27660632</v>
      </c>
      <c r="I39" s="18" t="n">
        <v>0</v>
      </c>
      <c r="J39" s="20" t="n">
        <v>0</v>
      </c>
      <c r="K39" s="18" t="n">
        <v>0</v>
      </c>
      <c r="L39" s="20" t="n">
        <v>0</v>
      </c>
      <c r="M39" s="18" t="n">
        <v>0</v>
      </c>
      <c r="N39" s="20" t="n">
        <v>0</v>
      </c>
      <c r="O39" s="18" t="n">
        <v>0</v>
      </c>
      <c r="P39" s="20" t="n">
        <v>0</v>
      </c>
      <c r="Q39" s="18" t="n">
        <v>20.7697357</v>
      </c>
      <c r="R39" s="20" t="n">
        <v>1.64560802</v>
      </c>
    </row>
    <row r="40" spans="1:18">
      <c r="A40" s="15" t="s">
        <v>462</v>
      </c>
      <c r="B40" s="17" t="n">
        <v>14157</v>
      </c>
      <c r="C40" s="18">
        <f>(12428.0/B40*100)</f>
        <v/>
      </c>
      <c r="D40" s="19" t="n">
        <v>1729</v>
      </c>
      <c r="E40" s="18" t="n">
        <v>10.99632211</v>
      </c>
      <c r="F40" s="20" t="n">
        <v>1.27586656</v>
      </c>
      <c r="G40" s="18" t="n">
        <v>81.10683523</v>
      </c>
      <c r="H40" s="20" t="n">
        <v>1.83479416</v>
      </c>
      <c r="I40" s="18" t="n">
        <v>0</v>
      </c>
      <c r="J40" s="20" t="n">
        <v>0</v>
      </c>
      <c r="K40" s="18" t="n">
        <v>0.18656772</v>
      </c>
      <c r="L40" s="20" t="n">
        <v>0.12772064</v>
      </c>
      <c r="M40" s="18" t="n">
        <v>0</v>
      </c>
      <c r="N40" s="20" t="n">
        <v>0</v>
      </c>
      <c r="O40" s="18" t="n">
        <v>0</v>
      </c>
      <c r="P40" s="20" t="n">
        <v>0</v>
      </c>
      <c r="Q40" s="18" t="n">
        <v>7.71027493</v>
      </c>
      <c r="R40" s="20" t="n">
        <v>1.09683349</v>
      </c>
    </row>
    <row r="41" spans="1:18">
      <c r="A41" s="15" t="s">
        <v>463</v>
      </c>
      <c r="B41" s="17" t="n">
        <v>5712</v>
      </c>
      <c r="C41" s="18">
        <f>(5030.0/B41*100)</f>
        <v/>
      </c>
      <c r="D41" s="19" t="n">
        <v>682</v>
      </c>
      <c r="E41" s="18" t="n">
        <v>13.7567878</v>
      </c>
      <c r="F41" s="20" t="n">
        <v>1.54111566</v>
      </c>
      <c r="G41" s="18" t="n">
        <v>77.66806061</v>
      </c>
      <c r="H41" s="20" t="n">
        <v>1.81485299</v>
      </c>
      <c r="I41" s="18" t="n">
        <v>0</v>
      </c>
      <c r="J41" s="20" t="n">
        <v>0</v>
      </c>
      <c r="K41" s="18" t="n">
        <v>0.26029239</v>
      </c>
      <c r="L41" s="20" t="n">
        <v>0.19165359</v>
      </c>
      <c r="M41" s="18" t="n">
        <v>0</v>
      </c>
      <c r="N41" s="20" t="n">
        <v>0</v>
      </c>
      <c r="O41" s="18" t="n">
        <v>0</v>
      </c>
      <c r="P41" s="20" t="n">
        <v>0</v>
      </c>
      <c r="Q41" s="18" t="n">
        <v>8.31485919</v>
      </c>
      <c r="R41" s="20" t="n">
        <v>1.08160797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(20464.0/B46*100)</f>
        <v/>
      </c>
      <c r="D46" s="19" t="n">
        <v>2677</v>
      </c>
      <c r="E46" s="18" t="n">
        <v>34.2390296</v>
      </c>
      <c r="F46" s="20" t="n">
        <v>1.18727422</v>
      </c>
      <c r="G46" s="18" t="n">
        <v>25.96353269</v>
      </c>
      <c r="H46" s="20" t="n">
        <v>1.2473246</v>
      </c>
      <c r="I46" s="18" t="n">
        <v>0</v>
      </c>
      <c r="J46" s="20" t="n">
        <v>0</v>
      </c>
      <c r="K46" s="18" t="n">
        <v>0.21104339</v>
      </c>
      <c r="L46" s="20" t="n">
        <v>0.09142097</v>
      </c>
      <c r="M46" s="18" t="n">
        <v>0</v>
      </c>
      <c r="N46" s="20" t="n">
        <v>0</v>
      </c>
      <c r="O46" s="18" t="n">
        <v>0</v>
      </c>
      <c r="P46" s="20" t="n">
        <v>0</v>
      </c>
      <c r="Q46" s="18" t="n">
        <v>39.58639431</v>
      </c>
      <c r="R46" s="20" t="n">
        <v>1.50728906</v>
      </c>
    </row>
    <row r="47" spans="1:18">
      <c r="A47" s="15" t="s">
        <v>470</v>
      </c>
      <c r="B47" s="17" t="n">
        <v>5928</v>
      </c>
      <c r="C47" s="18">
        <f>(5211.0/B47*100)</f>
        <v/>
      </c>
      <c r="D47" s="19" t="n">
        <v>717</v>
      </c>
      <c r="E47" s="18" t="n">
        <v>28.10567664</v>
      </c>
      <c r="F47" s="20" t="n">
        <v>1.79896534</v>
      </c>
      <c r="G47" s="18" t="n">
        <v>59.76551619</v>
      </c>
      <c r="H47" s="20" t="n">
        <v>2.25793503</v>
      </c>
      <c r="I47" s="18" t="n">
        <v>0</v>
      </c>
      <c r="J47" s="20" t="n">
        <v>0</v>
      </c>
      <c r="K47" s="18" t="n">
        <v>0.27067268</v>
      </c>
      <c r="L47" s="20" t="n">
        <v>0.18789942</v>
      </c>
      <c r="M47" s="18" t="n">
        <v>0</v>
      </c>
      <c r="N47" s="20" t="n">
        <v>0</v>
      </c>
      <c r="O47" s="18" t="n">
        <v>0</v>
      </c>
      <c r="P47" s="20" t="n">
        <v>0</v>
      </c>
      <c r="Q47" s="18" t="n">
        <v>11.8581345</v>
      </c>
      <c r="R47" s="20" t="n">
        <v>1.53055076</v>
      </c>
    </row>
    <row r="48" spans="1:18">
      <c r="A48" s="15" t="s">
        <v>471</v>
      </c>
      <c r="B48" s="17" t="n">
        <v>9841</v>
      </c>
      <c r="C48" s="18">
        <f>(8591.0/B48*100)</f>
        <v/>
      </c>
      <c r="D48" s="19" t="n">
        <v>1250</v>
      </c>
      <c r="E48" s="18" t="n">
        <v>17.33657735</v>
      </c>
      <c r="F48" s="20" t="n">
        <v>1.42703956</v>
      </c>
      <c r="G48" s="18" t="n">
        <v>69.6162351</v>
      </c>
      <c r="H48" s="20" t="n">
        <v>2.1907582</v>
      </c>
      <c r="I48" s="18" t="n">
        <v>0</v>
      </c>
      <c r="J48" s="20" t="n">
        <v>0</v>
      </c>
      <c r="K48" s="18" t="n">
        <v>0.10689105</v>
      </c>
      <c r="L48" s="20" t="n">
        <v>0.1067525</v>
      </c>
      <c r="M48" s="18" t="n">
        <v>0</v>
      </c>
      <c r="N48" s="20" t="n">
        <v>0</v>
      </c>
      <c r="O48" s="18" t="n">
        <v>0</v>
      </c>
      <c r="P48" s="20" t="n">
        <v>0</v>
      </c>
      <c r="Q48" s="18" t="n">
        <v>12.94029651</v>
      </c>
      <c r="R48" s="20" t="n">
        <v>1.56048249</v>
      </c>
    </row>
    <row r="49" spans="1:18">
      <c r="A49" s="15" t="s">
        <v>472</v>
      </c>
      <c r="B49" s="17" t="n">
        <v>11795</v>
      </c>
      <c r="C49" s="18">
        <f>(10380.0/B49*100)</f>
        <v/>
      </c>
      <c r="D49" s="19" t="n">
        <v>1415</v>
      </c>
      <c r="E49" s="18" t="n">
        <v>38.3168976</v>
      </c>
      <c r="F49" s="20" t="n">
        <v>1.7998974</v>
      </c>
      <c r="G49" s="18" t="n">
        <v>41.82136891</v>
      </c>
      <c r="H49" s="20" t="n">
        <v>2.00112938</v>
      </c>
      <c r="I49" s="18" t="n">
        <v>0</v>
      </c>
      <c r="J49" s="20" t="n">
        <v>0</v>
      </c>
      <c r="K49" s="18" t="n">
        <v>0.61605016</v>
      </c>
      <c r="L49" s="20" t="n">
        <v>0.29074957</v>
      </c>
      <c r="M49" s="18" t="n">
        <v>0</v>
      </c>
      <c r="N49" s="20" t="n">
        <v>0</v>
      </c>
      <c r="O49" s="18" t="n">
        <v>0</v>
      </c>
      <c r="P49" s="20" t="n">
        <v>0</v>
      </c>
      <c r="Q49" s="18" t="n">
        <v>19.24568334</v>
      </c>
      <c r="R49" s="20" t="n">
        <v>1.49938603</v>
      </c>
    </row>
    <row r="50" spans="1:18">
      <c r="A50" s="15" t="s">
        <v>473</v>
      </c>
      <c r="B50" s="17" t="n">
        <v>6866</v>
      </c>
      <c r="C50" s="18">
        <f>(6136.0/B50*100)</f>
        <v/>
      </c>
      <c r="D50" s="19" t="n">
        <v>730</v>
      </c>
      <c r="E50" s="18" t="n">
        <v>35.48972827</v>
      </c>
      <c r="F50" s="20" t="n">
        <v>1.66000427</v>
      </c>
      <c r="G50" s="18" t="n">
        <v>44.36128754</v>
      </c>
      <c r="H50" s="20" t="n">
        <v>2.08988166</v>
      </c>
      <c r="I50" s="18" t="n">
        <v>0</v>
      </c>
      <c r="J50" s="20" t="n">
        <v>0</v>
      </c>
      <c r="K50" s="18" t="n">
        <v>0.38738437</v>
      </c>
      <c r="L50" s="20" t="n">
        <v>0.25840809</v>
      </c>
      <c r="M50" s="18" t="n">
        <v>0</v>
      </c>
      <c r="N50" s="20" t="n">
        <v>0</v>
      </c>
      <c r="O50" s="18" t="n">
        <v>0</v>
      </c>
      <c r="P50" s="20" t="n">
        <v>0</v>
      </c>
      <c r="Q50" s="18" t="n">
        <v>19.76159982</v>
      </c>
      <c r="R50" s="20" t="n">
        <v>1.71499809</v>
      </c>
    </row>
    <row r="51" spans="1:18">
      <c r="A51" s="15" t="s">
        <v>474</v>
      </c>
      <c r="B51" s="17" t="n">
        <v>5809</v>
      </c>
      <c r="C51" s="18">
        <f>(5088.0/B51*100)</f>
        <v/>
      </c>
      <c r="D51" s="19" t="n">
        <v>721</v>
      </c>
      <c r="E51" s="18" t="n">
        <v>19.51897242</v>
      </c>
      <c r="F51" s="20" t="n">
        <v>1.52088835</v>
      </c>
      <c r="G51" s="18" t="n">
        <v>64.64993796</v>
      </c>
      <c r="H51" s="20" t="n">
        <v>2.00695977</v>
      </c>
      <c r="I51" s="18" t="n">
        <v>0</v>
      </c>
      <c r="J51" s="20" t="n">
        <v>0</v>
      </c>
      <c r="K51" s="18" t="n">
        <v>0</v>
      </c>
      <c r="L51" s="20" t="n">
        <v>0</v>
      </c>
      <c r="M51" s="18" t="n">
        <v>0</v>
      </c>
      <c r="N51" s="20" t="n">
        <v>0</v>
      </c>
      <c r="O51" s="18" t="n">
        <v>0</v>
      </c>
      <c r="P51" s="20" t="n">
        <v>0</v>
      </c>
      <c r="Q51" s="18" t="n">
        <v>15.83108962</v>
      </c>
      <c r="R51" s="20" t="n">
        <v>1.36286086</v>
      </c>
    </row>
    <row r="52" spans="1:18">
      <c r="A52" s="15" t="s">
        <v>475</v>
      </c>
      <c r="B52" s="17" t="n">
        <v>5571</v>
      </c>
      <c r="C52" s="18">
        <f>(4887.0/B52*100)</f>
        <v/>
      </c>
      <c r="D52" s="19" t="n">
        <v>684</v>
      </c>
      <c r="E52" s="18" t="n">
        <v>21.85001173</v>
      </c>
      <c r="F52" s="20" t="n">
        <v>1.53401126</v>
      </c>
      <c r="G52" s="18" t="n">
        <v>63.95298915</v>
      </c>
      <c r="H52" s="20" t="n">
        <v>1.84720118</v>
      </c>
      <c r="I52" s="18" t="n">
        <v>0</v>
      </c>
      <c r="J52" s="20" t="n">
        <v>0</v>
      </c>
      <c r="K52" s="18" t="n">
        <v>0</v>
      </c>
      <c r="L52" s="20" t="n">
        <v>0</v>
      </c>
      <c r="M52" s="18" t="n">
        <v>0</v>
      </c>
      <c r="N52" s="20" t="n">
        <v>0</v>
      </c>
      <c r="O52" s="18" t="n">
        <v>0</v>
      </c>
      <c r="P52" s="20" t="n">
        <v>0</v>
      </c>
      <c r="Q52" s="18" t="n">
        <v>14.19699911</v>
      </c>
      <c r="R52" s="20" t="n">
        <v>1.55028341</v>
      </c>
    </row>
    <row r="53" spans="1:18">
      <c r="A53" s="15" t="s">
        <v>476</v>
      </c>
      <c r="B53" s="17" t="n">
        <v>4740</v>
      </c>
      <c r="C53" s="18">
        <f>(3942.0/B53*100)</f>
        <v/>
      </c>
      <c r="D53" s="19" t="n">
        <v>798</v>
      </c>
      <c r="E53" s="18" t="n">
        <v>45.86843113</v>
      </c>
      <c r="F53" s="20" t="n">
        <v>2.01958924</v>
      </c>
      <c r="G53" s="18" t="n">
        <v>16.09665921</v>
      </c>
      <c r="H53" s="20" t="n">
        <v>1.34076666</v>
      </c>
      <c r="I53" s="18" t="n">
        <v>0</v>
      </c>
      <c r="J53" s="20" t="n">
        <v>0</v>
      </c>
      <c r="K53" s="18" t="n">
        <v>5.00840839</v>
      </c>
      <c r="L53" s="20" t="n">
        <v>0.76449836</v>
      </c>
      <c r="M53" s="18" t="n">
        <v>0</v>
      </c>
      <c r="N53" s="20" t="n">
        <v>0</v>
      </c>
      <c r="O53" s="18" t="n">
        <v>0</v>
      </c>
      <c r="P53" s="20" t="n">
        <v>0</v>
      </c>
      <c r="Q53" s="18" t="n">
        <v>33.02650126</v>
      </c>
      <c r="R53" s="20" t="n">
        <v>1.82906213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(4690.0/B55*100)</f>
        <v/>
      </c>
      <c r="D55" s="19" t="n">
        <v>669</v>
      </c>
      <c r="E55" s="18" t="n">
        <v>11.96198115</v>
      </c>
      <c r="F55" s="20" t="n">
        <v>1.45030178</v>
      </c>
      <c r="G55" s="18" t="n">
        <v>78.32434781000001</v>
      </c>
      <c r="H55" s="20" t="n">
        <v>1.85016707</v>
      </c>
      <c r="I55" s="18" t="n">
        <v>0</v>
      </c>
      <c r="J55" s="20" t="n">
        <v>0</v>
      </c>
      <c r="K55" s="18" t="n">
        <v>0</v>
      </c>
      <c r="L55" s="20" t="n">
        <v>0</v>
      </c>
      <c r="M55" s="18" t="n">
        <v>0.1027583</v>
      </c>
      <c r="N55" s="20" t="n">
        <v>0.10289269</v>
      </c>
      <c r="O55" s="18" t="n">
        <v>0</v>
      </c>
      <c r="P55" s="20" t="n">
        <v>0</v>
      </c>
      <c r="Q55" s="18" t="n">
        <v>9.610912730000001</v>
      </c>
      <c r="R55" s="20" t="n">
        <v>1.22001475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(5741.0/B61*100)</f>
        <v/>
      </c>
      <c r="D61" s="19" t="n">
        <v>784</v>
      </c>
      <c r="E61" s="18" t="n">
        <v>20.18936101</v>
      </c>
      <c r="F61" s="20" t="n">
        <v>1.62561315</v>
      </c>
      <c r="G61" s="18" t="n">
        <v>71.06114767</v>
      </c>
      <c r="H61" s="20" t="n">
        <v>1.94215875</v>
      </c>
      <c r="I61" s="18" t="n">
        <v>0</v>
      </c>
      <c r="J61" s="20" t="n">
        <v>0</v>
      </c>
      <c r="K61" s="18" t="n">
        <v>0.13003367</v>
      </c>
      <c r="L61" s="20" t="n">
        <v>0.09042041000000001</v>
      </c>
      <c r="M61" s="18" t="n">
        <v>0</v>
      </c>
      <c r="N61" s="20" t="n">
        <v>0</v>
      </c>
      <c r="O61" s="18" t="n">
        <v>0</v>
      </c>
      <c r="P61" s="20" t="n">
        <v>0</v>
      </c>
      <c r="Q61" s="18" t="n">
        <v>8.619457649999999</v>
      </c>
      <c r="R61" s="20" t="n">
        <v>1.07604132</v>
      </c>
    </row>
    <row r="62" spans="1:18">
      <c r="A62" s="15" t="s">
        <v>486</v>
      </c>
      <c r="B62" s="17" t="n">
        <v>4476</v>
      </c>
      <c r="C62" s="18">
        <f>(3923.0/B62*100)</f>
        <v/>
      </c>
      <c r="D62" s="19" t="n">
        <v>553</v>
      </c>
      <c r="E62" s="18" t="n">
        <v>11.61035202</v>
      </c>
      <c r="F62" s="20" t="n">
        <v>1.38288231</v>
      </c>
      <c r="G62" s="18" t="n">
        <v>82.05141861</v>
      </c>
      <c r="H62" s="20" t="n">
        <v>1.56956637</v>
      </c>
      <c r="I62" s="18" t="n">
        <v>0</v>
      </c>
      <c r="J62" s="20" t="n">
        <v>0</v>
      </c>
      <c r="K62" s="18" t="n">
        <v>0</v>
      </c>
      <c r="L62" s="20" t="n">
        <v>0</v>
      </c>
      <c r="M62" s="18" t="n">
        <v>0</v>
      </c>
      <c r="N62" s="20" t="n">
        <v>0</v>
      </c>
      <c r="O62" s="18" t="n">
        <v>0</v>
      </c>
      <c r="P62" s="20" t="n">
        <v>0</v>
      </c>
      <c r="Q62" s="18" t="n">
        <v>6.33822936</v>
      </c>
      <c r="R62" s="20" t="n">
        <v>1.17161624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(4978.0/B67*100)</f>
        <v/>
      </c>
      <c r="D67" s="19" t="n">
        <v>687</v>
      </c>
      <c r="E67" s="18" t="n">
        <v>34.61858249</v>
      </c>
      <c r="F67" s="20" t="n">
        <v>1.77546527</v>
      </c>
      <c r="G67" s="18" t="n">
        <v>44.72243002</v>
      </c>
      <c r="H67" s="20" t="n">
        <v>1.95849801</v>
      </c>
      <c r="I67" s="18" t="n">
        <v>0</v>
      </c>
      <c r="J67" s="20" t="n">
        <v>0</v>
      </c>
      <c r="K67" s="18" t="n">
        <v>0.87661197</v>
      </c>
      <c r="L67" s="20" t="n">
        <v>0.36019895</v>
      </c>
      <c r="M67" s="18" t="n">
        <v>0</v>
      </c>
      <c r="N67" s="20" t="n">
        <v>0</v>
      </c>
      <c r="O67" s="18" t="n">
        <v>0</v>
      </c>
      <c r="P67" s="20" t="n">
        <v>0</v>
      </c>
      <c r="Q67" s="18" t="n">
        <v>19.78237552</v>
      </c>
      <c r="R67" s="20" t="n">
        <v>1.53799594</v>
      </c>
    </row>
    <row r="68" spans="1:18">
      <c r="A68" s="15" t="s">
        <v>492</v>
      </c>
      <c r="B68" s="17" t="n">
        <v>6971</v>
      </c>
      <c r="C68" s="18">
        <f>(6158.0/B68*100)</f>
        <v/>
      </c>
      <c r="D68" s="19" t="n">
        <v>813</v>
      </c>
      <c r="E68" s="18" t="n">
        <v>35.62263001</v>
      </c>
      <c r="F68" s="20" t="n">
        <v>1.68519393</v>
      </c>
      <c r="G68" s="18" t="n">
        <v>35.53978457</v>
      </c>
      <c r="H68" s="20" t="n">
        <v>1.81149616</v>
      </c>
      <c r="I68" s="18" t="n">
        <v>0</v>
      </c>
      <c r="J68" s="20" t="n">
        <v>0</v>
      </c>
      <c r="K68" s="18" t="n">
        <v>0.13679301</v>
      </c>
      <c r="L68" s="20" t="n">
        <v>0.13635709</v>
      </c>
      <c r="M68" s="18" t="n">
        <v>0</v>
      </c>
      <c r="N68" s="20" t="n">
        <v>0</v>
      </c>
      <c r="O68" s="18" t="n">
        <v>0</v>
      </c>
      <c r="P68" s="20" t="n">
        <v>0</v>
      </c>
      <c r="Q68" s="18" t="n">
        <v>28.70079241</v>
      </c>
      <c r="R68" s="20" t="n">
        <v>1.67196065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(10066.0/B70*100)</f>
        <v/>
      </c>
      <c r="D70" s="19" t="n">
        <v>2017</v>
      </c>
      <c r="E70" s="18" t="n">
        <v>32.10447</v>
      </c>
      <c r="F70" s="20" t="n">
        <v>0.95977786</v>
      </c>
      <c r="G70" s="18" t="n">
        <v>45.67125861</v>
      </c>
      <c r="H70" s="20" t="n">
        <v>1.07505693</v>
      </c>
      <c r="I70" s="18" t="n">
        <v>0</v>
      </c>
      <c r="J70" s="20" t="n">
        <v>0</v>
      </c>
      <c r="K70" s="18" t="n">
        <v>1.25717485</v>
      </c>
      <c r="L70" s="20" t="n">
        <v>0.25980272</v>
      </c>
      <c r="M70" s="18" t="n">
        <v>0</v>
      </c>
      <c r="N70" s="20" t="n">
        <v>0</v>
      </c>
      <c r="O70" s="18" t="n">
        <v>0</v>
      </c>
      <c r="P70" s="20" t="n">
        <v>0</v>
      </c>
      <c r="Q70" s="18" t="n">
        <v>20.96709655</v>
      </c>
      <c r="R70" s="20" t="n">
        <v>1.02410424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(5301.0/B72*100)</f>
        <v/>
      </c>
      <c r="D72" s="19" t="n">
        <v>735</v>
      </c>
      <c r="E72" s="18" t="n">
        <v>34.09828553</v>
      </c>
      <c r="F72" s="20" t="n">
        <v>1.90783814</v>
      </c>
      <c r="G72" s="18" t="n">
        <v>57.35926667</v>
      </c>
      <c r="H72" s="20" t="n">
        <v>2.11562168</v>
      </c>
      <c r="I72" s="18" t="n">
        <v>0</v>
      </c>
      <c r="J72" s="20" t="n">
        <v>0</v>
      </c>
      <c r="K72" s="18" t="n">
        <v>0</v>
      </c>
      <c r="L72" s="20" t="n">
        <v>0</v>
      </c>
      <c r="M72" s="18" t="n">
        <v>0</v>
      </c>
      <c r="N72" s="20" t="n">
        <v>0</v>
      </c>
      <c r="O72" s="18" t="n">
        <v>0</v>
      </c>
      <c r="P72" s="20" t="n">
        <v>0</v>
      </c>
      <c r="Q72" s="18" t="n">
        <v>8.5424478</v>
      </c>
      <c r="R72" s="20" t="n">
        <v>1.27948042</v>
      </c>
    </row>
    <row r="73" spans="1:18">
      <c r="A73" s="15" t="s">
        <v>497</v>
      </c>
      <c r="B73" s="17" t="n">
        <v>6115</v>
      </c>
      <c r="C73" s="18">
        <f>(5356.0/B73*100)</f>
        <v/>
      </c>
      <c r="D73" s="19" t="n">
        <v>759</v>
      </c>
      <c r="E73" s="18" t="n">
        <v>13.39778892</v>
      </c>
      <c r="F73" s="20" t="n">
        <v>1.27447486</v>
      </c>
      <c r="G73" s="18" t="n">
        <v>81.35444108999999</v>
      </c>
      <c r="H73" s="20" t="n">
        <v>1.54206989</v>
      </c>
      <c r="I73" s="18" t="n">
        <v>0</v>
      </c>
      <c r="J73" s="20" t="n">
        <v>0</v>
      </c>
      <c r="K73" s="18" t="n">
        <v>0.12136474</v>
      </c>
      <c r="L73" s="20" t="n">
        <v>0.12149512</v>
      </c>
      <c r="M73" s="18" t="n">
        <v>0</v>
      </c>
      <c r="N73" s="20" t="n">
        <v>0</v>
      </c>
      <c r="O73" s="18" t="n">
        <v>0</v>
      </c>
      <c r="P73" s="20" t="n">
        <v>0</v>
      </c>
      <c r="Q73" s="18" t="n">
        <v>5.12640525</v>
      </c>
      <c r="R73" s="20" t="n">
        <v>0.73866362</v>
      </c>
    </row>
    <row r="74" spans="1:18">
      <c r="A74" s="15" t="s">
        <v>498</v>
      </c>
      <c r="B74" s="17" t="n">
        <v>7708</v>
      </c>
      <c r="C74" s="18">
        <f>(6761.0/B74*100)</f>
        <v/>
      </c>
      <c r="D74" s="19" t="n">
        <v>947</v>
      </c>
      <c r="E74" s="18" t="n">
        <v>24.98518373</v>
      </c>
      <c r="F74" s="20" t="n">
        <v>1.58738024</v>
      </c>
      <c r="G74" s="18" t="n">
        <v>64.43957433999999</v>
      </c>
      <c r="H74" s="20" t="n">
        <v>1.59468693</v>
      </c>
      <c r="I74" s="18" t="n">
        <v>0</v>
      </c>
      <c r="J74" s="20" t="n">
        <v>0</v>
      </c>
      <c r="K74" s="18" t="n">
        <v>0.30617379</v>
      </c>
      <c r="L74" s="20" t="n">
        <v>0.18267622</v>
      </c>
      <c r="M74" s="18" t="n">
        <v>0</v>
      </c>
      <c r="N74" s="20" t="n">
        <v>0</v>
      </c>
      <c r="O74" s="18" t="n">
        <v>0</v>
      </c>
      <c r="P74" s="20" t="n">
        <v>0</v>
      </c>
      <c r="Q74" s="18" t="n">
        <v>10.26906814</v>
      </c>
      <c r="R74" s="20" t="n">
        <v>0.99587642</v>
      </c>
    </row>
    <row r="75" spans="1:18">
      <c r="A75" s="15" t="s">
        <v>499</v>
      </c>
      <c r="B75" s="17" t="n">
        <v>8249</v>
      </c>
      <c r="C75" s="18">
        <f>(7256.0/B75*100)</f>
        <v/>
      </c>
      <c r="D75" s="19" t="n">
        <v>993</v>
      </c>
      <c r="E75" s="18" t="n">
        <v>38.79510725</v>
      </c>
      <c r="F75" s="20" t="n">
        <v>1.824804</v>
      </c>
      <c r="G75" s="18" t="n">
        <v>40.89373007</v>
      </c>
      <c r="H75" s="20" t="n">
        <v>1.88304171</v>
      </c>
      <c r="I75" s="18" t="n">
        <v>0</v>
      </c>
      <c r="J75" s="20" t="n">
        <v>0</v>
      </c>
      <c r="K75" s="18" t="n">
        <v>0.00574322</v>
      </c>
      <c r="L75" s="20" t="n">
        <v>0.00577839</v>
      </c>
      <c r="M75" s="18" t="n">
        <v>0</v>
      </c>
      <c r="N75" s="20" t="n">
        <v>0</v>
      </c>
      <c r="O75" s="18" t="n">
        <v>0</v>
      </c>
      <c r="P75" s="20" t="n">
        <v>0</v>
      </c>
      <c r="Q75" s="18" t="n">
        <v>20.30541946</v>
      </c>
      <c r="R75" s="20" t="n">
        <v>1.43392758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(4777.0/B77*100)</f>
        <v/>
      </c>
      <c r="D77" s="19" t="n">
        <v>598</v>
      </c>
      <c r="E77" s="18" t="n">
        <v>57.8252781</v>
      </c>
      <c r="F77" s="20" t="n">
        <v>2.16397597</v>
      </c>
      <c r="G77" s="18" t="n">
        <v>12.02968999</v>
      </c>
      <c r="H77" s="20" t="n">
        <v>1.23994301</v>
      </c>
      <c r="I77" s="18" t="n">
        <v>0</v>
      </c>
      <c r="J77" s="20" t="n">
        <v>0</v>
      </c>
      <c r="K77" s="18" t="n">
        <v>1.58005424</v>
      </c>
      <c r="L77" s="20" t="n">
        <v>0.48615644</v>
      </c>
      <c r="M77" s="18" t="n">
        <v>0</v>
      </c>
      <c r="N77" s="20" t="n">
        <v>0</v>
      </c>
      <c r="O77" s="18" t="n">
        <v>0</v>
      </c>
      <c r="P77" s="20" t="n">
        <v>0</v>
      </c>
      <c r="Q77" s="18" t="n">
        <v>28.56497767</v>
      </c>
      <c r="R77" s="20" t="n">
        <v>2.05221089</v>
      </c>
    </row>
    <row r="78" spans="1:18">
      <c r="A78" s="15" t="s">
        <v>502</v>
      </c>
      <c r="B78" s="17" t="n">
        <v>14167</v>
      </c>
      <c r="C78" s="18">
        <f>(12441.0/B78*100)</f>
        <v/>
      </c>
      <c r="D78" s="19" t="n">
        <v>1726</v>
      </c>
      <c r="E78" s="18" t="n">
        <v>31.47748357</v>
      </c>
      <c r="F78" s="20" t="n">
        <v>1.41693458</v>
      </c>
      <c r="G78" s="18" t="n">
        <v>54.60494579</v>
      </c>
      <c r="H78" s="20" t="n">
        <v>1.50262904</v>
      </c>
      <c r="I78" s="18" t="n">
        <v>0</v>
      </c>
      <c r="J78" s="20" t="n">
        <v>0</v>
      </c>
      <c r="K78" s="18" t="n">
        <v>0.34362728</v>
      </c>
      <c r="L78" s="20" t="n">
        <v>0.1553566</v>
      </c>
      <c r="M78" s="18" t="n">
        <v>0</v>
      </c>
      <c r="N78" s="20" t="n">
        <v>0</v>
      </c>
      <c r="O78" s="18" t="n">
        <v>0</v>
      </c>
      <c r="P78" s="20" t="n">
        <v>0</v>
      </c>
      <c r="Q78" s="18" t="n">
        <v>13.57394336</v>
      </c>
      <c r="R78" s="20" t="n">
        <v>0.99313282</v>
      </c>
    </row>
    <row r="79" spans="1:18">
      <c r="A79" s="15" t="s">
        <v>503</v>
      </c>
      <c r="B79" s="17" t="n">
        <v>6062</v>
      </c>
      <c r="C79" s="18">
        <f>(5356.0/B79*100)</f>
        <v/>
      </c>
      <c r="D79" s="19" t="n">
        <v>706</v>
      </c>
      <c r="E79" s="18" t="n">
        <v>30.61783169</v>
      </c>
      <c r="F79" s="20" t="n">
        <v>1.83373215</v>
      </c>
      <c r="G79" s="18" t="n">
        <v>52.98968049</v>
      </c>
      <c r="H79" s="20" t="n">
        <v>1.96112847</v>
      </c>
      <c r="I79" s="18" t="n">
        <v>0</v>
      </c>
      <c r="J79" s="20" t="n">
        <v>0</v>
      </c>
      <c r="K79" s="18" t="n">
        <v>0.62255037</v>
      </c>
      <c r="L79" s="20" t="n">
        <v>0.31379339</v>
      </c>
      <c r="M79" s="18" t="n">
        <v>0</v>
      </c>
      <c r="N79" s="20" t="n">
        <v>0</v>
      </c>
      <c r="O79" s="18" t="n">
        <v>0</v>
      </c>
      <c r="P79" s="20" t="n">
        <v>0</v>
      </c>
      <c r="Q79" s="18" t="n">
        <v>15.76993744</v>
      </c>
      <c r="R79" s="20" t="n">
        <v>1.53033484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(28387.0/B82*100)</f>
        <v/>
      </c>
      <c r="D82" s="19" t="n">
        <v>3943</v>
      </c>
      <c r="E82" s="18" t="n">
        <v>14.94185198</v>
      </c>
      <c r="F82" s="20" t="n">
        <v>0.92536208</v>
      </c>
      <c r="G82" s="18" t="n">
        <v>75.62443952</v>
      </c>
      <c r="H82" s="20" t="n">
        <v>1.18380048</v>
      </c>
      <c r="I82" s="18" t="n">
        <v>0</v>
      </c>
      <c r="J82" s="20" t="n">
        <v>0</v>
      </c>
      <c r="K82" s="18" t="n">
        <v>0.10433557</v>
      </c>
      <c r="L82" s="20" t="n">
        <v>0.07825185</v>
      </c>
      <c r="M82" s="18" t="n">
        <v>0</v>
      </c>
      <c r="N82" s="20" t="n">
        <v>0</v>
      </c>
      <c r="O82" s="18" t="n">
        <v>0</v>
      </c>
      <c r="P82" s="20" t="n">
        <v>0</v>
      </c>
      <c r="Q82" s="18" t="n">
        <v>9.32937293</v>
      </c>
      <c r="R82" s="20" t="n">
        <v>0.8346409299999999</v>
      </c>
    </row>
    <row r="83" spans="1:18">
      <c r="A83" s="15" t="s">
        <v>507</v>
      </c>
      <c r="B83" s="17" t="n">
        <v>1652</v>
      </c>
      <c r="C83" s="18">
        <f>(1459.0/B83*100)</f>
        <v/>
      </c>
      <c r="D83" s="19" t="n">
        <v>193</v>
      </c>
      <c r="E83" s="18" t="n">
        <v>11.67674987</v>
      </c>
      <c r="F83" s="20" t="n">
        <v>2.46713202</v>
      </c>
      <c r="G83" s="18" t="n">
        <v>79.94798443000001</v>
      </c>
      <c r="H83" s="20" t="n">
        <v>3.00470067</v>
      </c>
      <c r="I83" s="18" t="n">
        <v>0</v>
      </c>
      <c r="J83" s="20" t="n">
        <v>0</v>
      </c>
      <c r="K83" s="18" t="n">
        <v>0</v>
      </c>
      <c r="L83" s="20" t="n">
        <v>0</v>
      </c>
      <c r="M83" s="18" t="n">
        <v>0</v>
      </c>
      <c r="N83" s="20" t="n">
        <v>0</v>
      </c>
      <c r="O83" s="18" t="n">
        <v>0</v>
      </c>
      <c r="P83" s="20" t="n">
        <v>0</v>
      </c>
      <c r="Q83" s="18" t="n">
        <v>8.375265710000001</v>
      </c>
      <c r="R83" s="20" t="n">
        <v>1.69815354</v>
      </c>
    </row>
    <row r="84" spans="1:18">
      <c r="A84" s="23" t="s">
        <v>508</v>
      </c>
      <c r="B84" s="24" t="n">
        <v>1887</v>
      </c>
      <c r="C84" s="25">
        <f>(1651.0/B84*100)</f>
        <v/>
      </c>
      <c r="D84" s="19" t="n">
        <v>236</v>
      </c>
      <c r="E84" s="18" t="n">
        <v>11.06205168</v>
      </c>
      <c r="F84" s="20" t="n">
        <v>1.804076</v>
      </c>
      <c r="G84" s="18" t="n">
        <v>82.74112767</v>
      </c>
      <c r="H84" s="20" t="n">
        <v>2.35648461</v>
      </c>
      <c r="I84" s="18" t="n">
        <v>0</v>
      </c>
      <c r="J84" s="20" t="n">
        <v>0</v>
      </c>
      <c r="K84" s="18" t="n">
        <v>0</v>
      </c>
      <c r="L84" s="20" t="n">
        <v>0</v>
      </c>
      <c r="M84" s="18" t="n">
        <v>0</v>
      </c>
      <c r="N84" s="20" t="n">
        <v>0</v>
      </c>
      <c r="O84" s="18" t="n">
        <v>0</v>
      </c>
      <c r="P84" s="20" t="n">
        <v>0</v>
      </c>
      <c r="Q84" s="18" t="n">
        <v>6.19682065</v>
      </c>
      <c r="R84" s="20" t="n">
        <v>1.43224194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519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(12708.0/B7*100)</f>
        <v/>
      </c>
      <c r="D7" s="19" t="n">
        <v>1822</v>
      </c>
      <c r="E7" s="18" t="n">
        <v>10.47158182</v>
      </c>
      <c r="F7" s="20" t="n">
        <v>0.81388327</v>
      </c>
      <c r="G7" s="18" t="n">
        <v>84.19333382000001</v>
      </c>
      <c r="H7" s="20" t="n">
        <v>0.87081634</v>
      </c>
      <c r="I7" s="18" t="n">
        <v>0</v>
      </c>
      <c r="J7" s="20" t="n">
        <v>0</v>
      </c>
      <c r="K7" s="18" t="n">
        <v>0.11220261</v>
      </c>
      <c r="L7" s="20" t="n">
        <v>0.09986314</v>
      </c>
      <c r="M7" s="18" t="n">
        <v>0.02206274</v>
      </c>
      <c r="N7" s="20" t="n">
        <v>0.01296331</v>
      </c>
      <c r="O7" s="18" t="n">
        <v>0</v>
      </c>
      <c r="P7" s="20" t="n">
        <v>0</v>
      </c>
      <c r="Q7" s="18" t="n">
        <v>5.20081901</v>
      </c>
      <c r="R7" s="20" t="n">
        <v>0.5593486600000001</v>
      </c>
    </row>
    <row r="8" spans="1:18">
      <c r="A8" s="15" t="s">
        <v>430</v>
      </c>
      <c r="B8" s="17" t="n">
        <v>7007</v>
      </c>
      <c r="C8" s="18">
        <f>(6159.0/B8*100)</f>
        <v/>
      </c>
      <c r="D8" s="19" t="n">
        <v>848</v>
      </c>
      <c r="E8" s="18" t="n">
        <v>14.01038463</v>
      </c>
      <c r="F8" s="20" t="n">
        <v>1.31065738</v>
      </c>
      <c r="G8" s="18" t="n">
        <v>74.89502861</v>
      </c>
      <c r="H8" s="20" t="n">
        <v>1.71501269</v>
      </c>
      <c r="I8" s="18" t="n">
        <v>0</v>
      </c>
      <c r="J8" s="20" t="n">
        <v>0</v>
      </c>
      <c r="K8" s="18" t="n">
        <v>0</v>
      </c>
      <c r="L8" s="20" t="n">
        <v>0</v>
      </c>
      <c r="M8" s="18" t="n">
        <v>0</v>
      </c>
      <c r="N8" s="20" t="n">
        <v>0</v>
      </c>
      <c r="O8" s="18" t="n">
        <v>0</v>
      </c>
      <c r="P8" s="20" t="n">
        <v>0</v>
      </c>
      <c r="Q8" s="18" t="n">
        <v>11.09458676</v>
      </c>
      <c r="R8" s="20" t="n">
        <v>1.28413332</v>
      </c>
    </row>
    <row r="9" spans="1:18">
      <c r="A9" s="15" t="s">
        <v>431</v>
      </c>
      <c r="B9" s="17" t="n">
        <v>9651</v>
      </c>
      <c r="C9" s="18">
        <f>(8496.0/B9*100)</f>
        <v/>
      </c>
      <c r="D9" s="19" t="n">
        <v>1155</v>
      </c>
      <c r="E9" s="18" t="n">
        <v>17.35293769</v>
      </c>
      <c r="F9" s="20" t="n">
        <v>1.23991457</v>
      </c>
      <c r="G9" s="18" t="n">
        <v>75.76515752</v>
      </c>
      <c r="H9" s="20" t="n">
        <v>1.26545805</v>
      </c>
      <c r="I9" s="18" t="n">
        <v>0</v>
      </c>
      <c r="J9" s="20" t="n">
        <v>0</v>
      </c>
      <c r="K9" s="18" t="n">
        <v>0.0775571</v>
      </c>
      <c r="L9" s="20" t="n">
        <v>0.07493297</v>
      </c>
      <c r="M9" s="18" t="n">
        <v>0.33396496</v>
      </c>
      <c r="N9" s="20" t="n">
        <v>0.15116497</v>
      </c>
      <c r="O9" s="18" t="n">
        <v>0</v>
      </c>
      <c r="P9" s="20" t="n">
        <v>0</v>
      </c>
      <c r="Q9" s="18" t="n">
        <v>6.47038273</v>
      </c>
      <c r="R9" s="20" t="n">
        <v>0.68356485</v>
      </c>
    </row>
    <row r="10" spans="1:18">
      <c r="A10" s="15" t="s">
        <v>432</v>
      </c>
      <c r="B10" s="17" t="n">
        <v>20058</v>
      </c>
      <c r="C10" s="18">
        <f>(17616.0/B10*100)</f>
        <v/>
      </c>
      <c r="D10" s="19" t="n">
        <v>2442</v>
      </c>
      <c r="E10" s="18" t="n">
        <v>8.17126768</v>
      </c>
      <c r="F10" s="20" t="n">
        <v>0.72547374</v>
      </c>
      <c r="G10" s="18" t="n">
        <v>88.04521569000001</v>
      </c>
      <c r="H10" s="20" t="n">
        <v>0.88825212</v>
      </c>
      <c r="I10" s="18" t="n">
        <v>0</v>
      </c>
      <c r="J10" s="20" t="n">
        <v>0</v>
      </c>
      <c r="K10" s="18" t="n">
        <v>0.1060994</v>
      </c>
      <c r="L10" s="20" t="n">
        <v>0.10083343</v>
      </c>
      <c r="M10" s="18" t="n">
        <v>0.08382687</v>
      </c>
      <c r="N10" s="20" t="n">
        <v>0.08498397000000001</v>
      </c>
      <c r="O10" s="18" t="n">
        <v>0</v>
      </c>
      <c r="P10" s="20" t="n">
        <v>0</v>
      </c>
      <c r="Q10" s="18" t="n">
        <v>3.59359035</v>
      </c>
      <c r="R10" s="20" t="n">
        <v>0.52867288</v>
      </c>
    </row>
    <row r="11" spans="1:18">
      <c r="A11" s="15" t="s">
        <v>433</v>
      </c>
      <c r="B11" s="17" t="n">
        <v>7053</v>
      </c>
      <c r="C11" s="18">
        <f>(6187.0/B11*100)</f>
        <v/>
      </c>
      <c r="D11" s="19" t="n">
        <v>866</v>
      </c>
      <c r="E11" s="18" t="n">
        <v>15.02564132</v>
      </c>
      <c r="F11" s="20" t="n">
        <v>1.53347651</v>
      </c>
      <c r="G11" s="18" t="n">
        <v>69.37229848</v>
      </c>
      <c r="H11" s="20" t="n">
        <v>2.00974802</v>
      </c>
      <c r="I11" s="18" t="n">
        <v>0</v>
      </c>
      <c r="J11" s="20" t="n">
        <v>0</v>
      </c>
      <c r="K11" s="18" t="n">
        <v>0</v>
      </c>
      <c r="L11" s="20" t="n">
        <v>0</v>
      </c>
      <c r="M11" s="18" t="n">
        <v>0</v>
      </c>
      <c r="N11" s="20" t="n">
        <v>0</v>
      </c>
      <c r="O11" s="18" t="n">
        <v>0</v>
      </c>
      <c r="P11" s="20" t="n">
        <v>0</v>
      </c>
      <c r="Q11" s="18" t="n">
        <v>15.6020602</v>
      </c>
      <c r="R11" s="20" t="n">
        <v>1.55020763</v>
      </c>
    </row>
    <row r="12" spans="1:18">
      <c r="A12" s="15" t="s">
        <v>434</v>
      </c>
      <c r="B12" s="17" t="n">
        <v>6894</v>
      </c>
      <c r="C12" s="18">
        <f>(6056.0/B12*100)</f>
        <v/>
      </c>
      <c r="D12" s="19" t="n">
        <v>838</v>
      </c>
      <c r="E12" s="18" t="n">
        <v>14.07536078</v>
      </c>
      <c r="F12" s="20" t="n">
        <v>1.3574215</v>
      </c>
      <c r="G12" s="18" t="n">
        <v>75.05893939000001</v>
      </c>
      <c r="H12" s="20" t="n">
        <v>1.70825611</v>
      </c>
      <c r="I12" s="18" t="n">
        <v>0</v>
      </c>
      <c r="J12" s="20" t="n">
        <v>0</v>
      </c>
      <c r="K12" s="18" t="n">
        <v>0</v>
      </c>
      <c r="L12" s="20" t="n">
        <v>0</v>
      </c>
      <c r="M12" s="18" t="n">
        <v>0.06961866999999999</v>
      </c>
      <c r="N12" s="20" t="n">
        <v>0.09379063</v>
      </c>
      <c r="O12" s="18" t="n">
        <v>0</v>
      </c>
      <c r="P12" s="20" t="n">
        <v>0</v>
      </c>
      <c r="Q12" s="18" t="n">
        <v>10.79608117</v>
      </c>
      <c r="R12" s="20" t="n">
        <v>1.22807196</v>
      </c>
    </row>
    <row r="13" spans="1:18">
      <c r="A13" s="15" t="s">
        <v>435</v>
      </c>
      <c r="B13" s="17" t="n">
        <v>7161</v>
      </c>
      <c r="C13" s="18">
        <f>(6332.0/B13*100)</f>
        <v/>
      </c>
      <c r="D13" s="19" t="n">
        <v>829</v>
      </c>
      <c r="E13" s="18" t="n">
        <v>7.52047312</v>
      </c>
      <c r="F13" s="20" t="n">
        <v>1.21317107</v>
      </c>
      <c r="G13" s="18" t="n">
        <v>88.69755513</v>
      </c>
      <c r="H13" s="20" t="n">
        <v>1.43510169</v>
      </c>
      <c r="I13" s="18" t="n">
        <v>0</v>
      </c>
      <c r="J13" s="20" t="n">
        <v>0</v>
      </c>
      <c r="K13" s="18" t="n">
        <v>0.24986237</v>
      </c>
      <c r="L13" s="20" t="n">
        <v>0.12269246</v>
      </c>
      <c r="M13" s="18" t="n">
        <v>0</v>
      </c>
      <c r="N13" s="20" t="n">
        <v>0</v>
      </c>
      <c r="O13" s="18" t="n">
        <v>0</v>
      </c>
      <c r="P13" s="20" t="n">
        <v>0</v>
      </c>
      <c r="Q13" s="18" t="n">
        <v>3.53210938</v>
      </c>
      <c r="R13" s="20" t="n">
        <v>0.62300805</v>
      </c>
    </row>
    <row r="14" spans="1:18">
      <c r="A14" s="15" t="s">
        <v>436</v>
      </c>
      <c r="B14" s="17" t="n">
        <v>5587</v>
      </c>
      <c r="C14" s="18">
        <f>(4915.0/B14*100)</f>
        <v/>
      </c>
      <c r="D14" s="19" t="n">
        <v>672</v>
      </c>
      <c r="E14" s="18" t="n">
        <v>9.906682</v>
      </c>
      <c r="F14" s="20" t="n">
        <v>1.24160055</v>
      </c>
      <c r="G14" s="18" t="n">
        <v>85.77477621</v>
      </c>
      <c r="H14" s="20" t="n">
        <v>1.47510375</v>
      </c>
      <c r="I14" s="18" t="n">
        <v>0</v>
      </c>
      <c r="J14" s="20" t="n">
        <v>0</v>
      </c>
      <c r="K14" s="18" t="n">
        <v>0.23055122</v>
      </c>
      <c r="L14" s="20" t="n">
        <v>0.16311238</v>
      </c>
      <c r="M14" s="18" t="n">
        <v>0</v>
      </c>
      <c r="N14" s="20" t="n">
        <v>0</v>
      </c>
      <c r="O14" s="18" t="n">
        <v>0</v>
      </c>
      <c r="P14" s="20" t="n">
        <v>0</v>
      </c>
      <c r="Q14" s="18" t="n">
        <v>4.08799057</v>
      </c>
      <c r="R14" s="20" t="n">
        <v>0.81331452</v>
      </c>
    </row>
    <row r="15" spans="1:18">
      <c r="A15" s="15" t="s">
        <v>437</v>
      </c>
      <c r="B15" s="17" t="n">
        <v>5882</v>
      </c>
      <c r="C15" s="18">
        <f>(5161.0/B15*100)</f>
        <v/>
      </c>
      <c r="D15" s="19" t="n">
        <v>721</v>
      </c>
      <c r="E15" s="18" t="n">
        <v>13.38071066</v>
      </c>
      <c r="F15" s="20" t="n">
        <v>1.33963419</v>
      </c>
      <c r="G15" s="18" t="n">
        <v>80.06048168</v>
      </c>
      <c r="H15" s="20" t="n">
        <v>1.56442099</v>
      </c>
      <c r="I15" s="18" t="n">
        <v>0</v>
      </c>
      <c r="J15" s="20" t="n">
        <v>0</v>
      </c>
      <c r="K15" s="18" t="n">
        <v>0</v>
      </c>
      <c r="L15" s="20" t="n">
        <v>0</v>
      </c>
      <c r="M15" s="18" t="n">
        <v>0</v>
      </c>
      <c r="N15" s="20" t="n">
        <v>0</v>
      </c>
      <c r="O15" s="18" t="n">
        <v>0</v>
      </c>
      <c r="P15" s="20" t="n">
        <v>0</v>
      </c>
      <c r="Q15" s="18" t="n">
        <v>6.55880766</v>
      </c>
      <c r="R15" s="20" t="n">
        <v>0.84762597</v>
      </c>
    </row>
    <row r="16" spans="1:18">
      <c r="A16" s="15" t="s">
        <v>438</v>
      </c>
      <c r="B16" s="17" t="n">
        <v>6108</v>
      </c>
      <c r="C16" s="18">
        <f>(5347.0/B16*100)</f>
        <v/>
      </c>
      <c r="D16" s="19" t="n">
        <v>761</v>
      </c>
      <c r="E16" s="18" t="n">
        <v>10.00097647</v>
      </c>
      <c r="F16" s="20" t="n">
        <v>1.0715973</v>
      </c>
      <c r="G16" s="18" t="n">
        <v>78.37009269000001</v>
      </c>
      <c r="H16" s="20" t="n">
        <v>1.50271686</v>
      </c>
      <c r="I16" s="18" t="n">
        <v>0</v>
      </c>
      <c r="J16" s="20" t="n">
        <v>0</v>
      </c>
      <c r="K16" s="18" t="n">
        <v>0.48398474</v>
      </c>
      <c r="L16" s="20" t="n">
        <v>0.32066809</v>
      </c>
      <c r="M16" s="18" t="n">
        <v>0</v>
      </c>
      <c r="N16" s="20" t="n">
        <v>0</v>
      </c>
      <c r="O16" s="18" t="n">
        <v>0</v>
      </c>
      <c r="P16" s="20" t="n">
        <v>0</v>
      </c>
      <c r="Q16" s="18" t="n">
        <v>11.14494609</v>
      </c>
      <c r="R16" s="20" t="n">
        <v>1.31294955</v>
      </c>
    </row>
    <row r="17" spans="1:18">
      <c r="A17" s="15" t="s">
        <v>439</v>
      </c>
      <c r="B17" s="17" t="n">
        <v>6504</v>
      </c>
      <c r="C17" s="18">
        <f>(5710.0/B17*100)</f>
        <v/>
      </c>
      <c r="D17" s="19" t="n">
        <v>794</v>
      </c>
      <c r="E17" s="18" t="n">
        <v>11.62681079</v>
      </c>
      <c r="F17" s="20" t="n">
        <v>1.1960522</v>
      </c>
      <c r="G17" s="18" t="n">
        <v>75.92086384</v>
      </c>
      <c r="H17" s="20" t="n">
        <v>1.6066585</v>
      </c>
      <c r="I17" s="18" t="n">
        <v>0</v>
      </c>
      <c r="J17" s="20" t="n">
        <v>0</v>
      </c>
      <c r="K17" s="18" t="n">
        <v>0.29820265</v>
      </c>
      <c r="L17" s="20" t="n">
        <v>0.19891072</v>
      </c>
      <c r="M17" s="18" t="n">
        <v>0</v>
      </c>
      <c r="N17" s="20" t="n">
        <v>0</v>
      </c>
      <c r="O17" s="18" t="n">
        <v>0</v>
      </c>
      <c r="P17" s="20" t="n">
        <v>0</v>
      </c>
      <c r="Q17" s="18" t="n">
        <v>12.15412272</v>
      </c>
      <c r="R17" s="20" t="n">
        <v>1.36552099</v>
      </c>
    </row>
    <row r="18" spans="1:18">
      <c r="A18" s="15" t="s">
        <v>440</v>
      </c>
      <c r="B18" s="17" t="n">
        <v>5532</v>
      </c>
      <c r="C18" s="18">
        <f>(4846.0/B18*100)</f>
        <v/>
      </c>
      <c r="D18" s="19" t="n">
        <v>686</v>
      </c>
      <c r="E18" s="18" t="n">
        <v>19.26969303</v>
      </c>
      <c r="F18" s="20" t="n">
        <v>1.50903376</v>
      </c>
      <c r="G18" s="18" t="n">
        <v>69.38253923000001</v>
      </c>
      <c r="H18" s="20" t="n">
        <v>2.21168808</v>
      </c>
      <c r="I18" s="18" t="n">
        <v>0</v>
      </c>
      <c r="J18" s="20" t="n">
        <v>0</v>
      </c>
      <c r="K18" s="18" t="n">
        <v>0.17857253</v>
      </c>
      <c r="L18" s="20" t="n">
        <v>0.22112252</v>
      </c>
      <c r="M18" s="18" t="n">
        <v>0</v>
      </c>
      <c r="N18" s="20" t="n">
        <v>0</v>
      </c>
      <c r="O18" s="18" t="n">
        <v>0</v>
      </c>
      <c r="P18" s="20" t="n">
        <v>0</v>
      </c>
      <c r="Q18" s="18" t="n">
        <v>11.16919522</v>
      </c>
      <c r="R18" s="20" t="n">
        <v>1.85194584</v>
      </c>
    </row>
    <row r="19" spans="1:18">
      <c r="A19" s="15" t="s">
        <v>441</v>
      </c>
      <c r="B19" s="17" t="n">
        <v>5658</v>
      </c>
      <c r="C19" s="18">
        <f>(4967.0/B19*100)</f>
        <v/>
      </c>
      <c r="D19" s="19" t="n">
        <v>691</v>
      </c>
      <c r="E19" s="18" t="n">
        <v>21.2182463</v>
      </c>
      <c r="F19" s="20" t="n">
        <v>1.44075419</v>
      </c>
      <c r="G19" s="18" t="n">
        <v>64.41647322</v>
      </c>
      <c r="H19" s="20" t="n">
        <v>1.74597273</v>
      </c>
      <c r="I19" s="18" t="n">
        <v>0</v>
      </c>
      <c r="J19" s="20" t="n">
        <v>0</v>
      </c>
      <c r="K19" s="18" t="n">
        <v>0</v>
      </c>
      <c r="L19" s="20" t="n">
        <v>0</v>
      </c>
      <c r="M19" s="18" t="n">
        <v>0</v>
      </c>
      <c r="N19" s="20" t="n">
        <v>0</v>
      </c>
      <c r="O19" s="18" t="n">
        <v>0</v>
      </c>
      <c r="P19" s="20" t="n">
        <v>0</v>
      </c>
      <c r="Q19" s="18" t="n">
        <v>14.36528048</v>
      </c>
      <c r="R19" s="20" t="n">
        <v>1.41218062</v>
      </c>
    </row>
    <row r="20" spans="1:18">
      <c r="A20" s="15" t="s">
        <v>442</v>
      </c>
      <c r="B20" s="17" t="n">
        <v>3371</v>
      </c>
      <c r="C20" s="18">
        <f>(2950.0/B20*100)</f>
        <v/>
      </c>
      <c r="D20" s="19" t="n">
        <v>421</v>
      </c>
      <c r="E20" s="18" t="n">
        <v>22.73255084</v>
      </c>
      <c r="F20" s="20" t="n">
        <v>2.01898435</v>
      </c>
      <c r="G20" s="18" t="n">
        <v>70.03621832</v>
      </c>
      <c r="H20" s="20" t="n">
        <v>2.24563896</v>
      </c>
      <c r="I20" s="18" t="n">
        <v>0</v>
      </c>
      <c r="J20" s="20" t="n">
        <v>0</v>
      </c>
      <c r="K20" s="18" t="n">
        <v>0</v>
      </c>
      <c r="L20" s="20" t="n">
        <v>0</v>
      </c>
      <c r="M20" s="18" t="n">
        <v>0.7309309000000001</v>
      </c>
      <c r="N20" s="20" t="n">
        <v>0.50348906</v>
      </c>
      <c r="O20" s="18" t="n">
        <v>0</v>
      </c>
      <c r="P20" s="20" t="n">
        <v>0</v>
      </c>
      <c r="Q20" s="18" t="n">
        <v>6.50029995</v>
      </c>
      <c r="R20" s="20" t="n">
        <v>1.07816851</v>
      </c>
    </row>
    <row r="21" spans="1:18">
      <c r="A21" s="15" t="s">
        <v>443</v>
      </c>
      <c r="B21" s="17" t="n">
        <v>5741</v>
      </c>
      <c r="C21" s="18">
        <f>(4793.0/B21*100)</f>
        <v/>
      </c>
      <c r="D21" s="19" t="n">
        <v>948</v>
      </c>
      <c r="E21" s="18" t="n">
        <v>7.38495656</v>
      </c>
      <c r="F21" s="20" t="n">
        <v>0.87771786</v>
      </c>
      <c r="G21" s="18" t="n">
        <v>87.36989</v>
      </c>
      <c r="H21" s="20" t="n">
        <v>0.93426118</v>
      </c>
      <c r="I21" s="18" t="n">
        <v>0</v>
      </c>
      <c r="J21" s="20" t="n">
        <v>0</v>
      </c>
      <c r="K21" s="18" t="n">
        <v>0.09126556</v>
      </c>
      <c r="L21" s="20" t="n">
        <v>0.06593515</v>
      </c>
      <c r="M21" s="18" t="n">
        <v>0</v>
      </c>
      <c r="N21" s="20" t="n">
        <v>0</v>
      </c>
      <c r="O21" s="18" t="n">
        <v>0</v>
      </c>
      <c r="P21" s="20" t="n">
        <v>0</v>
      </c>
      <c r="Q21" s="18" t="n">
        <v>5.15388787</v>
      </c>
      <c r="R21" s="20" t="n">
        <v>0.66515609</v>
      </c>
    </row>
    <row r="22" spans="1:18">
      <c r="A22" s="15" t="s">
        <v>444</v>
      </c>
      <c r="B22" s="17" t="n">
        <v>6598</v>
      </c>
      <c r="C22" s="18">
        <f>(5765.0/B22*100)</f>
        <v/>
      </c>
      <c r="D22" s="19" t="n">
        <v>833</v>
      </c>
      <c r="E22" s="18" t="n">
        <v>18.12173442</v>
      </c>
      <c r="F22" s="20" t="n">
        <v>1.33527042</v>
      </c>
      <c r="G22" s="18" t="n">
        <v>67.8706177</v>
      </c>
      <c r="H22" s="20" t="n">
        <v>1.74818243</v>
      </c>
      <c r="I22" s="18" t="n">
        <v>0</v>
      </c>
      <c r="J22" s="20" t="n">
        <v>0</v>
      </c>
      <c r="K22" s="18" t="n">
        <v>0.20102447</v>
      </c>
      <c r="L22" s="20" t="n">
        <v>0.15186398</v>
      </c>
      <c r="M22" s="18" t="n">
        <v>0</v>
      </c>
      <c r="N22" s="20" t="n">
        <v>0</v>
      </c>
      <c r="O22" s="18" t="n">
        <v>0</v>
      </c>
      <c r="P22" s="20" t="n">
        <v>0</v>
      </c>
      <c r="Q22" s="18" t="n">
        <v>13.80662341</v>
      </c>
      <c r="R22" s="20" t="n">
        <v>1.56791381</v>
      </c>
    </row>
    <row r="23" spans="1:18">
      <c r="A23" s="15" t="s">
        <v>445</v>
      </c>
      <c r="B23" s="17" t="n">
        <v>11583</v>
      </c>
      <c r="C23" s="18">
        <f>(10168.0/B23*100)</f>
        <v/>
      </c>
      <c r="D23" s="19" t="n">
        <v>1415</v>
      </c>
      <c r="E23" s="18" t="n">
        <v>16.28945095</v>
      </c>
      <c r="F23" s="20" t="n">
        <v>1.33835749</v>
      </c>
      <c r="G23" s="18" t="n">
        <v>69.79796664</v>
      </c>
      <c r="H23" s="20" t="n">
        <v>1.83980792</v>
      </c>
      <c r="I23" s="18" t="n">
        <v>0</v>
      </c>
      <c r="J23" s="20" t="n">
        <v>0</v>
      </c>
      <c r="K23" s="18" t="n">
        <v>0.21716443</v>
      </c>
      <c r="L23" s="20" t="n">
        <v>0.21330478</v>
      </c>
      <c r="M23" s="18" t="n">
        <v>1.38722189</v>
      </c>
      <c r="N23" s="20" t="n">
        <v>0.84475111</v>
      </c>
      <c r="O23" s="18" t="n">
        <v>0</v>
      </c>
      <c r="P23" s="20" t="n">
        <v>0</v>
      </c>
      <c r="Q23" s="18" t="n">
        <v>12.30819608</v>
      </c>
      <c r="R23" s="20" t="n">
        <v>1.45402899</v>
      </c>
    </row>
    <row r="24" spans="1:18">
      <c r="A24" s="15" t="s">
        <v>446</v>
      </c>
      <c r="B24" s="17" t="n">
        <v>6647</v>
      </c>
      <c r="C24" s="18">
        <f>(5810.0/B24*100)</f>
        <v/>
      </c>
      <c r="D24" s="19" t="n">
        <v>837</v>
      </c>
      <c r="E24" s="18" t="n">
        <v>10.63205982</v>
      </c>
      <c r="F24" s="20" t="n">
        <v>1.25229213</v>
      </c>
      <c r="G24" s="18" t="n">
        <v>78.8929256</v>
      </c>
      <c r="H24" s="20" t="n">
        <v>1.51731461</v>
      </c>
      <c r="I24" s="18" t="n">
        <v>0</v>
      </c>
      <c r="J24" s="20" t="n">
        <v>0</v>
      </c>
      <c r="K24" s="18" t="n">
        <v>0.20683933</v>
      </c>
      <c r="L24" s="20" t="n">
        <v>0.14430741</v>
      </c>
      <c r="M24" s="18" t="n">
        <v>0</v>
      </c>
      <c r="N24" s="20" t="n">
        <v>0</v>
      </c>
      <c r="O24" s="18" t="n">
        <v>0</v>
      </c>
      <c r="P24" s="20" t="n">
        <v>0</v>
      </c>
      <c r="Q24" s="18" t="n">
        <v>10.26817524</v>
      </c>
      <c r="R24" s="20" t="n">
        <v>0.95222593</v>
      </c>
    </row>
    <row r="25" spans="1:18">
      <c r="A25" s="15" t="s">
        <v>447</v>
      </c>
      <c r="B25" s="17" t="n">
        <v>5581</v>
      </c>
      <c r="C25" s="18">
        <f>(4882.0/B25*100)</f>
        <v/>
      </c>
      <c r="D25" s="19" t="n">
        <v>699</v>
      </c>
      <c r="E25" s="18" t="n">
        <v>8.13602878</v>
      </c>
      <c r="F25" s="20" t="n">
        <v>1.07416567</v>
      </c>
      <c r="G25" s="18" t="n">
        <v>81.89478466</v>
      </c>
      <c r="H25" s="20" t="n">
        <v>1.56930317</v>
      </c>
      <c r="I25" s="18" t="n">
        <v>0</v>
      </c>
      <c r="J25" s="20" t="n">
        <v>0</v>
      </c>
      <c r="K25" s="18" t="n">
        <v>0.14356734</v>
      </c>
      <c r="L25" s="20" t="n">
        <v>0.14355952</v>
      </c>
      <c r="M25" s="18" t="n">
        <v>0.1469265</v>
      </c>
      <c r="N25" s="20" t="n">
        <v>0.14712298</v>
      </c>
      <c r="O25" s="18" t="n">
        <v>0</v>
      </c>
      <c r="P25" s="20" t="n">
        <v>0</v>
      </c>
      <c r="Q25" s="18" t="n">
        <v>9.678692720000001</v>
      </c>
      <c r="R25" s="20" t="n">
        <v>1.23996599</v>
      </c>
    </row>
    <row r="26" spans="1:18">
      <c r="A26" s="15" t="s">
        <v>448</v>
      </c>
      <c r="B26" s="17" t="n">
        <v>4869</v>
      </c>
      <c r="C26" s="18">
        <f>(4277.0/B26*100)</f>
        <v/>
      </c>
      <c r="D26" s="19" t="n">
        <v>592</v>
      </c>
      <c r="E26" s="18" t="n">
        <v>14.88233329</v>
      </c>
      <c r="F26" s="20" t="n">
        <v>1.8889769</v>
      </c>
      <c r="G26" s="18" t="n">
        <v>80.13511801999999</v>
      </c>
      <c r="H26" s="20" t="n">
        <v>2.02558017</v>
      </c>
      <c r="I26" s="18" t="n">
        <v>0</v>
      </c>
      <c r="J26" s="20" t="n">
        <v>0</v>
      </c>
      <c r="K26" s="18" t="n">
        <v>0</v>
      </c>
      <c r="L26" s="20" t="n">
        <v>0</v>
      </c>
      <c r="M26" s="18" t="n">
        <v>0.13338864</v>
      </c>
      <c r="N26" s="20" t="n">
        <v>0.11903061</v>
      </c>
      <c r="O26" s="18" t="n">
        <v>0</v>
      </c>
      <c r="P26" s="20" t="n">
        <v>0</v>
      </c>
      <c r="Q26" s="18" t="n">
        <v>4.84916005</v>
      </c>
      <c r="R26" s="20" t="n">
        <v>0.83036628</v>
      </c>
    </row>
    <row r="27" spans="1:18">
      <c r="A27" s="15" t="s">
        <v>449</v>
      </c>
      <c r="B27" s="17" t="n">
        <v>5299</v>
      </c>
      <c r="C27" s="18">
        <f>(4642.0/B27*100)</f>
        <v/>
      </c>
      <c r="D27" s="19" t="n">
        <v>657</v>
      </c>
      <c r="E27" s="18" t="n">
        <v>14.65640376</v>
      </c>
      <c r="F27" s="20" t="n">
        <v>1.43595324</v>
      </c>
      <c r="G27" s="18" t="n">
        <v>73.72777296</v>
      </c>
      <c r="H27" s="20" t="n">
        <v>1.69168012</v>
      </c>
      <c r="I27" s="18" t="n">
        <v>0</v>
      </c>
      <c r="J27" s="20" t="n">
        <v>0</v>
      </c>
      <c r="K27" s="18" t="n">
        <v>0</v>
      </c>
      <c r="L27" s="20" t="n">
        <v>0</v>
      </c>
      <c r="M27" s="18" t="n">
        <v>0</v>
      </c>
      <c r="N27" s="20" t="n">
        <v>0</v>
      </c>
      <c r="O27" s="18" t="n">
        <v>0</v>
      </c>
      <c r="P27" s="20" t="n">
        <v>0</v>
      </c>
      <c r="Q27" s="18" t="n">
        <v>11.61582327</v>
      </c>
      <c r="R27" s="20" t="n">
        <v>1.45051855</v>
      </c>
    </row>
    <row r="28" spans="1:18">
      <c r="A28" s="15" t="s">
        <v>450</v>
      </c>
      <c r="B28" s="17" t="n">
        <v>7568</v>
      </c>
      <c r="C28" s="18">
        <f>(6680.0/B28*100)</f>
        <v/>
      </c>
      <c r="D28" s="19" t="n">
        <v>888</v>
      </c>
      <c r="E28" s="18" t="n">
        <v>31.20241232</v>
      </c>
      <c r="F28" s="20" t="n">
        <v>1.40774647</v>
      </c>
      <c r="G28" s="18" t="n">
        <v>64.08017206</v>
      </c>
      <c r="H28" s="20" t="n">
        <v>1.62737721</v>
      </c>
      <c r="I28" s="18" t="n">
        <v>0</v>
      </c>
      <c r="J28" s="20" t="n">
        <v>0</v>
      </c>
      <c r="K28" s="18" t="n">
        <v>0</v>
      </c>
      <c r="L28" s="20" t="n">
        <v>0</v>
      </c>
      <c r="M28" s="18" t="n">
        <v>0</v>
      </c>
      <c r="N28" s="20" t="n">
        <v>0</v>
      </c>
      <c r="O28" s="18" t="n">
        <v>0</v>
      </c>
      <c r="P28" s="20" t="n">
        <v>0</v>
      </c>
      <c r="Q28" s="18" t="n">
        <v>4.71741562</v>
      </c>
      <c r="R28" s="20" t="n">
        <v>0.79445529</v>
      </c>
    </row>
    <row r="29" spans="1:18">
      <c r="A29" s="15" t="s">
        <v>451</v>
      </c>
      <c r="B29" s="17" t="n">
        <v>5385</v>
      </c>
      <c r="C29" s="18">
        <f>(4727.0/B29*100)</f>
        <v/>
      </c>
      <c r="D29" s="19" t="n">
        <v>658</v>
      </c>
      <c r="E29" s="18" t="n">
        <v>6.64283613</v>
      </c>
      <c r="F29" s="20" t="n">
        <v>0.95175969</v>
      </c>
      <c r="G29" s="18" t="n">
        <v>91.78173474</v>
      </c>
      <c r="H29" s="20" t="n">
        <v>1.14396459</v>
      </c>
      <c r="I29" s="18" t="n">
        <v>0</v>
      </c>
      <c r="J29" s="20" t="n">
        <v>0</v>
      </c>
      <c r="K29" s="18" t="n">
        <v>0</v>
      </c>
      <c r="L29" s="20" t="n">
        <v>0</v>
      </c>
      <c r="M29" s="18" t="n">
        <v>0</v>
      </c>
      <c r="N29" s="20" t="n">
        <v>0</v>
      </c>
      <c r="O29" s="18" t="n">
        <v>0</v>
      </c>
      <c r="P29" s="20" t="n">
        <v>0</v>
      </c>
      <c r="Q29" s="18" t="n">
        <v>1.57542913</v>
      </c>
      <c r="R29" s="20" t="n">
        <v>0.52934672</v>
      </c>
    </row>
    <row r="30" spans="1:18">
      <c r="A30" s="15" t="s">
        <v>452</v>
      </c>
      <c r="B30" s="17" t="n">
        <v>4520</v>
      </c>
      <c r="C30" s="18">
        <f>(3962.0/B30*100)</f>
        <v/>
      </c>
      <c r="D30" s="19" t="n">
        <v>558</v>
      </c>
      <c r="E30" s="18" t="n">
        <v>7.14469999</v>
      </c>
      <c r="F30" s="20" t="n">
        <v>1.08563152</v>
      </c>
      <c r="G30" s="18" t="n">
        <v>88.20441021000001</v>
      </c>
      <c r="H30" s="20" t="n">
        <v>1.31388887</v>
      </c>
      <c r="I30" s="18" t="n">
        <v>0</v>
      </c>
      <c r="J30" s="20" t="n">
        <v>0</v>
      </c>
      <c r="K30" s="18" t="n">
        <v>0.29929255</v>
      </c>
      <c r="L30" s="20" t="n">
        <v>0.20544776</v>
      </c>
      <c r="M30" s="18" t="n">
        <v>0</v>
      </c>
      <c r="N30" s="20" t="n">
        <v>0</v>
      </c>
      <c r="O30" s="18" t="n">
        <v>0</v>
      </c>
      <c r="P30" s="20" t="n">
        <v>0</v>
      </c>
      <c r="Q30" s="18" t="n">
        <v>4.35159726</v>
      </c>
      <c r="R30" s="20" t="n">
        <v>0.73976014</v>
      </c>
    </row>
    <row r="31" spans="1:18">
      <c r="A31" s="15" t="s">
        <v>453</v>
      </c>
      <c r="B31" s="17" t="n">
        <v>5456</v>
      </c>
      <c r="C31" s="18">
        <f>(4769.0/B31*100)</f>
        <v/>
      </c>
      <c r="D31" s="19" t="n">
        <v>687</v>
      </c>
      <c r="E31" s="18" t="n">
        <v>12.67348904</v>
      </c>
      <c r="F31" s="20" t="n">
        <v>1.61000047</v>
      </c>
      <c r="G31" s="18" t="n">
        <v>82.74837551</v>
      </c>
      <c r="H31" s="20" t="n">
        <v>1.81826472</v>
      </c>
      <c r="I31" s="18" t="n">
        <v>0</v>
      </c>
      <c r="J31" s="20" t="n">
        <v>0</v>
      </c>
      <c r="K31" s="18" t="n">
        <v>0.26980714</v>
      </c>
      <c r="L31" s="20" t="n">
        <v>0.18582776</v>
      </c>
      <c r="M31" s="18" t="n">
        <v>0</v>
      </c>
      <c r="N31" s="20" t="n">
        <v>0</v>
      </c>
      <c r="O31" s="18" t="n">
        <v>0</v>
      </c>
      <c r="P31" s="20" t="n">
        <v>0</v>
      </c>
      <c r="Q31" s="18" t="n">
        <v>4.30832832</v>
      </c>
      <c r="R31" s="20" t="n">
        <v>0.7908678099999999</v>
      </c>
    </row>
    <row r="32" spans="1:18">
      <c r="A32" s="15" t="s">
        <v>454</v>
      </c>
      <c r="B32" s="17" t="n">
        <v>4478</v>
      </c>
      <c r="C32" s="18">
        <f>(3736.0/B32*100)</f>
        <v/>
      </c>
      <c r="D32" s="19" t="n">
        <v>742</v>
      </c>
      <c r="E32" s="18" t="n">
        <v>17.04629279</v>
      </c>
      <c r="F32" s="20" t="n">
        <v>1.24788585</v>
      </c>
      <c r="G32" s="18" t="n">
        <v>73.3066924</v>
      </c>
      <c r="H32" s="20" t="n">
        <v>1.46169461</v>
      </c>
      <c r="I32" s="18" t="n">
        <v>0</v>
      </c>
      <c r="J32" s="20" t="n">
        <v>0</v>
      </c>
      <c r="K32" s="18" t="n">
        <v>0.12130778</v>
      </c>
      <c r="L32" s="20" t="n">
        <v>0.12112168</v>
      </c>
      <c r="M32" s="18" t="n">
        <v>0.15297429</v>
      </c>
      <c r="N32" s="20" t="n">
        <v>0.14683138</v>
      </c>
      <c r="O32" s="18" t="n">
        <v>0</v>
      </c>
      <c r="P32" s="20" t="n">
        <v>0</v>
      </c>
      <c r="Q32" s="18" t="n">
        <v>9.37273274</v>
      </c>
      <c r="R32" s="20" t="n">
        <v>0.93892186</v>
      </c>
    </row>
    <row r="33" spans="1:18">
      <c r="A33" s="15" t="s">
        <v>455</v>
      </c>
      <c r="B33" s="17" t="n">
        <v>7325</v>
      </c>
      <c r="C33" s="18">
        <f>(6408.0/B33*100)</f>
        <v/>
      </c>
      <c r="D33" s="19" t="n">
        <v>917</v>
      </c>
      <c r="E33" s="18" t="n">
        <v>17.14299936</v>
      </c>
      <c r="F33" s="20" t="n">
        <v>1.44026983</v>
      </c>
      <c r="G33" s="18" t="n">
        <v>77.32412527</v>
      </c>
      <c r="H33" s="20" t="n">
        <v>1.73528395</v>
      </c>
      <c r="I33" s="18" t="n">
        <v>0</v>
      </c>
      <c r="J33" s="20" t="n">
        <v>0</v>
      </c>
      <c r="K33" s="18" t="n">
        <v>0.3343487</v>
      </c>
      <c r="L33" s="20" t="n">
        <v>0.26921755</v>
      </c>
      <c r="M33" s="18" t="n">
        <v>0</v>
      </c>
      <c r="N33" s="20" t="n">
        <v>0</v>
      </c>
      <c r="O33" s="18" t="n">
        <v>0</v>
      </c>
      <c r="P33" s="20" t="n">
        <v>0</v>
      </c>
      <c r="Q33" s="18" t="n">
        <v>5.19852668</v>
      </c>
      <c r="R33" s="20" t="n">
        <v>0.90507998</v>
      </c>
    </row>
    <row r="34" spans="1:18">
      <c r="A34" s="15" t="s">
        <v>456</v>
      </c>
      <c r="B34" s="17" t="n">
        <v>6350</v>
      </c>
      <c r="C34" s="18">
        <f>(5582.0/B34*100)</f>
        <v/>
      </c>
      <c r="D34" s="19" t="n">
        <v>768</v>
      </c>
      <c r="E34" s="18" t="n">
        <v>19.61267033</v>
      </c>
      <c r="F34" s="20" t="n">
        <v>1.59844686</v>
      </c>
      <c r="G34" s="18" t="n">
        <v>70.29670280000001</v>
      </c>
      <c r="H34" s="20" t="n">
        <v>1.61520827</v>
      </c>
      <c r="I34" s="18" t="n">
        <v>0</v>
      </c>
      <c r="J34" s="20" t="n">
        <v>0</v>
      </c>
      <c r="K34" s="18" t="n">
        <v>0.17836297</v>
      </c>
      <c r="L34" s="20" t="n">
        <v>0.10025718</v>
      </c>
      <c r="M34" s="18" t="n">
        <v>0</v>
      </c>
      <c r="N34" s="20" t="n">
        <v>0</v>
      </c>
      <c r="O34" s="18" t="n">
        <v>0</v>
      </c>
      <c r="P34" s="20" t="n">
        <v>0</v>
      </c>
      <c r="Q34" s="18" t="n">
        <v>9.91226389</v>
      </c>
      <c r="R34" s="20" t="n">
        <v>1.08820423</v>
      </c>
    </row>
    <row r="35" spans="1:18">
      <c r="A35" s="15" t="s">
        <v>457</v>
      </c>
      <c r="B35" s="17" t="n">
        <v>6406</v>
      </c>
      <c r="C35" s="18">
        <f>(5619.0/B35*100)</f>
        <v/>
      </c>
      <c r="D35" s="19" t="n">
        <v>787</v>
      </c>
      <c r="E35" s="18" t="n">
        <v>5.24978255</v>
      </c>
      <c r="F35" s="20" t="n">
        <v>0.93071704</v>
      </c>
      <c r="G35" s="18" t="n">
        <v>90.35469381999999</v>
      </c>
      <c r="H35" s="20" t="n">
        <v>1.25237526</v>
      </c>
      <c r="I35" s="18" t="n">
        <v>0</v>
      </c>
      <c r="J35" s="20" t="n">
        <v>0</v>
      </c>
      <c r="K35" s="18" t="n">
        <v>0</v>
      </c>
      <c r="L35" s="20" t="n">
        <v>0</v>
      </c>
      <c r="M35" s="18" t="n">
        <v>0</v>
      </c>
      <c r="N35" s="20" t="n">
        <v>0</v>
      </c>
      <c r="O35" s="18" t="n">
        <v>0</v>
      </c>
      <c r="P35" s="20" t="n">
        <v>0</v>
      </c>
      <c r="Q35" s="18" t="n">
        <v>4.39552363</v>
      </c>
      <c r="R35" s="20" t="n">
        <v>0.87037474</v>
      </c>
    </row>
    <row r="36" spans="1:18">
      <c r="A36" s="15" t="s">
        <v>458</v>
      </c>
      <c r="B36" s="17" t="n">
        <v>6736</v>
      </c>
      <c r="C36" s="18">
        <f>(5898.0/B36*100)</f>
        <v/>
      </c>
      <c r="D36" s="19" t="n">
        <v>838</v>
      </c>
      <c r="E36" s="18" t="n">
        <v>12.05205888</v>
      </c>
      <c r="F36" s="20" t="n">
        <v>1.22852934</v>
      </c>
      <c r="G36" s="18" t="n">
        <v>80.6184507</v>
      </c>
      <c r="H36" s="20" t="n">
        <v>1.42645533</v>
      </c>
      <c r="I36" s="18" t="n">
        <v>0</v>
      </c>
      <c r="J36" s="20" t="n">
        <v>0</v>
      </c>
      <c r="K36" s="18" t="n">
        <v>0.28900563</v>
      </c>
      <c r="L36" s="20" t="n">
        <v>0.16879767</v>
      </c>
      <c r="M36" s="18" t="n">
        <v>0.13626527</v>
      </c>
      <c r="N36" s="20" t="n">
        <v>0.14371943</v>
      </c>
      <c r="O36" s="18" t="n">
        <v>0</v>
      </c>
      <c r="P36" s="20" t="n">
        <v>0</v>
      </c>
      <c r="Q36" s="18" t="n">
        <v>6.90421951</v>
      </c>
      <c r="R36" s="20" t="n">
        <v>0.84878435</v>
      </c>
    </row>
    <row r="37" spans="1:18">
      <c r="A37" s="15" t="s">
        <v>459</v>
      </c>
      <c r="B37" s="17" t="n">
        <v>5458</v>
      </c>
      <c r="C37" s="18">
        <f>(4793.0/B37*100)</f>
        <v/>
      </c>
      <c r="D37" s="19" t="n">
        <v>665</v>
      </c>
      <c r="E37" s="18" t="n">
        <v>11.09402319</v>
      </c>
      <c r="F37" s="20" t="n">
        <v>1.45891696</v>
      </c>
      <c r="G37" s="18" t="n">
        <v>79.73272829</v>
      </c>
      <c r="H37" s="20" t="n">
        <v>1.91415229</v>
      </c>
      <c r="I37" s="18" t="n">
        <v>0</v>
      </c>
      <c r="J37" s="20" t="n">
        <v>0</v>
      </c>
      <c r="K37" s="18" t="n">
        <v>0.16027601</v>
      </c>
      <c r="L37" s="20" t="n">
        <v>0.15989229</v>
      </c>
      <c r="M37" s="18" t="n">
        <v>0</v>
      </c>
      <c r="N37" s="20" t="n">
        <v>0</v>
      </c>
      <c r="O37" s="18" t="n">
        <v>0</v>
      </c>
      <c r="P37" s="20" t="n">
        <v>0</v>
      </c>
      <c r="Q37" s="18" t="n">
        <v>9.012972510000001</v>
      </c>
      <c r="R37" s="20" t="n">
        <v>1.24989868</v>
      </c>
    </row>
    <row r="38" spans="1:18">
      <c r="A38" s="15" t="s">
        <v>460</v>
      </c>
      <c r="B38" s="17" t="n">
        <v>5860</v>
      </c>
      <c r="C38" s="18">
        <f>(4893.0/B38*100)</f>
        <v/>
      </c>
      <c r="D38" s="19" t="n">
        <v>967</v>
      </c>
      <c r="E38" s="18" t="n">
        <v>12.84394654</v>
      </c>
      <c r="F38" s="20" t="n">
        <v>1.38843414</v>
      </c>
      <c r="G38" s="18" t="n">
        <v>77.23657159</v>
      </c>
      <c r="H38" s="20" t="n">
        <v>1.85129957</v>
      </c>
      <c r="I38" s="18" t="n">
        <v>0</v>
      </c>
      <c r="J38" s="20" t="n">
        <v>0</v>
      </c>
      <c r="K38" s="18" t="n">
        <v>0.08933099</v>
      </c>
      <c r="L38" s="20" t="n">
        <v>0.07810367</v>
      </c>
      <c r="M38" s="18" t="n">
        <v>0.30352867</v>
      </c>
      <c r="N38" s="20" t="n">
        <v>0.17963022</v>
      </c>
      <c r="O38" s="18" t="n">
        <v>0</v>
      </c>
      <c r="P38" s="20" t="n">
        <v>0</v>
      </c>
      <c r="Q38" s="18" t="n">
        <v>9.526622209999999</v>
      </c>
      <c r="R38" s="20" t="n">
        <v>1.30290231</v>
      </c>
    </row>
    <row r="39" spans="1:18">
      <c r="A39" s="15" t="s">
        <v>461</v>
      </c>
      <c r="B39" s="17" t="n">
        <v>5895</v>
      </c>
      <c r="C39" s="18">
        <f>(5169.0/B39*100)</f>
        <v/>
      </c>
      <c r="D39" s="19" t="n">
        <v>726</v>
      </c>
      <c r="E39" s="18" t="n">
        <v>22.80381105</v>
      </c>
      <c r="F39" s="20" t="n">
        <v>1.67314094</v>
      </c>
      <c r="G39" s="18" t="n">
        <v>63.31916302</v>
      </c>
      <c r="H39" s="20" t="n">
        <v>2.1585821</v>
      </c>
      <c r="I39" s="18" t="n">
        <v>0</v>
      </c>
      <c r="J39" s="20" t="n">
        <v>0</v>
      </c>
      <c r="K39" s="18" t="n">
        <v>0</v>
      </c>
      <c r="L39" s="20" t="n">
        <v>0</v>
      </c>
      <c r="M39" s="18" t="n">
        <v>0.12230302</v>
      </c>
      <c r="N39" s="20" t="n">
        <v>0.1257731</v>
      </c>
      <c r="O39" s="18" t="n">
        <v>0</v>
      </c>
      <c r="P39" s="20" t="n">
        <v>0</v>
      </c>
      <c r="Q39" s="18" t="n">
        <v>13.7547229</v>
      </c>
      <c r="R39" s="20" t="n">
        <v>1.5844825</v>
      </c>
    </row>
    <row r="40" spans="1:18">
      <c r="A40" s="15" t="s">
        <v>462</v>
      </c>
      <c r="B40" s="17" t="n">
        <v>14157</v>
      </c>
      <c r="C40" s="18">
        <f>(12427.0/B40*100)</f>
        <v/>
      </c>
      <c r="D40" s="19" t="n">
        <v>1730</v>
      </c>
      <c r="E40" s="18" t="n">
        <v>9.535659580000001</v>
      </c>
      <c r="F40" s="20" t="n">
        <v>1.03438084</v>
      </c>
      <c r="G40" s="18" t="n">
        <v>83.80720857</v>
      </c>
      <c r="H40" s="20" t="n">
        <v>1.43921011</v>
      </c>
      <c r="I40" s="18" t="n">
        <v>0</v>
      </c>
      <c r="J40" s="20" t="n">
        <v>0</v>
      </c>
      <c r="K40" s="18" t="n">
        <v>0.18627918</v>
      </c>
      <c r="L40" s="20" t="n">
        <v>0.1275269</v>
      </c>
      <c r="M40" s="18" t="n">
        <v>0.15465763</v>
      </c>
      <c r="N40" s="20" t="n">
        <v>0.15290814</v>
      </c>
      <c r="O40" s="18" t="n">
        <v>0</v>
      </c>
      <c r="P40" s="20" t="n">
        <v>0</v>
      </c>
      <c r="Q40" s="18" t="n">
        <v>6.31619504</v>
      </c>
      <c r="R40" s="20" t="n">
        <v>1.09860009</v>
      </c>
    </row>
    <row r="41" spans="1:18">
      <c r="A41" s="15" t="s">
        <v>463</v>
      </c>
      <c r="B41" s="17" t="n">
        <v>5712</v>
      </c>
      <c r="C41" s="18">
        <f>(5031.0/B41*100)</f>
        <v/>
      </c>
      <c r="D41" s="19" t="n">
        <v>681</v>
      </c>
      <c r="E41" s="18" t="n">
        <v>13.83935415</v>
      </c>
      <c r="F41" s="20" t="n">
        <v>1.30141031</v>
      </c>
      <c r="G41" s="18" t="n">
        <v>83.29157673</v>
      </c>
      <c r="H41" s="20" t="n">
        <v>1.56170933</v>
      </c>
      <c r="I41" s="18" t="n">
        <v>0</v>
      </c>
      <c r="J41" s="20" t="n">
        <v>0</v>
      </c>
      <c r="K41" s="18" t="n">
        <v>0.26090033</v>
      </c>
      <c r="L41" s="20" t="n">
        <v>0.19208039</v>
      </c>
      <c r="M41" s="18" t="n">
        <v>0</v>
      </c>
      <c r="N41" s="20" t="n">
        <v>0</v>
      </c>
      <c r="O41" s="18" t="n">
        <v>0</v>
      </c>
      <c r="P41" s="20" t="n">
        <v>0</v>
      </c>
      <c r="Q41" s="18" t="n">
        <v>2.60816879</v>
      </c>
      <c r="R41" s="20" t="n">
        <v>0.62957659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(20454.0/B46*100)</f>
        <v/>
      </c>
      <c r="D46" s="19" t="n">
        <v>2687</v>
      </c>
      <c r="E46" s="18" t="n">
        <v>35.25891846</v>
      </c>
      <c r="F46" s="20" t="n">
        <v>1.28745042</v>
      </c>
      <c r="G46" s="18" t="n">
        <v>41.32278819</v>
      </c>
      <c r="H46" s="20" t="n">
        <v>1.3965418</v>
      </c>
      <c r="I46" s="18" t="n">
        <v>0</v>
      </c>
      <c r="J46" s="20" t="n">
        <v>0</v>
      </c>
      <c r="K46" s="18" t="n">
        <v>0.21048383</v>
      </c>
      <c r="L46" s="20" t="n">
        <v>0.09117842</v>
      </c>
      <c r="M46" s="18" t="n">
        <v>0.24255185</v>
      </c>
      <c r="N46" s="20" t="n">
        <v>0.1131838</v>
      </c>
      <c r="O46" s="18" t="n">
        <v>0</v>
      </c>
      <c r="P46" s="20" t="n">
        <v>0</v>
      </c>
      <c r="Q46" s="18" t="n">
        <v>22.96525766</v>
      </c>
      <c r="R46" s="20" t="n">
        <v>1.06436512</v>
      </c>
    </row>
    <row r="47" spans="1:18">
      <c r="A47" s="15" t="s">
        <v>470</v>
      </c>
      <c r="B47" s="17" t="n">
        <v>5928</v>
      </c>
      <c r="C47" s="18">
        <f>(5211.0/B47*100)</f>
        <v/>
      </c>
      <c r="D47" s="19" t="n">
        <v>717</v>
      </c>
      <c r="E47" s="18" t="n">
        <v>53.7363551</v>
      </c>
      <c r="F47" s="20" t="n">
        <v>1.93603232</v>
      </c>
      <c r="G47" s="18" t="n">
        <v>31.97767002</v>
      </c>
      <c r="H47" s="20" t="n">
        <v>1.94078059</v>
      </c>
      <c r="I47" s="18" t="n">
        <v>0</v>
      </c>
      <c r="J47" s="20" t="n">
        <v>0</v>
      </c>
      <c r="K47" s="18" t="n">
        <v>0.27067268</v>
      </c>
      <c r="L47" s="20" t="n">
        <v>0.18789942</v>
      </c>
      <c r="M47" s="18" t="n">
        <v>0</v>
      </c>
      <c r="N47" s="20" t="n">
        <v>0</v>
      </c>
      <c r="O47" s="18" t="n">
        <v>0</v>
      </c>
      <c r="P47" s="20" t="n">
        <v>0</v>
      </c>
      <c r="Q47" s="18" t="n">
        <v>14.01530221</v>
      </c>
      <c r="R47" s="20" t="n">
        <v>1.59269077</v>
      </c>
    </row>
    <row r="48" spans="1:18">
      <c r="A48" s="15" t="s">
        <v>471</v>
      </c>
      <c r="B48" s="17" t="n">
        <v>9841</v>
      </c>
      <c r="C48" s="18">
        <f>(8591.0/B48*100)</f>
        <v/>
      </c>
      <c r="D48" s="19" t="n">
        <v>1250</v>
      </c>
      <c r="E48" s="18" t="n">
        <v>14.20612061</v>
      </c>
      <c r="F48" s="20" t="n">
        <v>1.19233632</v>
      </c>
      <c r="G48" s="18" t="n">
        <v>71.08315063000001</v>
      </c>
      <c r="H48" s="20" t="n">
        <v>1.81283168</v>
      </c>
      <c r="I48" s="18" t="n">
        <v>0</v>
      </c>
      <c r="J48" s="20" t="n">
        <v>0</v>
      </c>
      <c r="K48" s="18" t="n">
        <v>0.10689105</v>
      </c>
      <c r="L48" s="20" t="n">
        <v>0.1067525</v>
      </c>
      <c r="M48" s="18" t="n">
        <v>0</v>
      </c>
      <c r="N48" s="20" t="n">
        <v>0</v>
      </c>
      <c r="O48" s="18" t="n">
        <v>0</v>
      </c>
      <c r="P48" s="20" t="n">
        <v>0</v>
      </c>
      <c r="Q48" s="18" t="n">
        <v>14.60383771</v>
      </c>
      <c r="R48" s="20" t="n">
        <v>1.40805635</v>
      </c>
    </row>
    <row r="49" spans="1:18">
      <c r="A49" s="15" t="s">
        <v>472</v>
      </c>
      <c r="B49" s="17" t="n">
        <v>11795</v>
      </c>
      <c r="C49" s="18">
        <f>(10378.0/B49*100)</f>
        <v/>
      </c>
      <c r="D49" s="19" t="n">
        <v>1417</v>
      </c>
      <c r="E49" s="18" t="n">
        <v>35.67648206</v>
      </c>
      <c r="F49" s="20" t="n">
        <v>1.69409914</v>
      </c>
      <c r="G49" s="18" t="n">
        <v>57.55017508</v>
      </c>
      <c r="H49" s="20" t="n">
        <v>1.66741131</v>
      </c>
      <c r="I49" s="18" t="n">
        <v>0</v>
      </c>
      <c r="J49" s="20" t="n">
        <v>0</v>
      </c>
      <c r="K49" s="18" t="n">
        <v>0.61554007</v>
      </c>
      <c r="L49" s="20" t="n">
        <v>0.29051408</v>
      </c>
      <c r="M49" s="18" t="n">
        <v>0.08279913999999999</v>
      </c>
      <c r="N49" s="20" t="n">
        <v>0.06235197</v>
      </c>
      <c r="O49" s="18" t="n">
        <v>0</v>
      </c>
      <c r="P49" s="20" t="n">
        <v>0</v>
      </c>
      <c r="Q49" s="18" t="n">
        <v>6.07500365</v>
      </c>
      <c r="R49" s="20" t="n">
        <v>0.89631528</v>
      </c>
    </row>
    <row r="50" spans="1:18">
      <c r="A50" s="15" t="s">
        <v>473</v>
      </c>
      <c r="B50" s="17" t="n">
        <v>6866</v>
      </c>
      <c r="C50" s="18">
        <f>(6136.0/B50*100)</f>
        <v/>
      </c>
      <c r="D50" s="19" t="n">
        <v>730</v>
      </c>
      <c r="E50" s="18" t="n">
        <v>29.70113311</v>
      </c>
      <c r="F50" s="20" t="n">
        <v>1.96122021</v>
      </c>
      <c r="G50" s="18" t="n">
        <v>58.06396411</v>
      </c>
      <c r="H50" s="20" t="n">
        <v>2.46525604</v>
      </c>
      <c r="I50" s="18" t="n">
        <v>0</v>
      </c>
      <c r="J50" s="20" t="n">
        <v>0</v>
      </c>
      <c r="K50" s="18" t="n">
        <v>0.38738437</v>
      </c>
      <c r="L50" s="20" t="n">
        <v>0.25840809</v>
      </c>
      <c r="M50" s="18" t="n">
        <v>0</v>
      </c>
      <c r="N50" s="20" t="n">
        <v>0</v>
      </c>
      <c r="O50" s="18" t="n">
        <v>0</v>
      </c>
      <c r="P50" s="20" t="n">
        <v>0</v>
      </c>
      <c r="Q50" s="18" t="n">
        <v>11.8475184</v>
      </c>
      <c r="R50" s="20" t="n">
        <v>1.35504838</v>
      </c>
    </row>
    <row r="51" spans="1:18">
      <c r="A51" s="15" t="s">
        <v>474</v>
      </c>
      <c r="B51" s="17" t="n">
        <v>5809</v>
      </c>
      <c r="C51" s="18">
        <f>(5088.0/B51*100)</f>
        <v/>
      </c>
      <c r="D51" s="19" t="n">
        <v>721</v>
      </c>
      <c r="E51" s="18" t="n">
        <v>13.70129935</v>
      </c>
      <c r="F51" s="20" t="n">
        <v>1.34193898</v>
      </c>
      <c r="G51" s="18" t="n">
        <v>75.01520196</v>
      </c>
      <c r="H51" s="20" t="n">
        <v>1.7586253</v>
      </c>
      <c r="I51" s="18" t="n">
        <v>0</v>
      </c>
      <c r="J51" s="20" t="n">
        <v>0</v>
      </c>
      <c r="K51" s="18" t="n">
        <v>0</v>
      </c>
      <c r="L51" s="20" t="n">
        <v>0</v>
      </c>
      <c r="M51" s="18" t="n">
        <v>0</v>
      </c>
      <c r="N51" s="20" t="n">
        <v>0</v>
      </c>
      <c r="O51" s="18" t="n">
        <v>0</v>
      </c>
      <c r="P51" s="20" t="n">
        <v>0</v>
      </c>
      <c r="Q51" s="18" t="n">
        <v>11.2834987</v>
      </c>
      <c r="R51" s="20" t="n">
        <v>1.22469892</v>
      </c>
    </row>
    <row r="52" spans="1:18">
      <c r="A52" s="15" t="s">
        <v>475</v>
      </c>
      <c r="B52" s="17" t="n">
        <v>5571</v>
      </c>
      <c r="C52" s="18">
        <f>(4887.0/B52*100)</f>
        <v/>
      </c>
      <c r="D52" s="19" t="n">
        <v>684</v>
      </c>
      <c r="E52" s="18" t="n">
        <v>19.07161115</v>
      </c>
      <c r="F52" s="20" t="n">
        <v>1.71163159</v>
      </c>
      <c r="G52" s="18" t="n">
        <v>65.30983317</v>
      </c>
      <c r="H52" s="20" t="n">
        <v>2.03915084</v>
      </c>
      <c r="I52" s="18" t="n">
        <v>0</v>
      </c>
      <c r="J52" s="20" t="n">
        <v>0</v>
      </c>
      <c r="K52" s="18" t="n">
        <v>0</v>
      </c>
      <c r="L52" s="20" t="n">
        <v>0</v>
      </c>
      <c r="M52" s="18" t="n">
        <v>0</v>
      </c>
      <c r="N52" s="20" t="n">
        <v>0</v>
      </c>
      <c r="O52" s="18" t="n">
        <v>0</v>
      </c>
      <c r="P52" s="20" t="n">
        <v>0</v>
      </c>
      <c r="Q52" s="18" t="n">
        <v>15.61855568</v>
      </c>
      <c r="R52" s="20" t="n">
        <v>1.50418594</v>
      </c>
    </row>
    <row r="53" spans="1:18">
      <c r="A53" s="15" t="s">
        <v>476</v>
      </c>
      <c r="B53" s="17" t="n">
        <v>4740</v>
      </c>
      <c r="C53" s="18">
        <f>(3940.0/B53*100)</f>
        <v/>
      </c>
      <c r="D53" s="19" t="n">
        <v>800</v>
      </c>
      <c r="E53" s="18" t="n">
        <v>31.89636217</v>
      </c>
      <c r="F53" s="20" t="n">
        <v>1.78132459</v>
      </c>
      <c r="G53" s="18" t="n">
        <v>43.11562162</v>
      </c>
      <c r="H53" s="20" t="n">
        <v>1.94908188</v>
      </c>
      <c r="I53" s="18" t="n">
        <v>0</v>
      </c>
      <c r="J53" s="20" t="n">
        <v>0</v>
      </c>
      <c r="K53" s="18" t="n">
        <v>5.78181844</v>
      </c>
      <c r="L53" s="20" t="n">
        <v>0.7830662900000001</v>
      </c>
      <c r="M53" s="18" t="n">
        <v>0.26076077</v>
      </c>
      <c r="N53" s="20" t="n">
        <v>0.26686508</v>
      </c>
      <c r="O53" s="18" t="n">
        <v>0</v>
      </c>
      <c r="P53" s="20" t="n">
        <v>0</v>
      </c>
      <c r="Q53" s="18" t="n">
        <v>18.945437</v>
      </c>
      <c r="R53" s="20" t="n">
        <v>1.64017327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(4690.0/B55*100)</f>
        <v/>
      </c>
      <c r="D55" s="19" t="n">
        <v>669</v>
      </c>
      <c r="E55" s="18" t="n">
        <v>6.15224298</v>
      </c>
      <c r="F55" s="20" t="n">
        <v>0.86395377</v>
      </c>
      <c r="G55" s="18" t="n">
        <v>86.34989659999999</v>
      </c>
      <c r="H55" s="20" t="n">
        <v>1.44656959</v>
      </c>
      <c r="I55" s="18" t="n">
        <v>0</v>
      </c>
      <c r="J55" s="20" t="n">
        <v>0</v>
      </c>
      <c r="K55" s="18" t="n">
        <v>0</v>
      </c>
      <c r="L55" s="20" t="n">
        <v>0</v>
      </c>
      <c r="M55" s="18" t="n">
        <v>0</v>
      </c>
      <c r="N55" s="20" t="n">
        <v>0</v>
      </c>
      <c r="O55" s="18" t="n">
        <v>0</v>
      </c>
      <c r="P55" s="20" t="n">
        <v>0</v>
      </c>
      <c r="Q55" s="18" t="n">
        <v>7.49786042</v>
      </c>
      <c r="R55" s="20" t="n">
        <v>1.1548931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(5741.0/B61*100)</f>
        <v/>
      </c>
      <c r="D61" s="19" t="n">
        <v>784</v>
      </c>
      <c r="E61" s="18" t="n">
        <v>18.27364763</v>
      </c>
      <c r="F61" s="20" t="n">
        <v>1.64386327</v>
      </c>
      <c r="G61" s="18" t="n">
        <v>73.29943302</v>
      </c>
      <c r="H61" s="20" t="n">
        <v>1.72771134</v>
      </c>
      <c r="I61" s="18" t="n">
        <v>0</v>
      </c>
      <c r="J61" s="20" t="n">
        <v>0</v>
      </c>
      <c r="K61" s="18" t="n">
        <v>0.27568562</v>
      </c>
      <c r="L61" s="20" t="n">
        <v>0.17211168</v>
      </c>
      <c r="M61" s="18" t="n">
        <v>0</v>
      </c>
      <c r="N61" s="20" t="n">
        <v>0</v>
      </c>
      <c r="O61" s="18" t="n">
        <v>0</v>
      </c>
      <c r="P61" s="20" t="n">
        <v>0</v>
      </c>
      <c r="Q61" s="18" t="n">
        <v>8.15123373</v>
      </c>
      <c r="R61" s="20" t="n">
        <v>1.03630415</v>
      </c>
    </row>
    <row r="62" spans="1:18">
      <c r="A62" s="15" t="s">
        <v>486</v>
      </c>
      <c r="B62" s="17" t="n">
        <v>4476</v>
      </c>
      <c r="C62" s="18">
        <f>(3923.0/B62*100)</f>
        <v/>
      </c>
      <c r="D62" s="19" t="n">
        <v>553</v>
      </c>
      <c r="E62" s="18" t="n">
        <v>14.27202446</v>
      </c>
      <c r="F62" s="20" t="n">
        <v>1.51009133</v>
      </c>
      <c r="G62" s="18" t="n">
        <v>81.00242489999999</v>
      </c>
      <c r="H62" s="20" t="n">
        <v>1.87004859</v>
      </c>
      <c r="I62" s="18" t="n">
        <v>0</v>
      </c>
      <c r="J62" s="20" t="n">
        <v>0</v>
      </c>
      <c r="K62" s="18" t="n">
        <v>0</v>
      </c>
      <c r="L62" s="20" t="n">
        <v>0</v>
      </c>
      <c r="M62" s="18" t="n">
        <v>0</v>
      </c>
      <c r="N62" s="20" t="n">
        <v>0</v>
      </c>
      <c r="O62" s="18" t="n">
        <v>0</v>
      </c>
      <c r="P62" s="20" t="n">
        <v>0</v>
      </c>
      <c r="Q62" s="18" t="n">
        <v>4.72555064</v>
      </c>
      <c r="R62" s="20" t="n">
        <v>1.01898634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(4975.0/B67*100)</f>
        <v/>
      </c>
      <c r="D67" s="19" t="n">
        <v>690</v>
      </c>
      <c r="E67" s="18" t="n">
        <v>15.1831521</v>
      </c>
      <c r="F67" s="20" t="n">
        <v>1.19982896</v>
      </c>
      <c r="G67" s="18" t="n">
        <v>61.60829046</v>
      </c>
      <c r="H67" s="20" t="n">
        <v>1.99654658</v>
      </c>
      <c r="I67" s="18" t="n">
        <v>0</v>
      </c>
      <c r="J67" s="20" t="n">
        <v>0</v>
      </c>
      <c r="K67" s="18" t="n">
        <v>0.8729702</v>
      </c>
      <c r="L67" s="20" t="n">
        <v>0.35873293</v>
      </c>
      <c r="M67" s="18" t="n">
        <v>0.41543654</v>
      </c>
      <c r="N67" s="20" t="n">
        <v>0.23949988</v>
      </c>
      <c r="O67" s="18" t="n">
        <v>0</v>
      </c>
      <c r="P67" s="20" t="n">
        <v>0</v>
      </c>
      <c r="Q67" s="18" t="n">
        <v>21.92015069</v>
      </c>
      <c r="R67" s="20" t="n">
        <v>1.58770875</v>
      </c>
    </row>
    <row r="68" spans="1:18">
      <c r="A68" s="15" t="s">
        <v>492</v>
      </c>
      <c r="B68" s="17" t="n">
        <v>6971</v>
      </c>
      <c r="C68" s="18">
        <f>(6156.0/B68*100)</f>
        <v/>
      </c>
      <c r="D68" s="19" t="n">
        <v>815</v>
      </c>
      <c r="E68" s="18" t="n">
        <v>46.39014475</v>
      </c>
      <c r="F68" s="20" t="n">
        <v>1.59643144</v>
      </c>
      <c r="G68" s="18" t="n">
        <v>38.82329091</v>
      </c>
      <c r="H68" s="20" t="n">
        <v>1.53583808</v>
      </c>
      <c r="I68" s="18" t="n">
        <v>0</v>
      </c>
      <c r="J68" s="20" t="n">
        <v>0</v>
      </c>
      <c r="K68" s="18" t="n">
        <v>0.23329778</v>
      </c>
      <c r="L68" s="20" t="n">
        <v>0.16902398</v>
      </c>
      <c r="M68" s="18" t="n">
        <v>0.25732076</v>
      </c>
      <c r="N68" s="20" t="n">
        <v>0.18295368</v>
      </c>
      <c r="O68" s="18" t="n">
        <v>0</v>
      </c>
      <c r="P68" s="20" t="n">
        <v>0</v>
      </c>
      <c r="Q68" s="18" t="n">
        <v>14.2959458</v>
      </c>
      <c r="R68" s="20" t="n">
        <v>1.35346729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(10065.0/B70*100)</f>
        <v/>
      </c>
      <c r="D70" s="19" t="n">
        <v>2018</v>
      </c>
      <c r="E70" s="18" t="n">
        <v>30.05178759</v>
      </c>
      <c r="F70" s="20" t="n">
        <v>0.99861267</v>
      </c>
      <c r="G70" s="18" t="n">
        <v>47.39420904</v>
      </c>
      <c r="H70" s="20" t="n">
        <v>1.1519272</v>
      </c>
      <c r="I70" s="18" t="n">
        <v>0</v>
      </c>
      <c r="J70" s="20" t="n">
        <v>0</v>
      </c>
      <c r="K70" s="18" t="n">
        <v>1.50241392</v>
      </c>
      <c r="L70" s="20" t="n">
        <v>0.28521667</v>
      </c>
      <c r="M70" s="18" t="n">
        <v>0.04949756</v>
      </c>
      <c r="N70" s="20" t="n">
        <v>0.04940932</v>
      </c>
      <c r="O70" s="18" t="n">
        <v>0</v>
      </c>
      <c r="P70" s="20" t="n">
        <v>0</v>
      </c>
      <c r="Q70" s="18" t="n">
        <v>21.00209189</v>
      </c>
      <c r="R70" s="20" t="n">
        <v>0.89511548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(5299.0/B72*100)</f>
        <v/>
      </c>
      <c r="D72" s="19" t="n">
        <v>737</v>
      </c>
      <c r="E72" s="18" t="n">
        <v>15.85650492</v>
      </c>
      <c r="F72" s="20" t="n">
        <v>1.7134771</v>
      </c>
      <c r="G72" s="18" t="n">
        <v>75.56247909</v>
      </c>
      <c r="H72" s="20" t="n">
        <v>1.98128616</v>
      </c>
      <c r="I72" s="18" t="n">
        <v>0</v>
      </c>
      <c r="J72" s="20" t="n">
        <v>0</v>
      </c>
      <c r="K72" s="18" t="n">
        <v>0</v>
      </c>
      <c r="L72" s="20" t="n">
        <v>0</v>
      </c>
      <c r="M72" s="18" t="n">
        <v>0.18980635</v>
      </c>
      <c r="N72" s="20" t="n">
        <v>0.1362503</v>
      </c>
      <c r="O72" s="18" t="n">
        <v>0</v>
      </c>
      <c r="P72" s="20" t="n">
        <v>0</v>
      </c>
      <c r="Q72" s="18" t="n">
        <v>8.391209630000001</v>
      </c>
      <c r="R72" s="20" t="n">
        <v>0.96291812</v>
      </c>
    </row>
    <row r="73" spans="1:18">
      <c r="A73" s="15" t="s">
        <v>497</v>
      </c>
      <c r="B73" s="17" t="n">
        <v>6115</v>
      </c>
      <c r="C73" s="18">
        <f>(5355.0/B73*100)</f>
        <v/>
      </c>
      <c r="D73" s="19" t="n">
        <v>760</v>
      </c>
      <c r="E73" s="18" t="n">
        <v>12.86685396</v>
      </c>
      <c r="F73" s="20" t="n">
        <v>1.07448396</v>
      </c>
      <c r="G73" s="18" t="n">
        <v>83.38112734000001</v>
      </c>
      <c r="H73" s="20" t="n">
        <v>1.15469518</v>
      </c>
      <c r="I73" s="18" t="n">
        <v>0</v>
      </c>
      <c r="J73" s="20" t="n">
        <v>0</v>
      </c>
      <c r="K73" s="18" t="n">
        <v>0.12128121</v>
      </c>
      <c r="L73" s="20" t="n">
        <v>0.1214109</v>
      </c>
      <c r="M73" s="18" t="n">
        <v>0.06882355</v>
      </c>
      <c r="N73" s="20" t="n">
        <v>0.06905392</v>
      </c>
      <c r="O73" s="18" t="n">
        <v>0</v>
      </c>
      <c r="P73" s="20" t="n">
        <v>0</v>
      </c>
      <c r="Q73" s="18" t="n">
        <v>3.56191394</v>
      </c>
      <c r="R73" s="20" t="n">
        <v>0.62804074</v>
      </c>
    </row>
    <row r="74" spans="1:18">
      <c r="A74" s="15" t="s">
        <v>498</v>
      </c>
      <c r="B74" s="17" t="n">
        <v>7708</v>
      </c>
      <c r="C74" s="18">
        <f>(6761.0/B74*100)</f>
        <v/>
      </c>
      <c r="D74" s="19" t="n">
        <v>947</v>
      </c>
      <c r="E74" s="18" t="n">
        <v>12.99120603</v>
      </c>
      <c r="F74" s="20" t="n">
        <v>1.08240878</v>
      </c>
      <c r="G74" s="18" t="n">
        <v>78.64018926999999</v>
      </c>
      <c r="H74" s="20" t="n">
        <v>1.27523697</v>
      </c>
      <c r="I74" s="18" t="n">
        <v>0</v>
      </c>
      <c r="J74" s="20" t="n">
        <v>0</v>
      </c>
      <c r="K74" s="18" t="n">
        <v>0.30617379</v>
      </c>
      <c r="L74" s="20" t="n">
        <v>0.18267622</v>
      </c>
      <c r="M74" s="18" t="n">
        <v>0</v>
      </c>
      <c r="N74" s="20" t="n">
        <v>0</v>
      </c>
      <c r="O74" s="18" t="n">
        <v>0</v>
      </c>
      <c r="P74" s="20" t="n">
        <v>0</v>
      </c>
      <c r="Q74" s="18" t="n">
        <v>8.06243091</v>
      </c>
      <c r="R74" s="20" t="n">
        <v>0.84228653</v>
      </c>
    </row>
    <row r="75" spans="1:18">
      <c r="A75" s="15" t="s">
        <v>499</v>
      </c>
      <c r="B75" s="17" t="n">
        <v>8249</v>
      </c>
      <c r="C75" s="18">
        <f>(7254.0/B75*100)</f>
        <v/>
      </c>
      <c r="D75" s="19" t="n">
        <v>995</v>
      </c>
      <c r="E75" s="18" t="n">
        <v>33.31157427</v>
      </c>
      <c r="F75" s="20" t="n">
        <v>1.81124483</v>
      </c>
      <c r="G75" s="18" t="n">
        <v>60.93694837</v>
      </c>
      <c r="H75" s="20" t="n">
        <v>1.94419303</v>
      </c>
      <c r="I75" s="18" t="n">
        <v>0</v>
      </c>
      <c r="J75" s="20" t="n">
        <v>0</v>
      </c>
      <c r="K75" s="18" t="n">
        <v>0.00573181</v>
      </c>
      <c r="L75" s="20" t="n">
        <v>0.0057669</v>
      </c>
      <c r="M75" s="18" t="n">
        <v>0.20357743</v>
      </c>
      <c r="N75" s="20" t="n">
        <v>0.16090401</v>
      </c>
      <c r="O75" s="18" t="n">
        <v>0</v>
      </c>
      <c r="P75" s="20" t="n">
        <v>0</v>
      </c>
      <c r="Q75" s="18" t="n">
        <v>5.54216812</v>
      </c>
      <c r="R75" s="20" t="n">
        <v>0.88319791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(4773.0/B77*100)</f>
        <v/>
      </c>
      <c r="D77" s="19" t="n">
        <v>602</v>
      </c>
      <c r="E77" s="18" t="n">
        <v>27.794698</v>
      </c>
      <c r="F77" s="20" t="n">
        <v>2.09788729</v>
      </c>
      <c r="G77" s="18" t="n">
        <v>43.47676519</v>
      </c>
      <c r="H77" s="20" t="n">
        <v>2.22152597</v>
      </c>
      <c r="I77" s="18" t="n">
        <v>0</v>
      </c>
      <c r="J77" s="20" t="n">
        <v>0</v>
      </c>
      <c r="K77" s="18" t="n">
        <v>1.76490013</v>
      </c>
      <c r="L77" s="20" t="n">
        <v>0.51392534</v>
      </c>
      <c r="M77" s="18" t="n">
        <v>0.63379181</v>
      </c>
      <c r="N77" s="20" t="n">
        <v>0.31515834</v>
      </c>
      <c r="O77" s="18" t="n">
        <v>0</v>
      </c>
      <c r="P77" s="20" t="n">
        <v>0</v>
      </c>
      <c r="Q77" s="18" t="n">
        <v>26.32984486</v>
      </c>
      <c r="R77" s="20" t="n">
        <v>1.7402793</v>
      </c>
    </row>
    <row r="78" spans="1:18">
      <c r="A78" s="15" t="s">
        <v>502</v>
      </c>
      <c r="B78" s="17" t="n">
        <v>14167</v>
      </c>
      <c r="C78" s="18">
        <f>(12437.0/B78*100)</f>
        <v/>
      </c>
      <c r="D78" s="19" t="n">
        <v>1730</v>
      </c>
      <c r="E78" s="18" t="n">
        <v>28.88370562</v>
      </c>
      <c r="F78" s="20" t="n">
        <v>1.33674132</v>
      </c>
      <c r="G78" s="18" t="n">
        <v>58.42786775</v>
      </c>
      <c r="H78" s="20" t="n">
        <v>1.59692021</v>
      </c>
      <c r="I78" s="18" t="n">
        <v>0</v>
      </c>
      <c r="J78" s="20" t="n">
        <v>0</v>
      </c>
      <c r="K78" s="18" t="n">
        <v>0.34292672</v>
      </c>
      <c r="L78" s="20" t="n">
        <v>0.15494726</v>
      </c>
      <c r="M78" s="18" t="n">
        <v>0.20387126</v>
      </c>
      <c r="N78" s="20" t="n">
        <v>0.11713489</v>
      </c>
      <c r="O78" s="18" t="n">
        <v>0</v>
      </c>
      <c r="P78" s="20" t="n">
        <v>0</v>
      </c>
      <c r="Q78" s="18" t="n">
        <v>12.14162865</v>
      </c>
      <c r="R78" s="20" t="n">
        <v>1.06424499</v>
      </c>
    </row>
    <row r="79" spans="1:18">
      <c r="A79" s="15" t="s">
        <v>503</v>
      </c>
      <c r="B79" s="17" t="n">
        <v>6062</v>
      </c>
      <c r="C79" s="18">
        <f>(5355.0/B79*100)</f>
        <v/>
      </c>
      <c r="D79" s="19" t="n">
        <v>707</v>
      </c>
      <c r="E79" s="18" t="n">
        <v>31.41545168</v>
      </c>
      <c r="F79" s="20" t="n">
        <v>2.09690337</v>
      </c>
      <c r="G79" s="18" t="n">
        <v>52.7550797</v>
      </c>
      <c r="H79" s="20" t="n">
        <v>2.12167976</v>
      </c>
      <c r="I79" s="18" t="n">
        <v>0</v>
      </c>
      <c r="J79" s="20" t="n">
        <v>0</v>
      </c>
      <c r="K79" s="18" t="n">
        <v>0.62132499</v>
      </c>
      <c r="L79" s="20" t="n">
        <v>0.31317048</v>
      </c>
      <c r="M79" s="18" t="n">
        <v>0.19683217</v>
      </c>
      <c r="N79" s="20" t="n">
        <v>0.1959557</v>
      </c>
      <c r="O79" s="18" t="n">
        <v>0</v>
      </c>
      <c r="P79" s="20" t="n">
        <v>0</v>
      </c>
      <c r="Q79" s="18" t="n">
        <v>15.01131146</v>
      </c>
      <c r="R79" s="20" t="n">
        <v>1.26862237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(28384.0/B82*100)</f>
        <v/>
      </c>
      <c r="D82" s="19" t="n">
        <v>3946</v>
      </c>
      <c r="E82" s="18" t="n">
        <v>11.92108836</v>
      </c>
      <c r="F82" s="20" t="n">
        <v>0.6330667800000001</v>
      </c>
      <c r="G82" s="18" t="n">
        <v>80.63466210999999</v>
      </c>
      <c r="H82" s="20" t="n">
        <v>0.93288913</v>
      </c>
      <c r="I82" s="18" t="n">
        <v>0</v>
      </c>
      <c r="J82" s="20" t="n">
        <v>0</v>
      </c>
      <c r="K82" s="18" t="n">
        <v>0.19042042</v>
      </c>
      <c r="L82" s="20" t="n">
        <v>0.10018633</v>
      </c>
      <c r="M82" s="18" t="n">
        <v>0.17078209</v>
      </c>
      <c r="N82" s="20" t="n">
        <v>0.12462218</v>
      </c>
      <c r="O82" s="18" t="n">
        <v>0</v>
      </c>
      <c r="P82" s="20" t="n">
        <v>0</v>
      </c>
      <c r="Q82" s="18" t="n">
        <v>7.08304702</v>
      </c>
      <c r="R82" s="20" t="n">
        <v>0.69840088</v>
      </c>
    </row>
    <row r="83" spans="1:18">
      <c r="A83" s="15" t="s">
        <v>507</v>
      </c>
      <c r="B83" s="17" t="n">
        <v>1652</v>
      </c>
      <c r="C83" s="18">
        <f>(1459.0/B83*100)</f>
        <v/>
      </c>
      <c r="D83" s="19" t="n">
        <v>193</v>
      </c>
      <c r="E83" s="18" t="n">
        <v>8.832765439999999</v>
      </c>
      <c r="F83" s="20" t="n">
        <v>1.51911512</v>
      </c>
      <c r="G83" s="18" t="n">
        <v>89.46252053000001</v>
      </c>
      <c r="H83" s="20" t="n">
        <v>1.71382815</v>
      </c>
      <c r="I83" s="18" t="n">
        <v>0</v>
      </c>
      <c r="J83" s="20" t="n">
        <v>0</v>
      </c>
      <c r="K83" s="18" t="n">
        <v>0</v>
      </c>
      <c r="L83" s="20" t="n">
        <v>0</v>
      </c>
      <c r="M83" s="18" t="n">
        <v>0</v>
      </c>
      <c r="N83" s="20" t="n">
        <v>0</v>
      </c>
      <c r="O83" s="18" t="n">
        <v>0</v>
      </c>
      <c r="P83" s="20" t="n">
        <v>0</v>
      </c>
      <c r="Q83" s="18" t="n">
        <v>1.70471403</v>
      </c>
      <c r="R83" s="20" t="n">
        <v>0.91710678</v>
      </c>
    </row>
    <row r="84" spans="1:18">
      <c r="A84" s="23" t="s">
        <v>508</v>
      </c>
      <c r="B84" s="24" t="n">
        <v>1887</v>
      </c>
      <c r="C84" s="25">
        <f>(1651.0/B84*100)</f>
        <v/>
      </c>
      <c r="D84" s="19" t="n">
        <v>236</v>
      </c>
      <c r="E84" s="18" t="n">
        <v>14.25126597</v>
      </c>
      <c r="F84" s="20" t="n">
        <v>1.8994152</v>
      </c>
      <c r="G84" s="18" t="n">
        <v>84.56960568</v>
      </c>
      <c r="H84" s="20" t="n">
        <v>1.95403356</v>
      </c>
      <c r="I84" s="18" t="n">
        <v>0</v>
      </c>
      <c r="J84" s="20" t="n">
        <v>0</v>
      </c>
      <c r="K84" s="18" t="n">
        <v>0</v>
      </c>
      <c r="L84" s="20" t="n">
        <v>0</v>
      </c>
      <c r="M84" s="18" t="n">
        <v>0</v>
      </c>
      <c r="N84" s="20" t="n">
        <v>0</v>
      </c>
      <c r="O84" s="18" t="n">
        <v>0</v>
      </c>
      <c r="P84" s="20" t="n">
        <v>0</v>
      </c>
      <c r="Q84" s="18" t="n">
        <v>1.17912835</v>
      </c>
      <c r="R84" s="20" t="n">
        <v>0.70650731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(12711.0/B7*100)</f>
        <v/>
      </c>
      <c r="D7" s="19" t="n">
        <v>1819</v>
      </c>
      <c r="E7" s="18" t="n">
        <v>11.54530395</v>
      </c>
      <c r="F7" s="20" t="n">
        <v>0.97752172</v>
      </c>
      <c r="G7" s="18" t="n">
        <v>87.42548336</v>
      </c>
      <c r="H7" s="20" t="n">
        <v>0.99772101</v>
      </c>
      <c r="I7" s="18" t="n">
        <v>0</v>
      </c>
      <c r="J7" s="20" t="n">
        <v>0</v>
      </c>
      <c r="K7" s="18" t="n">
        <v>0.11231235</v>
      </c>
      <c r="L7" s="20" t="n">
        <v>0.09996190000000001</v>
      </c>
      <c r="M7" s="18" t="n">
        <v>0</v>
      </c>
      <c r="N7" s="20" t="n">
        <v>0</v>
      </c>
      <c r="O7" s="18" t="n">
        <v>0</v>
      </c>
      <c r="P7" s="20" t="n">
        <v>0</v>
      </c>
      <c r="Q7" s="18" t="n">
        <v>0.91690034</v>
      </c>
      <c r="R7" s="20" t="n">
        <v>0.25903233</v>
      </c>
    </row>
    <row r="8" spans="1:18">
      <c r="A8" s="15" t="s">
        <v>430</v>
      </c>
      <c r="B8" s="17" t="n">
        <v>7007</v>
      </c>
      <c r="C8" s="18">
        <f>(6159.0/B8*100)</f>
        <v/>
      </c>
      <c r="D8" s="19" t="n">
        <v>848</v>
      </c>
      <c r="E8" s="18" t="n">
        <v>9.828233709999999</v>
      </c>
      <c r="F8" s="20" t="n">
        <v>1.05130103</v>
      </c>
      <c r="G8" s="18" t="n">
        <v>89.12615832</v>
      </c>
      <c r="H8" s="20" t="n">
        <v>1.07998622</v>
      </c>
      <c r="I8" s="18" t="n">
        <v>0</v>
      </c>
      <c r="J8" s="20" t="n">
        <v>0</v>
      </c>
      <c r="K8" s="18" t="n">
        <v>0</v>
      </c>
      <c r="L8" s="20" t="n">
        <v>0</v>
      </c>
      <c r="M8" s="18" t="n">
        <v>0</v>
      </c>
      <c r="N8" s="20" t="n">
        <v>0</v>
      </c>
      <c r="O8" s="18" t="n">
        <v>0</v>
      </c>
      <c r="P8" s="20" t="n">
        <v>0</v>
      </c>
      <c r="Q8" s="18" t="n">
        <v>1.04560797</v>
      </c>
      <c r="R8" s="20" t="n">
        <v>0.32188582</v>
      </c>
    </row>
    <row r="9" spans="1:18">
      <c r="A9" s="15" t="s">
        <v>431</v>
      </c>
      <c r="B9" s="17" t="n">
        <v>9651</v>
      </c>
      <c r="C9" s="18">
        <f>(8495.0/B9*100)</f>
        <v/>
      </c>
      <c r="D9" s="19" t="n">
        <v>1156</v>
      </c>
      <c r="E9" s="18" t="n">
        <v>11.99918255</v>
      </c>
      <c r="F9" s="20" t="n">
        <v>1.01040058</v>
      </c>
      <c r="G9" s="18" t="n">
        <v>87.3691994</v>
      </c>
      <c r="H9" s="20" t="n">
        <v>1.01032674</v>
      </c>
      <c r="I9" s="18" t="n">
        <v>0</v>
      </c>
      <c r="J9" s="20" t="n">
        <v>0</v>
      </c>
      <c r="K9" s="18" t="n">
        <v>0.07743298</v>
      </c>
      <c r="L9" s="20" t="n">
        <v>0.07481158</v>
      </c>
      <c r="M9" s="18" t="n">
        <v>0</v>
      </c>
      <c r="N9" s="20" t="n">
        <v>0</v>
      </c>
      <c r="O9" s="18" t="n">
        <v>0</v>
      </c>
      <c r="P9" s="20" t="n">
        <v>0</v>
      </c>
      <c r="Q9" s="18" t="n">
        <v>0.5541850699999999</v>
      </c>
      <c r="R9" s="20" t="n">
        <v>0.228203</v>
      </c>
    </row>
    <row r="10" spans="1:18">
      <c r="A10" s="15" t="s">
        <v>432</v>
      </c>
      <c r="B10" s="17" t="n">
        <v>20058</v>
      </c>
      <c r="C10" s="18">
        <f>(17615.0/B10*100)</f>
        <v/>
      </c>
      <c r="D10" s="19" t="n">
        <v>2443</v>
      </c>
      <c r="E10" s="18" t="n">
        <v>11.85088615</v>
      </c>
      <c r="F10" s="20" t="n">
        <v>0.82264864</v>
      </c>
      <c r="G10" s="18" t="n">
        <v>87.83235243999999</v>
      </c>
      <c r="H10" s="20" t="n">
        <v>0.794244</v>
      </c>
      <c r="I10" s="18" t="n">
        <v>0</v>
      </c>
      <c r="J10" s="20" t="n">
        <v>0</v>
      </c>
      <c r="K10" s="18" t="n">
        <v>0.10604684</v>
      </c>
      <c r="L10" s="20" t="n">
        <v>0.10078457</v>
      </c>
      <c r="M10" s="18" t="n">
        <v>0</v>
      </c>
      <c r="N10" s="20" t="n">
        <v>0</v>
      </c>
      <c r="O10" s="18" t="n">
        <v>0</v>
      </c>
      <c r="P10" s="20" t="n">
        <v>0</v>
      </c>
      <c r="Q10" s="18" t="n">
        <v>0.21071457</v>
      </c>
      <c r="R10" s="20" t="n">
        <v>0.10205358</v>
      </c>
    </row>
    <row r="11" spans="1:18">
      <c r="A11" s="15" t="s">
        <v>433</v>
      </c>
      <c r="B11" s="17" t="n">
        <v>7053</v>
      </c>
      <c r="C11" s="18">
        <f>(6191.0/B11*100)</f>
        <v/>
      </c>
      <c r="D11" s="19" t="n">
        <v>862</v>
      </c>
      <c r="E11" s="18" t="n">
        <v>9.87009767</v>
      </c>
      <c r="F11" s="20" t="n">
        <v>1.21643449</v>
      </c>
      <c r="G11" s="18" t="n">
        <v>89.16484423</v>
      </c>
      <c r="H11" s="20" t="n">
        <v>1.22404938</v>
      </c>
      <c r="I11" s="18" t="n">
        <v>0</v>
      </c>
      <c r="J11" s="20" t="n">
        <v>0</v>
      </c>
      <c r="K11" s="18" t="n">
        <v>0.14565748</v>
      </c>
      <c r="L11" s="20" t="n">
        <v>0.13903172</v>
      </c>
      <c r="M11" s="18" t="n">
        <v>0</v>
      </c>
      <c r="N11" s="20" t="n">
        <v>0</v>
      </c>
      <c r="O11" s="18" t="n">
        <v>0</v>
      </c>
      <c r="P11" s="20" t="n">
        <v>0</v>
      </c>
      <c r="Q11" s="18" t="n">
        <v>0.81940062</v>
      </c>
      <c r="R11" s="20" t="n">
        <v>0.37194626</v>
      </c>
    </row>
    <row r="12" spans="1:18">
      <c r="A12" s="15" t="s">
        <v>434</v>
      </c>
      <c r="B12" s="17" t="n">
        <v>6894</v>
      </c>
      <c r="C12" s="18">
        <f>(6056.0/B12*100)</f>
        <v/>
      </c>
      <c r="D12" s="19" t="n">
        <v>838</v>
      </c>
      <c r="E12" s="18" t="n">
        <v>9.91773214</v>
      </c>
      <c r="F12" s="20" t="n">
        <v>1.15862598</v>
      </c>
      <c r="G12" s="18" t="n">
        <v>89.91662373</v>
      </c>
      <c r="H12" s="20" t="n">
        <v>1.16576149</v>
      </c>
      <c r="I12" s="18" t="n">
        <v>0</v>
      </c>
      <c r="J12" s="20" t="n">
        <v>0</v>
      </c>
      <c r="K12" s="18" t="n">
        <v>0</v>
      </c>
      <c r="L12" s="20" t="n">
        <v>0</v>
      </c>
      <c r="M12" s="18" t="n">
        <v>0</v>
      </c>
      <c r="N12" s="20" t="n">
        <v>0</v>
      </c>
      <c r="O12" s="18" t="n">
        <v>0</v>
      </c>
      <c r="P12" s="20" t="n">
        <v>0</v>
      </c>
      <c r="Q12" s="18" t="n">
        <v>0.16564412</v>
      </c>
      <c r="R12" s="20" t="n">
        <v>0.09641531</v>
      </c>
    </row>
    <row r="13" spans="1:18">
      <c r="A13" s="15" t="s">
        <v>435</v>
      </c>
      <c r="B13" s="17" t="n">
        <v>7161</v>
      </c>
      <c r="C13" s="18">
        <f>(6333.0/B13*100)</f>
        <v/>
      </c>
      <c r="D13" s="19" t="n">
        <v>828</v>
      </c>
      <c r="E13" s="18" t="n">
        <v>13.59170591</v>
      </c>
      <c r="F13" s="20" t="n">
        <v>1.38106774</v>
      </c>
      <c r="G13" s="18" t="n">
        <v>85.77877536</v>
      </c>
      <c r="H13" s="20" t="n">
        <v>1.39929391</v>
      </c>
      <c r="I13" s="18" t="n">
        <v>0</v>
      </c>
      <c r="J13" s="20" t="n">
        <v>0</v>
      </c>
      <c r="K13" s="18" t="n">
        <v>0.28068752</v>
      </c>
      <c r="L13" s="20" t="n">
        <v>0.12056194</v>
      </c>
      <c r="M13" s="18" t="n">
        <v>0</v>
      </c>
      <c r="N13" s="20" t="n">
        <v>0</v>
      </c>
      <c r="O13" s="18" t="n">
        <v>0</v>
      </c>
      <c r="P13" s="20" t="n">
        <v>0</v>
      </c>
      <c r="Q13" s="18" t="n">
        <v>0.34883122</v>
      </c>
      <c r="R13" s="20" t="n">
        <v>0.26330742</v>
      </c>
    </row>
    <row r="14" spans="1:18">
      <c r="A14" s="15" t="s">
        <v>436</v>
      </c>
      <c r="B14" s="17" t="n">
        <v>5587</v>
      </c>
      <c r="C14" s="18">
        <f>(4914.0/B14*100)</f>
        <v/>
      </c>
      <c r="D14" s="19" t="n">
        <v>673</v>
      </c>
      <c r="E14" s="18" t="n">
        <v>5.6095286</v>
      </c>
      <c r="F14" s="20" t="n">
        <v>1.02415355</v>
      </c>
      <c r="G14" s="18" t="n">
        <v>93.66714061</v>
      </c>
      <c r="H14" s="20" t="n">
        <v>1.08743048</v>
      </c>
      <c r="I14" s="18" t="n">
        <v>0</v>
      </c>
      <c r="J14" s="20" t="n">
        <v>0</v>
      </c>
      <c r="K14" s="18" t="n">
        <v>0.23027365</v>
      </c>
      <c r="L14" s="20" t="n">
        <v>0.16291778</v>
      </c>
      <c r="M14" s="18" t="n">
        <v>0</v>
      </c>
      <c r="N14" s="20" t="n">
        <v>0</v>
      </c>
      <c r="O14" s="18" t="n">
        <v>0</v>
      </c>
      <c r="P14" s="20" t="n">
        <v>0</v>
      </c>
      <c r="Q14" s="18" t="n">
        <v>0.49305714</v>
      </c>
      <c r="R14" s="20" t="n">
        <v>0.36657512</v>
      </c>
    </row>
    <row r="15" spans="1:18">
      <c r="A15" s="15" t="s">
        <v>437</v>
      </c>
      <c r="B15" s="17" t="n">
        <v>5882</v>
      </c>
      <c r="C15" s="18">
        <f>(5161.0/B15*100)</f>
        <v/>
      </c>
      <c r="D15" s="19" t="n">
        <v>721</v>
      </c>
      <c r="E15" s="18" t="n">
        <v>9.97841801</v>
      </c>
      <c r="F15" s="20" t="n">
        <v>1.22668759</v>
      </c>
      <c r="G15" s="18" t="n">
        <v>89.72595409</v>
      </c>
      <c r="H15" s="20" t="n">
        <v>1.25284018</v>
      </c>
      <c r="I15" s="18" t="n">
        <v>0</v>
      </c>
      <c r="J15" s="20" t="n">
        <v>0</v>
      </c>
      <c r="K15" s="18" t="n">
        <v>0</v>
      </c>
      <c r="L15" s="20" t="n">
        <v>0</v>
      </c>
      <c r="M15" s="18" t="n">
        <v>0</v>
      </c>
      <c r="N15" s="20" t="n">
        <v>0</v>
      </c>
      <c r="O15" s="18" t="n">
        <v>0</v>
      </c>
      <c r="P15" s="20" t="n">
        <v>0</v>
      </c>
      <c r="Q15" s="18" t="n">
        <v>0.2956279</v>
      </c>
      <c r="R15" s="20" t="n">
        <v>0.2070564</v>
      </c>
    </row>
    <row r="16" spans="1:18">
      <c r="A16" s="15" t="s">
        <v>438</v>
      </c>
      <c r="B16" s="17" t="n">
        <v>6108</v>
      </c>
      <c r="C16" s="18">
        <f>(5347.0/B16*100)</f>
        <v/>
      </c>
      <c r="D16" s="19" t="n">
        <v>761</v>
      </c>
      <c r="E16" s="18" t="n">
        <v>12.29253029</v>
      </c>
      <c r="F16" s="20" t="n">
        <v>0.98304966</v>
      </c>
      <c r="G16" s="18" t="n">
        <v>86.31615094999999</v>
      </c>
      <c r="H16" s="20" t="n">
        <v>1.08386295</v>
      </c>
      <c r="I16" s="18" t="n">
        <v>0</v>
      </c>
      <c r="J16" s="20" t="n">
        <v>0</v>
      </c>
      <c r="K16" s="18" t="n">
        <v>0.48412317</v>
      </c>
      <c r="L16" s="20" t="n">
        <v>0.32106117</v>
      </c>
      <c r="M16" s="18" t="n">
        <v>0</v>
      </c>
      <c r="N16" s="20" t="n">
        <v>0</v>
      </c>
      <c r="O16" s="18" t="n">
        <v>0</v>
      </c>
      <c r="P16" s="20" t="n">
        <v>0</v>
      </c>
      <c r="Q16" s="18" t="n">
        <v>0.90719558</v>
      </c>
      <c r="R16" s="20" t="n">
        <v>0.40842941</v>
      </c>
    </row>
    <row r="17" spans="1:18">
      <c r="A17" s="15" t="s">
        <v>439</v>
      </c>
      <c r="B17" s="17" t="n">
        <v>6504</v>
      </c>
      <c r="C17" s="18">
        <f>(5710.0/B17*100)</f>
        <v/>
      </c>
      <c r="D17" s="19" t="n">
        <v>794</v>
      </c>
      <c r="E17" s="18" t="n">
        <v>8.15215006</v>
      </c>
      <c r="F17" s="20" t="n">
        <v>0.98392475</v>
      </c>
      <c r="G17" s="18" t="n">
        <v>90.79373584</v>
      </c>
      <c r="H17" s="20" t="n">
        <v>1.05643471</v>
      </c>
      <c r="I17" s="18" t="n">
        <v>0</v>
      </c>
      <c r="J17" s="20" t="n">
        <v>0</v>
      </c>
      <c r="K17" s="18" t="n">
        <v>0.29820265</v>
      </c>
      <c r="L17" s="20" t="n">
        <v>0.19891072</v>
      </c>
      <c r="M17" s="18" t="n">
        <v>0</v>
      </c>
      <c r="N17" s="20" t="n">
        <v>0</v>
      </c>
      <c r="O17" s="18" t="n">
        <v>0</v>
      </c>
      <c r="P17" s="20" t="n">
        <v>0</v>
      </c>
      <c r="Q17" s="18" t="n">
        <v>0.75591144</v>
      </c>
      <c r="R17" s="20" t="n">
        <v>0.32708488</v>
      </c>
    </row>
    <row r="18" spans="1:18">
      <c r="A18" s="15" t="s">
        <v>440</v>
      </c>
      <c r="B18" s="17" t="n">
        <v>5532</v>
      </c>
      <c r="C18" s="18">
        <f>(4846.0/B18*100)</f>
        <v/>
      </c>
      <c r="D18" s="19" t="n">
        <v>686</v>
      </c>
      <c r="E18" s="18" t="n">
        <v>20.00222251</v>
      </c>
      <c r="F18" s="20" t="n">
        <v>1.83889881</v>
      </c>
      <c r="G18" s="18" t="n">
        <v>79.40364203</v>
      </c>
      <c r="H18" s="20" t="n">
        <v>1.89596345</v>
      </c>
      <c r="I18" s="18" t="n">
        <v>0</v>
      </c>
      <c r="J18" s="20" t="n">
        <v>0</v>
      </c>
      <c r="K18" s="18" t="n">
        <v>0.17857253</v>
      </c>
      <c r="L18" s="20" t="n">
        <v>0.22112252</v>
      </c>
      <c r="M18" s="18" t="n">
        <v>0</v>
      </c>
      <c r="N18" s="20" t="n">
        <v>0</v>
      </c>
      <c r="O18" s="18" t="n">
        <v>0</v>
      </c>
      <c r="P18" s="20" t="n">
        <v>0</v>
      </c>
      <c r="Q18" s="18" t="n">
        <v>0.41556293</v>
      </c>
      <c r="R18" s="20" t="n">
        <v>0.32052524</v>
      </c>
    </row>
    <row r="19" spans="1:18">
      <c r="A19" s="15" t="s">
        <v>441</v>
      </c>
      <c r="B19" s="17" t="n">
        <v>5658</v>
      </c>
      <c r="C19" s="18">
        <f>(4968.0/B19*100)</f>
        <v/>
      </c>
      <c r="D19" s="19" t="n">
        <v>690</v>
      </c>
      <c r="E19" s="18" t="n">
        <v>13.99340568</v>
      </c>
      <c r="F19" s="20" t="n">
        <v>1.36601468</v>
      </c>
      <c r="G19" s="18" t="n">
        <v>84.94282001000001</v>
      </c>
      <c r="H19" s="20" t="n">
        <v>1.32200266</v>
      </c>
      <c r="I19" s="18" t="n">
        <v>0</v>
      </c>
      <c r="J19" s="20" t="n">
        <v>0</v>
      </c>
      <c r="K19" s="18" t="n">
        <v>0</v>
      </c>
      <c r="L19" s="20" t="n">
        <v>0</v>
      </c>
      <c r="M19" s="18" t="n">
        <v>0</v>
      </c>
      <c r="N19" s="20" t="n">
        <v>0</v>
      </c>
      <c r="O19" s="18" t="n">
        <v>0</v>
      </c>
      <c r="P19" s="20" t="n">
        <v>0</v>
      </c>
      <c r="Q19" s="18" t="n">
        <v>1.06377431</v>
      </c>
      <c r="R19" s="20" t="n">
        <v>0.51516827</v>
      </c>
    </row>
    <row r="20" spans="1:18">
      <c r="A20" s="15" t="s">
        <v>442</v>
      </c>
      <c r="B20" s="17" t="n">
        <v>3371</v>
      </c>
      <c r="C20" s="18">
        <f>(2951.0/B20*100)</f>
        <v/>
      </c>
      <c r="D20" s="19" t="n">
        <v>420</v>
      </c>
      <c r="E20" s="18" t="n">
        <v>15.79764805</v>
      </c>
      <c r="F20" s="20" t="n">
        <v>2.00173158</v>
      </c>
      <c r="G20" s="18" t="n">
        <v>83.72299182</v>
      </c>
      <c r="H20" s="20" t="n">
        <v>1.99892908</v>
      </c>
      <c r="I20" s="18" t="n">
        <v>0</v>
      </c>
      <c r="J20" s="20" t="n">
        <v>0</v>
      </c>
      <c r="K20" s="18" t="n">
        <v>0</v>
      </c>
      <c r="L20" s="20" t="n">
        <v>0</v>
      </c>
      <c r="M20" s="18" t="n">
        <v>0</v>
      </c>
      <c r="N20" s="20" t="n">
        <v>0</v>
      </c>
      <c r="O20" s="18" t="n">
        <v>0</v>
      </c>
      <c r="P20" s="20" t="n">
        <v>0</v>
      </c>
      <c r="Q20" s="18" t="n">
        <v>0.47936013</v>
      </c>
      <c r="R20" s="20" t="n">
        <v>0.33949222</v>
      </c>
    </row>
    <row r="21" spans="1:18">
      <c r="A21" s="15" t="s">
        <v>443</v>
      </c>
      <c r="B21" s="17" t="n">
        <v>5741</v>
      </c>
      <c r="C21" s="18">
        <f>(4793.0/B21*100)</f>
        <v/>
      </c>
      <c r="D21" s="19" t="n">
        <v>948</v>
      </c>
      <c r="E21" s="18" t="n">
        <v>8.1829888</v>
      </c>
      <c r="F21" s="20" t="n">
        <v>0.96908393</v>
      </c>
      <c r="G21" s="18" t="n">
        <v>91.65205453</v>
      </c>
      <c r="H21" s="20" t="n">
        <v>0.96393503</v>
      </c>
      <c r="I21" s="18" t="n">
        <v>0</v>
      </c>
      <c r="J21" s="20" t="n">
        <v>0</v>
      </c>
      <c r="K21" s="18" t="n">
        <v>0.09126556</v>
      </c>
      <c r="L21" s="20" t="n">
        <v>0.06593515</v>
      </c>
      <c r="M21" s="18" t="n">
        <v>0</v>
      </c>
      <c r="N21" s="20" t="n">
        <v>0</v>
      </c>
      <c r="O21" s="18" t="n">
        <v>0</v>
      </c>
      <c r="P21" s="20" t="n">
        <v>0</v>
      </c>
      <c r="Q21" s="18" t="n">
        <v>0.0736911</v>
      </c>
      <c r="R21" s="20" t="n">
        <v>0.05913821</v>
      </c>
    </row>
    <row r="22" spans="1:18">
      <c r="A22" s="15" t="s">
        <v>444</v>
      </c>
      <c r="B22" s="17" t="n">
        <v>6598</v>
      </c>
      <c r="C22" s="18">
        <f>(5870.0/B22*100)</f>
        <v/>
      </c>
      <c r="D22" s="19" t="n">
        <v>728</v>
      </c>
      <c r="E22" s="18" t="n">
        <v>13.89116408</v>
      </c>
      <c r="F22" s="20" t="n">
        <v>1.53155297</v>
      </c>
      <c r="G22" s="18" t="n">
        <v>85.15153247000001</v>
      </c>
      <c r="H22" s="20" t="n">
        <v>1.69601331</v>
      </c>
      <c r="I22" s="18" t="n">
        <v>0</v>
      </c>
      <c r="J22" s="20" t="n">
        <v>0</v>
      </c>
      <c r="K22" s="18" t="n">
        <v>0.23327184</v>
      </c>
      <c r="L22" s="20" t="n">
        <v>0.17636269</v>
      </c>
      <c r="M22" s="18" t="n">
        <v>0</v>
      </c>
      <c r="N22" s="20" t="n">
        <v>0</v>
      </c>
      <c r="O22" s="18" t="n">
        <v>0</v>
      </c>
      <c r="P22" s="20" t="n">
        <v>0</v>
      </c>
      <c r="Q22" s="18" t="n">
        <v>0.72403162</v>
      </c>
      <c r="R22" s="20" t="n">
        <v>0.32920415</v>
      </c>
    </row>
    <row r="23" spans="1:18">
      <c r="A23" s="15" t="s">
        <v>445</v>
      </c>
      <c r="B23" s="17" t="n">
        <v>11583</v>
      </c>
      <c r="C23" s="18">
        <f>(10168.0/B23*100)</f>
        <v/>
      </c>
      <c r="D23" s="19" t="n">
        <v>1415</v>
      </c>
      <c r="E23" s="18" t="n">
        <v>7.5850485</v>
      </c>
      <c r="F23" s="20" t="n">
        <v>0.98841442</v>
      </c>
      <c r="G23" s="18" t="n">
        <v>91.40769146</v>
      </c>
      <c r="H23" s="20" t="n">
        <v>1.10173465</v>
      </c>
      <c r="I23" s="18" t="n">
        <v>0</v>
      </c>
      <c r="J23" s="20" t="n">
        <v>0</v>
      </c>
      <c r="K23" s="18" t="n">
        <v>0.2170216</v>
      </c>
      <c r="L23" s="20" t="n">
        <v>0.21317247</v>
      </c>
      <c r="M23" s="18" t="n">
        <v>0</v>
      </c>
      <c r="N23" s="20" t="n">
        <v>0</v>
      </c>
      <c r="O23" s="18" t="n">
        <v>0</v>
      </c>
      <c r="P23" s="20" t="n">
        <v>0</v>
      </c>
      <c r="Q23" s="18" t="n">
        <v>0.79023843</v>
      </c>
      <c r="R23" s="20" t="n">
        <v>0.38694078</v>
      </c>
    </row>
    <row r="24" spans="1:18">
      <c r="A24" s="15" t="s">
        <v>446</v>
      </c>
      <c r="B24" s="17" t="n">
        <v>6647</v>
      </c>
      <c r="C24" s="18">
        <f>(5810.0/B24*100)</f>
        <v/>
      </c>
      <c r="D24" s="19" t="n">
        <v>837</v>
      </c>
      <c r="E24" s="18" t="n">
        <v>20.2961727</v>
      </c>
      <c r="F24" s="20" t="n">
        <v>1.47206388</v>
      </c>
      <c r="G24" s="18" t="n">
        <v>78.89895138999999</v>
      </c>
      <c r="H24" s="20" t="n">
        <v>1.52542161</v>
      </c>
      <c r="I24" s="18" t="n">
        <v>0</v>
      </c>
      <c r="J24" s="20" t="n">
        <v>0</v>
      </c>
      <c r="K24" s="18" t="n">
        <v>0.20683933</v>
      </c>
      <c r="L24" s="20" t="n">
        <v>0.14430741</v>
      </c>
      <c r="M24" s="18" t="n">
        <v>0</v>
      </c>
      <c r="N24" s="20" t="n">
        <v>0</v>
      </c>
      <c r="O24" s="18" t="n">
        <v>0</v>
      </c>
      <c r="P24" s="20" t="n">
        <v>0</v>
      </c>
      <c r="Q24" s="18" t="n">
        <v>0.59803657</v>
      </c>
      <c r="R24" s="20" t="n">
        <v>0.26674789</v>
      </c>
    </row>
    <row r="25" spans="1:18">
      <c r="A25" s="15" t="s">
        <v>447</v>
      </c>
      <c r="B25" s="17" t="n">
        <v>5581</v>
      </c>
      <c r="C25" s="18">
        <f>(4884.0/B25*100)</f>
        <v/>
      </c>
      <c r="D25" s="19" t="n">
        <v>697</v>
      </c>
      <c r="E25" s="18" t="n">
        <v>14.42339967</v>
      </c>
      <c r="F25" s="20" t="n">
        <v>1.54668636</v>
      </c>
      <c r="G25" s="18" t="n">
        <v>84.69034732999999</v>
      </c>
      <c r="H25" s="20" t="n">
        <v>1.6264266</v>
      </c>
      <c r="I25" s="18" t="n">
        <v>0</v>
      </c>
      <c r="J25" s="20" t="n">
        <v>0</v>
      </c>
      <c r="K25" s="18" t="n">
        <v>0.14397482</v>
      </c>
      <c r="L25" s="20" t="n">
        <v>0.14396383</v>
      </c>
      <c r="M25" s="18" t="n">
        <v>0</v>
      </c>
      <c r="N25" s="20" t="n">
        <v>0</v>
      </c>
      <c r="O25" s="18" t="n">
        <v>0</v>
      </c>
      <c r="P25" s="20" t="n">
        <v>0</v>
      </c>
      <c r="Q25" s="18" t="n">
        <v>0.74227817</v>
      </c>
      <c r="R25" s="20" t="n">
        <v>0.33231814</v>
      </c>
    </row>
    <row r="26" spans="1:18">
      <c r="A26" s="15" t="s">
        <v>448</v>
      </c>
      <c r="B26" s="17" t="n">
        <v>4869</v>
      </c>
      <c r="C26" s="18">
        <f>(4277.0/B26*100)</f>
        <v/>
      </c>
      <c r="D26" s="19" t="n">
        <v>592</v>
      </c>
      <c r="E26" s="18" t="n">
        <v>6.98073542</v>
      </c>
      <c r="F26" s="20" t="n">
        <v>1.23985492</v>
      </c>
      <c r="G26" s="18" t="n">
        <v>92.12786032</v>
      </c>
      <c r="H26" s="20" t="n">
        <v>1.27664098</v>
      </c>
      <c r="I26" s="18" t="n">
        <v>0</v>
      </c>
      <c r="J26" s="20" t="n">
        <v>0</v>
      </c>
      <c r="K26" s="18" t="n">
        <v>0</v>
      </c>
      <c r="L26" s="20" t="n">
        <v>0</v>
      </c>
      <c r="M26" s="18" t="n">
        <v>0</v>
      </c>
      <c r="N26" s="20" t="n">
        <v>0</v>
      </c>
      <c r="O26" s="18" t="n">
        <v>0</v>
      </c>
      <c r="P26" s="20" t="n">
        <v>0</v>
      </c>
      <c r="Q26" s="18" t="n">
        <v>0.8914042599999999</v>
      </c>
      <c r="R26" s="20" t="n">
        <v>0.47178933</v>
      </c>
    </row>
    <row r="27" spans="1:18">
      <c r="A27" s="15" t="s">
        <v>449</v>
      </c>
      <c r="B27" s="17" t="n">
        <v>5299</v>
      </c>
      <c r="C27" s="18">
        <f>(4642.0/B27*100)</f>
        <v/>
      </c>
      <c r="D27" s="19" t="n">
        <v>657</v>
      </c>
      <c r="E27" s="18" t="n">
        <v>11.27224865</v>
      </c>
      <c r="F27" s="20" t="n">
        <v>1.2421549</v>
      </c>
      <c r="G27" s="18" t="n">
        <v>87.95029251</v>
      </c>
      <c r="H27" s="20" t="n">
        <v>1.33199608</v>
      </c>
      <c r="I27" s="18" t="n">
        <v>0</v>
      </c>
      <c r="J27" s="20" t="n">
        <v>0</v>
      </c>
      <c r="K27" s="18" t="n">
        <v>0</v>
      </c>
      <c r="L27" s="20" t="n">
        <v>0</v>
      </c>
      <c r="M27" s="18" t="n">
        <v>0</v>
      </c>
      <c r="N27" s="20" t="n">
        <v>0</v>
      </c>
      <c r="O27" s="18" t="n">
        <v>0</v>
      </c>
      <c r="P27" s="20" t="n">
        <v>0</v>
      </c>
      <c r="Q27" s="18" t="n">
        <v>0.77745884</v>
      </c>
      <c r="R27" s="20" t="n">
        <v>0.3445276</v>
      </c>
    </row>
    <row r="28" spans="1:18">
      <c r="A28" s="15" t="s">
        <v>450</v>
      </c>
      <c r="B28" s="17" t="n">
        <v>7568</v>
      </c>
      <c r="C28" s="18">
        <f>(6682.0/B28*100)</f>
        <v/>
      </c>
      <c r="D28" s="19" t="n">
        <v>886</v>
      </c>
      <c r="E28" s="18" t="n">
        <v>23.34377618</v>
      </c>
      <c r="F28" s="20" t="n">
        <v>1.54864881</v>
      </c>
      <c r="G28" s="18" t="n">
        <v>75.64760453</v>
      </c>
      <c r="H28" s="20" t="n">
        <v>1.60644645</v>
      </c>
      <c r="I28" s="18" t="n">
        <v>0</v>
      </c>
      <c r="J28" s="20" t="n">
        <v>0</v>
      </c>
      <c r="K28" s="18" t="n">
        <v>0</v>
      </c>
      <c r="L28" s="20" t="n">
        <v>0</v>
      </c>
      <c r="M28" s="18" t="n">
        <v>0</v>
      </c>
      <c r="N28" s="20" t="n">
        <v>0</v>
      </c>
      <c r="O28" s="18" t="n">
        <v>0</v>
      </c>
      <c r="P28" s="20" t="n">
        <v>0</v>
      </c>
      <c r="Q28" s="18" t="n">
        <v>1.00861929</v>
      </c>
      <c r="R28" s="20" t="n">
        <v>0.45957869</v>
      </c>
    </row>
    <row r="29" spans="1:18">
      <c r="A29" s="15" t="s">
        <v>451</v>
      </c>
      <c r="B29" s="17" t="n">
        <v>5385</v>
      </c>
      <c r="C29" s="18">
        <f>(4727.0/B29*100)</f>
        <v/>
      </c>
      <c r="D29" s="19" t="n">
        <v>658</v>
      </c>
      <c r="E29" s="18" t="n">
        <v>16.43166794</v>
      </c>
      <c r="F29" s="20" t="n">
        <v>1.52493484</v>
      </c>
      <c r="G29" s="18" t="n">
        <v>83.19062701</v>
      </c>
      <c r="H29" s="20" t="n">
        <v>1.52001354</v>
      </c>
      <c r="I29" s="18" t="n">
        <v>0</v>
      </c>
      <c r="J29" s="20" t="n">
        <v>0</v>
      </c>
      <c r="K29" s="18" t="n">
        <v>0</v>
      </c>
      <c r="L29" s="20" t="n">
        <v>0</v>
      </c>
      <c r="M29" s="18" t="n">
        <v>0</v>
      </c>
      <c r="N29" s="20" t="n">
        <v>0</v>
      </c>
      <c r="O29" s="18" t="n">
        <v>0</v>
      </c>
      <c r="P29" s="20" t="n">
        <v>0</v>
      </c>
      <c r="Q29" s="18" t="n">
        <v>0.37770505</v>
      </c>
      <c r="R29" s="20" t="n">
        <v>0.26832959</v>
      </c>
    </row>
    <row r="30" spans="1:18">
      <c r="A30" s="15" t="s">
        <v>452</v>
      </c>
      <c r="B30" s="17" t="n">
        <v>4520</v>
      </c>
      <c r="C30" s="18">
        <f>(3963.0/B30*100)</f>
        <v/>
      </c>
      <c r="D30" s="19" t="n">
        <v>557</v>
      </c>
      <c r="E30" s="18" t="n">
        <v>13.45565006</v>
      </c>
      <c r="F30" s="20" t="n">
        <v>1.37274693</v>
      </c>
      <c r="G30" s="18" t="n">
        <v>86.07054882</v>
      </c>
      <c r="H30" s="20" t="n">
        <v>1.38819709</v>
      </c>
      <c r="I30" s="18" t="n">
        <v>0</v>
      </c>
      <c r="J30" s="20" t="n">
        <v>0</v>
      </c>
      <c r="K30" s="18" t="n">
        <v>0.30001497</v>
      </c>
      <c r="L30" s="20" t="n">
        <v>0.20598182</v>
      </c>
      <c r="M30" s="18" t="n">
        <v>0</v>
      </c>
      <c r="N30" s="20" t="n">
        <v>0</v>
      </c>
      <c r="O30" s="18" t="n">
        <v>0</v>
      </c>
      <c r="P30" s="20" t="n">
        <v>0</v>
      </c>
      <c r="Q30" s="18" t="n">
        <v>0.17378615</v>
      </c>
      <c r="R30" s="20" t="n">
        <v>0.18111105</v>
      </c>
    </row>
    <row r="31" spans="1:18">
      <c r="A31" s="15" t="s">
        <v>453</v>
      </c>
      <c r="B31" s="17" t="n">
        <v>5456</v>
      </c>
      <c r="C31" s="18">
        <f>(4772.0/B31*100)</f>
        <v/>
      </c>
      <c r="D31" s="19" t="n">
        <v>684</v>
      </c>
      <c r="E31" s="18" t="n">
        <v>14.26274525</v>
      </c>
      <c r="F31" s="20" t="n">
        <v>1.24720192</v>
      </c>
      <c r="G31" s="18" t="n">
        <v>85.00374859</v>
      </c>
      <c r="H31" s="20" t="n">
        <v>1.26254452</v>
      </c>
      <c r="I31" s="18" t="n">
        <v>0</v>
      </c>
      <c r="J31" s="20" t="n">
        <v>0</v>
      </c>
      <c r="K31" s="18" t="n">
        <v>0.27091583</v>
      </c>
      <c r="L31" s="20" t="n">
        <v>0.18658825</v>
      </c>
      <c r="M31" s="18" t="n">
        <v>0</v>
      </c>
      <c r="N31" s="20" t="n">
        <v>0</v>
      </c>
      <c r="O31" s="18" t="n">
        <v>0</v>
      </c>
      <c r="P31" s="20" t="n">
        <v>0</v>
      </c>
      <c r="Q31" s="18" t="n">
        <v>0.46259033</v>
      </c>
      <c r="R31" s="20" t="n">
        <v>0.28283324</v>
      </c>
    </row>
    <row r="32" spans="1:18">
      <c r="A32" s="15" t="s">
        <v>454</v>
      </c>
      <c r="B32" s="17" t="n">
        <v>4478</v>
      </c>
      <c r="C32" s="18">
        <f>(3738.0/B32*100)</f>
        <v/>
      </c>
      <c r="D32" s="19" t="n">
        <v>740</v>
      </c>
      <c r="E32" s="18" t="n">
        <v>8.997157680000001</v>
      </c>
      <c r="F32" s="20" t="n">
        <v>1.05944013</v>
      </c>
      <c r="G32" s="18" t="n">
        <v>90.36836997</v>
      </c>
      <c r="H32" s="20" t="n">
        <v>1.08633579</v>
      </c>
      <c r="I32" s="18" t="n">
        <v>0</v>
      </c>
      <c r="J32" s="20" t="n">
        <v>0</v>
      </c>
      <c r="K32" s="18" t="n">
        <v>0.12164384</v>
      </c>
      <c r="L32" s="20" t="n">
        <v>0.1214568</v>
      </c>
      <c r="M32" s="18" t="n">
        <v>0</v>
      </c>
      <c r="N32" s="20" t="n">
        <v>0</v>
      </c>
      <c r="O32" s="18" t="n">
        <v>0</v>
      </c>
      <c r="P32" s="20" t="n">
        <v>0</v>
      </c>
      <c r="Q32" s="18" t="n">
        <v>0.51282852</v>
      </c>
      <c r="R32" s="20" t="n">
        <v>0.25706043</v>
      </c>
    </row>
    <row r="33" spans="1:18">
      <c r="A33" s="15" t="s">
        <v>455</v>
      </c>
      <c r="B33" s="17" t="n">
        <v>7325</v>
      </c>
      <c r="C33" s="18">
        <f>(6409.0/B33*100)</f>
        <v/>
      </c>
      <c r="D33" s="19" t="n">
        <v>916</v>
      </c>
      <c r="E33" s="18" t="n">
        <v>8.99843645</v>
      </c>
      <c r="F33" s="20" t="n">
        <v>1.27553075</v>
      </c>
      <c r="G33" s="18" t="n">
        <v>89.96399834</v>
      </c>
      <c r="H33" s="20" t="n">
        <v>1.33272294</v>
      </c>
      <c r="I33" s="18" t="n">
        <v>0</v>
      </c>
      <c r="J33" s="20" t="n">
        <v>0</v>
      </c>
      <c r="K33" s="18" t="n">
        <v>0.33438019</v>
      </c>
      <c r="L33" s="20" t="n">
        <v>0.2692433</v>
      </c>
      <c r="M33" s="18" t="n">
        <v>0</v>
      </c>
      <c r="N33" s="20" t="n">
        <v>0</v>
      </c>
      <c r="O33" s="18" t="n">
        <v>0</v>
      </c>
      <c r="P33" s="20" t="n">
        <v>0</v>
      </c>
      <c r="Q33" s="18" t="n">
        <v>0.70318501</v>
      </c>
      <c r="R33" s="20" t="n">
        <v>0.26387375</v>
      </c>
    </row>
    <row r="34" spans="1:18">
      <c r="A34" s="15" t="s">
        <v>456</v>
      </c>
      <c r="B34" s="17" t="n">
        <v>6350</v>
      </c>
      <c r="C34" s="18">
        <f>(5583.0/B34*100)</f>
        <v/>
      </c>
      <c r="D34" s="19" t="n">
        <v>767</v>
      </c>
      <c r="E34" s="18" t="n">
        <v>12.77320617</v>
      </c>
      <c r="F34" s="20" t="n">
        <v>1.22888404</v>
      </c>
      <c r="G34" s="18" t="n">
        <v>86.56118682</v>
      </c>
      <c r="H34" s="20" t="n">
        <v>1.24836879</v>
      </c>
      <c r="I34" s="18" t="n">
        <v>0</v>
      </c>
      <c r="J34" s="20" t="n">
        <v>0</v>
      </c>
      <c r="K34" s="18" t="n">
        <v>0.17870034</v>
      </c>
      <c r="L34" s="20" t="n">
        <v>0.10044317</v>
      </c>
      <c r="M34" s="18" t="n">
        <v>0</v>
      </c>
      <c r="N34" s="20" t="n">
        <v>0</v>
      </c>
      <c r="O34" s="18" t="n">
        <v>0</v>
      </c>
      <c r="P34" s="20" t="n">
        <v>0</v>
      </c>
      <c r="Q34" s="18" t="n">
        <v>0.48690667</v>
      </c>
      <c r="R34" s="20" t="n">
        <v>0.25720474</v>
      </c>
    </row>
    <row r="35" spans="1:18">
      <c r="A35" s="15" t="s">
        <v>457</v>
      </c>
      <c r="B35" s="17" t="n">
        <v>6406</v>
      </c>
      <c r="C35" s="18">
        <f>(5619.0/B35*100)</f>
        <v/>
      </c>
      <c r="D35" s="19" t="n">
        <v>787</v>
      </c>
      <c r="E35" s="18" t="n">
        <v>6.06547425</v>
      </c>
      <c r="F35" s="20" t="n">
        <v>1.17162519</v>
      </c>
      <c r="G35" s="18" t="n">
        <v>93.7228549</v>
      </c>
      <c r="H35" s="20" t="n">
        <v>1.17197726</v>
      </c>
      <c r="I35" s="18" t="n">
        <v>0</v>
      </c>
      <c r="J35" s="20" t="n">
        <v>0</v>
      </c>
      <c r="K35" s="18" t="n">
        <v>0</v>
      </c>
      <c r="L35" s="20" t="n">
        <v>0</v>
      </c>
      <c r="M35" s="18" t="n">
        <v>0</v>
      </c>
      <c r="N35" s="20" t="n">
        <v>0</v>
      </c>
      <c r="O35" s="18" t="n">
        <v>0</v>
      </c>
      <c r="P35" s="20" t="n">
        <v>0</v>
      </c>
      <c r="Q35" s="18" t="n">
        <v>0.21167085</v>
      </c>
      <c r="R35" s="20" t="n">
        <v>0.1057331</v>
      </c>
    </row>
    <row r="36" spans="1:18">
      <c r="A36" s="15" t="s">
        <v>458</v>
      </c>
      <c r="B36" s="17" t="n">
        <v>6736</v>
      </c>
      <c r="C36" s="18">
        <f>(5899.0/B36*100)</f>
        <v/>
      </c>
      <c r="D36" s="19" t="n">
        <v>837</v>
      </c>
      <c r="E36" s="18" t="n">
        <v>10.09677954</v>
      </c>
      <c r="F36" s="20" t="n">
        <v>1.2407027</v>
      </c>
      <c r="G36" s="18" t="n">
        <v>88.73069226</v>
      </c>
      <c r="H36" s="20" t="n">
        <v>1.24688033</v>
      </c>
      <c r="I36" s="18" t="n">
        <v>0</v>
      </c>
      <c r="J36" s="20" t="n">
        <v>0</v>
      </c>
      <c r="K36" s="18" t="n">
        <v>0.28938608</v>
      </c>
      <c r="L36" s="20" t="n">
        <v>0.16904802</v>
      </c>
      <c r="M36" s="18" t="n">
        <v>0</v>
      </c>
      <c r="N36" s="20" t="n">
        <v>0</v>
      </c>
      <c r="O36" s="18" t="n">
        <v>0</v>
      </c>
      <c r="P36" s="20" t="n">
        <v>0</v>
      </c>
      <c r="Q36" s="18" t="n">
        <v>0.88314211</v>
      </c>
      <c r="R36" s="20" t="n">
        <v>0.4627005</v>
      </c>
    </row>
    <row r="37" spans="1:18">
      <c r="A37" s="15" t="s">
        <v>459</v>
      </c>
      <c r="B37" s="17" t="n">
        <v>5458</v>
      </c>
      <c r="C37" s="18">
        <f>(4794.0/B37*100)</f>
        <v/>
      </c>
      <c r="D37" s="19" t="n">
        <v>664</v>
      </c>
      <c r="E37" s="18" t="n">
        <v>11.96875463</v>
      </c>
      <c r="F37" s="20" t="n">
        <v>1.29905539</v>
      </c>
      <c r="G37" s="18" t="n">
        <v>87.41194242</v>
      </c>
      <c r="H37" s="20" t="n">
        <v>1.34522705</v>
      </c>
      <c r="I37" s="18" t="n">
        <v>0</v>
      </c>
      <c r="J37" s="20" t="n">
        <v>0</v>
      </c>
      <c r="K37" s="18" t="n">
        <v>0.16050468</v>
      </c>
      <c r="L37" s="20" t="n">
        <v>0.16034892</v>
      </c>
      <c r="M37" s="18" t="n">
        <v>0</v>
      </c>
      <c r="N37" s="20" t="n">
        <v>0</v>
      </c>
      <c r="O37" s="18" t="n">
        <v>0</v>
      </c>
      <c r="P37" s="20" t="n">
        <v>0</v>
      </c>
      <c r="Q37" s="18" t="n">
        <v>0.45879828</v>
      </c>
      <c r="R37" s="20" t="n">
        <v>0.26449059</v>
      </c>
    </row>
    <row r="38" spans="1:18">
      <c r="A38" s="15" t="s">
        <v>460</v>
      </c>
      <c r="B38" s="17" t="n">
        <v>5860</v>
      </c>
      <c r="C38" s="18">
        <f>(4893.0/B38*100)</f>
        <v/>
      </c>
      <c r="D38" s="19" t="n">
        <v>967</v>
      </c>
      <c r="E38" s="18" t="n">
        <v>10.59512981</v>
      </c>
      <c r="F38" s="20" t="n">
        <v>1.33382356</v>
      </c>
      <c r="G38" s="18" t="n">
        <v>88.38437297</v>
      </c>
      <c r="H38" s="20" t="n">
        <v>1.45684733</v>
      </c>
      <c r="I38" s="18" t="n">
        <v>0</v>
      </c>
      <c r="J38" s="20" t="n">
        <v>0</v>
      </c>
      <c r="K38" s="18" t="n">
        <v>0.08933099</v>
      </c>
      <c r="L38" s="20" t="n">
        <v>0.07810367</v>
      </c>
      <c r="M38" s="18" t="n">
        <v>0</v>
      </c>
      <c r="N38" s="20" t="n">
        <v>0</v>
      </c>
      <c r="O38" s="18" t="n">
        <v>0</v>
      </c>
      <c r="P38" s="20" t="n">
        <v>0</v>
      </c>
      <c r="Q38" s="18" t="n">
        <v>0.93116623</v>
      </c>
      <c r="R38" s="20" t="n">
        <v>0.44056138</v>
      </c>
    </row>
    <row r="39" spans="1:18">
      <c r="A39" s="15" t="s">
        <v>461</v>
      </c>
      <c r="B39" s="17" t="n">
        <v>5895</v>
      </c>
      <c r="C39" s="18">
        <f>(5169.0/B39*100)</f>
        <v/>
      </c>
      <c r="D39" s="19" t="n">
        <v>726</v>
      </c>
      <c r="E39" s="18" t="n">
        <v>24.84163089</v>
      </c>
      <c r="F39" s="20" t="n">
        <v>1.78098</v>
      </c>
      <c r="G39" s="18" t="n">
        <v>74.50300094000001</v>
      </c>
      <c r="H39" s="20" t="n">
        <v>1.71479705</v>
      </c>
      <c r="I39" s="18" t="n">
        <v>0</v>
      </c>
      <c r="J39" s="20" t="n">
        <v>0</v>
      </c>
      <c r="K39" s="18" t="n">
        <v>0</v>
      </c>
      <c r="L39" s="20" t="n">
        <v>0</v>
      </c>
      <c r="M39" s="18" t="n">
        <v>0</v>
      </c>
      <c r="N39" s="20" t="n">
        <v>0</v>
      </c>
      <c r="O39" s="18" t="n">
        <v>0</v>
      </c>
      <c r="P39" s="20" t="n">
        <v>0</v>
      </c>
      <c r="Q39" s="18" t="n">
        <v>0.65536817</v>
      </c>
      <c r="R39" s="20" t="n">
        <v>0.30989067</v>
      </c>
    </row>
    <row r="40" spans="1:18">
      <c r="A40" s="15" t="s">
        <v>462</v>
      </c>
      <c r="B40" s="17" t="n">
        <v>14157</v>
      </c>
      <c r="C40" s="18">
        <f>(12431.0/B40*100)</f>
        <v/>
      </c>
      <c r="D40" s="19" t="n">
        <v>1726</v>
      </c>
      <c r="E40" s="18" t="n">
        <v>12.1267462</v>
      </c>
      <c r="F40" s="20" t="n">
        <v>1.13187093</v>
      </c>
      <c r="G40" s="18" t="n">
        <v>87.21466805</v>
      </c>
      <c r="H40" s="20" t="n">
        <v>1.13561052</v>
      </c>
      <c r="I40" s="18" t="n">
        <v>0</v>
      </c>
      <c r="J40" s="20" t="n">
        <v>0</v>
      </c>
      <c r="K40" s="18" t="n">
        <v>0.1872419</v>
      </c>
      <c r="L40" s="20" t="n">
        <v>0.12820205</v>
      </c>
      <c r="M40" s="18" t="n">
        <v>0</v>
      </c>
      <c r="N40" s="20" t="n">
        <v>0</v>
      </c>
      <c r="O40" s="18" t="n">
        <v>0</v>
      </c>
      <c r="P40" s="20" t="n">
        <v>0</v>
      </c>
      <c r="Q40" s="18" t="n">
        <v>0.47134385</v>
      </c>
      <c r="R40" s="20" t="n">
        <v>0.24924157</v>
      </c>
    </row>
    <row r="41" spans="1:18">
      <c r="A41" s="15" t="s">
        <v>463</v>
      </c>
      <c r="B41" s="17" t="n">
        <v>5712</v>
      </c>
      <c r="C41" s="18">
        <f>(5030.0/B41*100)</f>
        <v/>
      </c>
      <c r="D41" s="19" t="n">
        <v>682</v>
      </c>
      <c r="E41" s="18" t="n">
        <v>12.48753659</v>
      </c>
      <c r="F41" s="20" t="n">
        <v>1.42194636</v>
      </c>
      <c r="G41" s="18" t="n">
        <v>86.34984344999999</v>
      </c>
      <c r="H41" s="20" t="n">
        <v>1.58144248</v>
      </c>
      <c r="I41" s="18" t="n">
        <v>0</v>
      </c>
      <c r="J41" s="20" t="n">
        <v>0</v>
      </c>
      <c r="K41" s="18" t="n">
        <v>0.38947995</v>
      </c>
      <c r="L41" s="20" t="n">
        <v>0.23266103</v>
      </c>
      <c r="M41" s="18" t="n">
        <v>0</v>
      </c>
      <c r="N41" s="20" t="n">
        <v>0</v>
      </c>
      <c r="O41" s="18" t="n">
        <v>0</v>
      </c>
      <c r="P41" s="20" t="n">
        <v>0</v>
      </c>
      <c r="Q41" s="18" t="n">
        <v>0.77314001</v>
      </c>
      <c r="R41" s="20" t="n">
        <v>0.31338119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(20502.0/B46*100)</f>
        <v/>
      </c>
      <c r="D46" s="19" t="n">
        <v>2639</v>
      </c>
      <c r="E46" s="18" t="n">
        <v>20.55003935</v>
      </c>
      <c r="F46" s="20" t="n">
        <v>1.13734058</v>
      </c>
      <c r="G46" s="18" t="n">
        <v>77.7383518</v>
      </c>
      <c r="H46" s="20" t="n">
        <v>1.1705839</v>
      </c>
      <c r="I46" s="18" t="n">
        <v>0</v>
      </c>
      <c r="J46" s="20" t="n">
        <v>0</v>
      </c>
      <c r="K46" s="18" t="n">
        <v>0.47960957</v>
      </c>
      <c r="L46" s="20" t="n">
        <v>0.23455795</v>
      </c>
      <c r="M46" s="18" t="n">
        <v>0</v>
      </c>
      <c r="N46" s="20" t="n">
        <v>0</v>
      </c>
      <c r="O46" s="18" t="n">
        <v>0</v>
      </c>
      <c r="P46" s="20" t="n">
        <v>0</v>
      </c>
      <c r="Q46" s="18" t="n">
        <v>1.23199927</v>
      </c>
      <c r="R46" s="20" t="n">
        <v>0.295829</v>
      </c>
    </row>
    <row r="47" spans="1:18">
      <c r="A47" s="15" t="s">
        <v>470</v>
      </c>
      <c r="B47" s="17" t="n">
        <v>5928</v>
      </c>
      <c r="C47" s="18">
        <f>(5215.0/B47*100)</f>
        <v/>
      </c>
      <c r="D47" s="19" t="n">
        <v>713</v>
      </c>
      <c r="E47" s="18" t="n">
        <v>15.15136775</v>
      </c>
      <c r="F47" s="20" t="n">
        <v>1.4014388</v>
      </c>
      <c r="G47" s="18" t="n">
        <v>83.16605671000001</v>
      </c>
      <c r="H47" s="20" t="n">
        <v>1.50241578</v>
      </c>
      <c r="I47" s="18" t="n">
        <v>0</v>
      </c>
      <c r="J47" s="20" t="n">
        <v>0</v>
      </c>
      <c r="K47" s="18" t="n">
        <v>0.27264295</v>
      </c>
      <c r="L47" s="20" t="n">
        <v>0.18905033</v>
      </c>
      <c r="M47" s="18" t="n">
        <v>0</v>
      </c>
      <c r="N47" s="20" t="n">
        <v>0</v>
      </c>
      <c r="O47" s="18" t="n">
        <v>0</v>
      </c>
      <c r="P47" s="20" t="n">
        <v>0</v>
      </c>
      <c r="Q47" s="18" t="n">
        <v>1.40993259</v>
      </c>
      <c r="R47" s="20" t="n">
        <v>0.4615174</v>
      </c>
    </row>
    <row r="48" spans="1:18">
      <c r="A48" s="15" t="s">
        <v>471</v>
      </c>
      <c r="B48" s="17" t="n">
        <v>9841</v>
      </c>
      <c r="C48" s="18">
        <f>(8591.0/B48*100)</f>
        <v/>
      </c>
      <c r="D48" s="19" t="n">
        <v>1250</v>
      </c>
      <c r="E48" s="18" t="n">
        <v>13.04896269</v>
      </c>
      <c r="F48" s="20" t="n">
        <v>1.12857299</v>
      </c>
      <c r="G48" s="18" t="n">
        <v>85.43591764</v>
      </c>
      <c r="H48" s="20" t="n">
        <v>1.24029205</v>
      </c>
      <c r="I48" s="18" t="n">
        <v>0</v>
      </c>
      <c r="J48" s="20" t="n">
        <v>0</v>
      </c>
      <c r="K48" s="18" t="n">
        <v>0.10689105</v>
      </c>
      <c r="L48" s="20" t="n">
        <v>0.1067525</v>
      </c>
      <c r="M48" s="18" t="n">
        <v>0</v>
      </c>
      <c r="N48" s="20" t="n">
        <v>0</v>
      </c>
      <c r="O48" s="18" t="n">
        <v>0</v>
      </c>
      <c r="P48" s="20" t="n">
        <v>0</v>
      </c>
      <c r="Q48" s="18" t="n">
        <v>1.40822862</v>
      </c>
      <c r="R48" s="20" t="n">
        <v>0.45608612</v>
      </c>
    </row>
    <row r="49" spans="1:18">
      <c r="A49" s="15" t="s">
        <v>472</v>
      </c>
      <c r="B49" s="17" t="n">
        <v>11795</v>
      </c>
      <c r="C49" s="18">
        <f>(10383.0/B49*100)</f>
        <v/>
      </c>
      <c r="D49" s="19" t="n">
        <v>1412</v>
      </c>
      <c r="E49" s="18" t="n">
        <v>13.25913414</v>
      </c>
      <c r="F49" s="20" t="n">
        <v>1.19988517</v>
      </c>
      <c r="G49" s="18" t="n">
        <v>85.29546845</v>
      </c>
      <c r="H49" s="20" t="n">
        <v>1.34661077</v>
      </c>
      <c r="I49" s="18" t="n">
        <v>0</v>
      </c>
      <c r="J49" s="20" t="n">
        <v>0</v>
      </c>
      <c r="K49" s="18" t="n">
        <v>0.74344803</v>
      </c>
      <c r="L49" s="20" t="n">
        <v>0.31713507</v>
      </c>
      <c r="M49" s="18" t="n">
        <v>0</v>
      </c>
      <c r="N49" s="20" t="n">
        <v>0</v>
      </c>
      <c r="O49" s="18" t="n">
        <v>0</v>
      </c>
      <c r="P49" s="20" t="n">
        <v>0</v>
      </c>
      <c r="Q49" s="18" t="n">
        <v>0.70194939</v>
      </c>
      <c r="R49" s="20" t="n">
        <v>0.35817634</v>
      </c>
    </row>
    <row r="50" spans="1:18">
      <c r="A50" s="15" t="s">
        <v>473</v>
      </c>
      <c r="B50" s="17" t="n">
        <v>6866</v>
      </c>
      <c r="C50" s="18">
        <f>(6137.0/B50*100)</f>
        <v/>
      </c>
      <c r="D50" s="19" t="n">
        <v>729</v>
      </c>
      <c r="E50" s="18" t="n">
        <v>12.61201784</v>
      </c>
      <c r="F50" s="20" t="n">
        <v>1.19627307</v>
      </c>
      <c r="G50" s="18" t="n">
        <v>86.07764853</v>
      </c>
      <c r="H50" s="20" t="n">
        <v>1.25355612</v>
      </c>
      <c r="I50" s="18" t="n">
        <v>0</v>
      </c>
      <c r="J50" s="20" t="n">
        <v>0</v>
      </c>
      <c r="K50" s="18" t="n">
        <v>0.38853706</v>
      </c>
      <c r="L50" s="20" t="n">
        <v>0.25915974</v>
      </c>
      <c r="M50" s="18" t="n">
        <v>0</v>
      </c>
      <c r="N50" s="20" t="n">
        <v>0</v>
      </c>
      <c r="O50" s="18" t="n">
        <v>0</v>
      </c>
      <c r="P50" s="20" t="n">
        <v>0</v>
      </c>
      <c r="Q50" s="18" t="n">
        <v>0.92179657</v>
      </c>
      <c r="R50" s="20" t="n">
        <v>0.43624544</v>
      </c>
    </row>
    <row r="51" spans="1:18">
      <c r="A51" s="15" t="s">
        <v>474</v>
      </c>
      <c r="B51" s="17" t="n">
        <v>5809</v>
      </c>
      <c r="C51" s="18">
        <f>(5088.0/B51*100)</f>
        <v/>
      </c>
      <c r="D51" s="19" t="n">
        <v>721</v>
      </c>
      <c r="E51" s="18" t="n">
        <v>7.79560704</v>
      </c>
      <c r="F51" s="20" t="n">
        <v>0.9609738</v>
      </c>
      <c r="G51" s="18" t="n">
        <v>91.6921971</v>
      </c>
      <c r="H51" s="20" t="n">
        <v>0.99525576</v>
      </c>
      <c r="I51" s="18" t="n">
        <v>0</v>
      </c>
      <c r="J51" s="20" t="n">
        <v>0</v>
      </c>
      <c r="K51" s="18" t="n">
        <v>0</v>
      </c>
      <c r="L51" s="20" t="n">
        <v>0</v>
      </c>
      <c r="M51" s="18" t="n">
        <v>0</v>
      </c>
      <c r="N51" s="20" t="n">
        <v>0</v>
      </c>
      <c r="O51" s="18" t="n">
        <v>0</v>
      </c>
      <c r="P51" s="20" t="n">
        <v>0</v>
      </c>
      <c r="Q51" s="18" t="n">
        <v>0.5121958599999999</v>
      </c>
      <c r="R51" s="20" t="n">
        <v>0.25902362</v>
      </c>
    </row>
    <row r="52" spans="1:18">
      <c r="A52" s="15" t="s">
        <v>475</v>
      </c>
      <c r="B52" s="17" t="n">
        <v>5571</v>
      </c>
      <c r="C52" s="18">
        <f>(4888.0/B52*100)</f>
        <v/>
      </c>
      <c r="D52" s="19" t="n">
        <v>683</v>
      </c>
      <c r="E52" s="18" t="n">
        <v>22.96885487</v>
      </c>
      <c r="F52" s="20" t="n">
        <v>1.68895406</v>
      </c>
      <c r="G52" s="18" t="n">
        <v>76.00448242</v>
      </c>
      <c r="H52" s="20" t="n">
        <v>1.72162619</v>
      </c>
      <c r="I52" s="18" t="n">
        <v>0</v>
      </c>
      <c r="J52" s="20" t="n">
        <v>0</v>
      </c>
      <c r="K52" s="18" t="n">
        <v>0</v>
      </c>
      <c r="L52" s="20" t="n">
        <v>0</v>
      </c>
      <c r="M52" s="18" t="n">
        <v>0</v>
      </c>
      <c r="N52" s="20" t="n">
        <v>0</v>
      </c>
      <c r="O52" s="18" t="n">
        <v>0</v>
      </c>
      <c r="P52" s="20" t="n">
        <v>0</v>
      </c>
      <c r="Q52" s="18" t="n">
        <v>1.02666271</v>
      </c>
      <c r="R52" s="20" t="n">
        <v>0.42162526</v>
      </c>
    </row>
    <row r="53" spans="1:18">
      <c r="A53" s="15" t="s">
        <v>476</v>
      </c>
      <c r="B53" s="17" t="n">
        <v>4740</v>
      </c>
      <c r="C53" s="18">
        <f>(3940.0/B53*100)</f>
        <v/>
      </c>
      <c r="D53" s="19" t="n">
        <v>800</v>
      </c>
      <c r="E53" s="18" t="n">
        <v>37.56684793</v>
      </c>
      <c r="F53" s="20" t="n">
        <v>1.90028736</v>
      </c>
      <c r="G53" s="18" t="n">
        <v>53.26187685</v>
      </c>
      <c r="H53" s="20" t="n">
        <v>2.08294782</v>
      </c>
      <c r="I53" s="18" t="n">
        <v>0</v>
      </c>
      <c r="J53" s="20" t="n">
        <v>0</v>
      </c>
      <c r="K53" s="18" t="n">
        <v>5.88502874</v>
      </c>
      <c r="L53" s="20" t="n">
        <v>0.78867635</v>
      </c>
      <c r="M53" s="18" t="n">
        <v>0</v>
      </c>
      <c r="N53" s="20" t="n">
        <v>0</v>
      </c>
      <c r="O53" s="18" t="n">
        <v>0</v>
      </c>
      <c r="P53" s="20" t="n">
        <v>0</v>
      </c>
      <c r="Q53" s="18" t="n">
        <v>3.28624648</v>
      </c>
      <c r="R53" s="20" t="n">
        <v>0.78169367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(4691.0/B55*100)</f>
        <v/>
      </c>
      <c r="D55" s="19" t="n">
        <v>668</v>
      </c>
      <c r="E55" s="18" t="n">
        <v>10.87658708</v>
      </c>
      <c r="F55" s="20" t="n">
        <v>1.40205254</v>
      </c>
      <c r="G55" s="18" t="n">
        <v>88.41997842000001</v>
      </c>
      <c r="H55" s="20" t="n">
        <v>1.32122455</v>
      </c>
      <c r="I55" s="18" t="n">
        <v>0</v>
      </c>
      <c r="J55" s="20" t="n">
        <v>0</v>
      </c>
      <c r="K55" s="18" t="n">
        <v>0</v>
      </c>
      <c r="L55" s="20" t="n">
        <v>0</v>
      </c>
      <c r="M55" s="18" t="n">
        <v>0</v>
      </c>
      <c r="N55" s="20" t="n">
        <v>0</v>
      </c>
      <c r="O55" s="18" t="n">
        <v>0</v>
      </c>
      <c r="P55" s="20" t="n">
        <v>0</v>
      </c>
      <c r="Q55" s="18" t="n">
        <v>0.7034345</v>
      </c>
      <c r="R55" s="20" t="n">
        <v>0.37267989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(5742.0/B61*100)</f>
        <v/>
      </c>
      <c r="D61" s="19" t="n">
        <v>783</v>
      </c>
      <c r="E61" s="18" t="n">
        <v>10.28474876</v>
      </c>
      <c r="F61" s="20" t="n">
        <v>1.30539096</v>
      </c>
      <c r="G61" s="18" t="n">
        <v>89.4391601</v>
      </c>
      <c r="H61" s="20" t="n">
        <v>1.30901061</v>
      </c>
      <c r="I61" s="18" t="n">
        <v>0</v>
      </c>
      <c r="J61" s="20" t="n">
        <v>0</v>
      </c>
      <c r="K61" s="18" t="n">
        <v>0.27609114</v>
      </c>
      <c r="L61" s="20" t="n">
        <v>0.17233382</v>
      </c>
      <c r="M61" s="18" t="n">
        <v>0</v>
      </c>
      <c r="N61" s="20" t="n">
        <v>0</v>
      </c>
      <c r="O61" s="18" t="n">
        <v>0</v>
      </c>
      <c r="P61" s="20" t="n">
        <v>0</v>
      </c>
      <c r="Q61" s="18" t="n">
        <v>0</v>
      </c>
      <c r="R61" s="20" t="n">
        <v>0</v>
      </c>
    </row>
    <row r="62" spans="1:18">
      <c r="A62" s="15" t="s">
        <v>486</v>
      </c>
      <c r="B62" s="17" t="n">
        <v>4476</v>
      </c>
      <c r="C62" s="18">
        <f>(3922.0/B62*100)</f>
        <v/>
      </c>
      <c r="D62" s="19" t="n">
        <v>554</v>
      </c>
      <c r="E62" s="18" t="n">
        <v>21.65547779</v>
      </c>
      <c r="F62" s="20" t="n">
        <v>1.70298809</v>
      </c>
      <c r="G62" s="18" t="n">
        <v>78.34452220999999</v>
      </c>
      <c r="H62" s="20" t="n">
        <v>1.70298809</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(4980.0/B67*100)</f>
        <v/>
      </c>
      <c r="D67" s="19" t="n">
        <v>685</v>
      </c>
      <c r="E67" s="18" t="n">
        <v>14.97197472</v>
      </c>
      <c r="F67" s="20" t="n">
        <v>1.24363172</v>
      </c>
      <c r="G67" s="18" t="n">
        <v>81.73173704</v>
      </c>
      <c r="H67" s="20" t="n">
        <v>1.25786735</v>
      </c>
      <c r="I67" s="18" t="n">
        <v>0</v>
      </c>
      <c r="J67" s="20" t="n">
        <v>0</v>
      </c>
      <c r="K67" s="18" t="n">
        <v>1.02646773</v>
      </c>
      <c r="L67" s="20" t="n">
        <v>0.39244712</v>
      </c>
      <c r="M67" s="18" t="n">
        <v>0</v>
      </c>
      <c r="N67" s="20" t="n">
        <v>0</v>
      </c>
      <c r="O67" s="18" t="n">
        <v>0</v>
      </c>
      <c r="P67" s="20" t="n">
        <v>0</v>
      </c>
      <c r="Q67" s="18" t="n">
        <v>2.26982052</v>
      </c>
      <c r="R67" s="20" t="n">
        <v>0.59353309</v>
      </c>
    </row>
    <row r="68" spans="1:18">
      <c r="A68" s="15" t="s">
        <v>492</v>
      </c>
      <c r="B68" s="17" t="n">
        <v>6971</v>
      </c>
      <c r="C68" s="18">
        <f>(6169.0/B68*100)</f>
        <v/>
      </c>
      <c r="D68" s="19" t="n">
        <v>802</v>
      </c>
      <c r="E68" s="18" t="n">
        <v>16.00269899</v>
      </c>
      <c r="F68" s="20" t="n">
        <v>1.30954222</v>
      </c>
      <c r="G68" s="18" t="n">
        <v>82.62521413</v>
      </c>
      <c r="H68" s="20" t="n">
        <v>1.38071271</v>
      </c>
      <c r="I68" s="18" t="n">
        <v>0</v>
      </c>
      <c r="J68" s="20" t="n">
        <v>0</v>
      </c>
      <c r="K68" s="18" t="n">
        <v>0.40210906</v>
      </c>
      <c r="L68" s="20" t="n">
        <v>0.23768213</v>
      </c>
      <c r="M68" s="18" t="n">
        <v>0</v>
      </c>
      <c r="N68" s="20" t="n">
        <v>0</v>
      </c>
      <c r="O68" s="18" t="n">
        <v>0</v>
      </c>
      <c r="P68" s="20" t="n">
        <v>0</v>
      </c>
      <c r="Q68" s="18" t="n">
        <v>0.96997782</v>
      </c>
      <c r="R68" s="20" t="n">
        <v>0.34704202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(10065.0/B70*100)</f>
        <v/>
      </c>
      <c r="D70" s="19" t="n">
        <v>2018</v>
      </c>
      <c r="E70" s="18" t="n">
        <v>19.58822055</v>
      </c>
      <c r="F70" s="20" t="n">
        <v>0.86465861</v>
      </c>
      <c r="G70" s="18" t="n">
        <v>76.26585453</v>
      </c>
      <c r="H70" s="20" t="n">
        <v>0.90839204</v>
      </c>
      <c r="I70" s="18" t="n">
        <v>0</v>
      </c>
      <c r="J70" s="20" t="n">
        <v>0</v>
      </c>
      <c r="K70" s="18" t="n">
        <v>1.65044893</v>
      </c>
      <c r="L70" s="20" t="n">
        <v>0.29906887</v>
      </c>
      <c r="M70" s="18" t="n">
        <v>0</v>
      </c>
      <c r="N70" s="20" t="n">
        <v>0</v>
      </c>
      <c r="O70" s="18" t="n">
        <v>0</v>
      </c>
      <c r="P70" s="20" t="n">
        <v>0</v>
      </c>
      <c r="Q70" s="18" t="n">
        <v>2.49547598</v>
      </c>
      <c r="R70" s="20" t="n">
        <v>0.3817915</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(5300.0/B72*100)</f>
        <v/>
      </c>
      <c r="D72" s="19" t="n">
        <v>736</v>
      </c>
      <c r="E72" s="18" t="n">
        <v>6.03624301</v>
      </c>
      <c r="F72" s="20" t="n">
        <v>0.83533439</v>
      </c>
      <c r="G72" s="18" t="n">
        <v>93.39870001</v>
      </c>
      <c r="H72" s="20" t="n">
        <v>0.8702988699999999</v>
      </c>
      <c r="I72" s="18" t="n">
        <v>0</v>
      </c>
      <c r="J72" s="20" t="n">
        <v>0</v>
      </c>
      <c r="K72" s="18" t="n">
        <v>0</v>
      </c>
      <c r="L72" s="20" t="n">
        <v>0</v>
      </c>
      <c r="M72" s="18" t="n">
        <v>0</v>
      </c>
      <c r="N72" s="20" t="n">
        <v>0</v>
      </c>
      <c r="O72" s="18" t="n">
        <v>0</v>
      </c>
      <c r="P72" s="20" t="n">
        <v>0</v>
      </c>
      <c r="Q72" s="18" t="n">
        <v>0.56505697</v>
      </c>
      <c r="R72" s="20" t="n">
        <v>0.21516383</v>
      </c>
    </row>
    <row r="73" spans="1:18">
      <c r="A73" s="15" t="s">
        <v>497</v>
      </c>
      <c r="B73" s="17" t="n">
        <v>6115</v>
      </c>
      <c r="C73" s="18">
        <f>(5355.0/B73*100)</f>
        <v/>
      </c>
      <c r="D73" s="19" t="n">
        <v>760</v>
      </c>
      <c r="E73" s="18" t="n">
        <v>9.47938607</v>
      </c>
      <c r="F73" s="20" t="n">
        <v>1.03465698</v>
      </c>
      <c r="G73" s="18" t="n">
        <v>90.27175065</v>
      </c>
      <c r="H73" s="20" t="n">
        <v>1.00767042</v>
      </c>
      <c r="I73" s="18" t="n">
        <v>0</v>
      </c>
      <c r="J73" s="20" t="n">
        <v>0</v>
      </c>
      <c r="K73" s="18" t="n">
        <v>0.1212484</v>
      </c>
      <c r="L73" s="20" t="n">
        <v>0.1212392</v>
      </c>
      <c r="M73" s="18" t="n">
        <v>0</v>
      </c>
      <c r="N73" s="20" t="n">
        <v>0</v>
      </c>
      <c r="O73" s="18" t="n">
        <v>0</v>
      </c>
      <c r="P73" s="20" t="n">
        <v>0</v>
      </c>
      <c r="Q73" s="18" t="n">
        <v>0.12761487</v>
      </c>
      <c r="R73" s="20" t="n">
        <v>0.12527529</v>
      </c>
    </row>
    <row r="74" spans="1:18">
      <c r="A74" s="15" t="s">
        <v>498</v>
      </c>
      <c r="B74" s="17" t="n">
        <v>7708</v>
      </c>
      <c r="C74" s="18">
        <f>(6761.0/B74*100)</f>
        <v/>
      </c>
      <c r="D74" s="19" t="n">
        <v>947</v>
      </c>
      <c r="E74" s="18" t="n">
        <v>26.28304855</v>
      </c>
      <c r="F74" s="20" t="n">
        <v>1.49975819</v>
      </c>
      <c r="G74" s="18" t="n">
        <v>73.19218114</v>
      </c>
      <c r="H74" s="20" t="n">
        <v>1.45573965</v>
      </c>
      <c r="I74" s="18" t="n">
        <v>0</v>
      </c>
      <c r="J74" s="20" t="n">
        <v>0</v>
      </c>
      <c r="K74" s="18" t="n">
        <v>0.30617379</v>
      </c>
      <c r="L74" s="20" t="n">
        <v>0.18267622</v>
      </c>
      <c r="M74" s="18" t="n">
        <v>0</v>
      </c>
      <c r="N74" s="20" t="n">
        <v>0</v>
      </c>
      <c r="O74" s="18" t="n">
        <v>0</v>
      </c>
      <c r="P74" s="20" t="n">
        <v>0</v>
      </c>
      <c r="Q74" s="18" t="n">
        <v>0.21859652</v>
      </c>
      <c r="R74" s="20" t="n">
        <v>0.16543353</v>
      </c>
    </row>
    <row r="75" spans="1:18">
      <c r="A75" s="15" t="s">
        <v>499</v>
      </c>
      <c r="B75" s="17" t="n">
        <v>8249</v>
      </c>
      <c r="C75" s="18">
        <f>(7257.0/B75*100)</f>
        <v/>
      </c>
      <c r="D75" s="19" t="n">
        <v>992</v>
      </c>
      <c r="E75" s="18" t="n">
        <v>27.77036694</v>
      </c>
      <c r="F75" s="20" t="n">
        <v>1.84527776</v>
      </c>
      <c r="G75" s="18" t="n">
        <v>71.3035769</v>
      </c>
      <c r="H75" s="20" t="n">
        <v>1.82605503</v>
      </c>
      <c r="I75" s="18" t="n">
        <v>0</v>
      </c>
      <c r="J75" s="20" t="n">
        <v>0</v>
      </c>
      <c r="K75" s="18" t="n">
        <v>0.00574974</v>
      </c>
      <c r="L75" s="20" t="n">
        <v>0.00578464</v>
      </c>
      <c r="M75" s="18" t="n">
        <v>0</v>
      </c>
      <c r="N75" s="20" t="n">
        <v>0</v>
      </c>
      <c r="O75" s="18" t="n">
        <v>0</v>
      </c>
      <c r="P75" s="20" t="n">
        <v>0</v>
      </c>
      <c r="Q75" s="18" t="n">
        <v>0.92030642</v>
      </c>
      <c r="R75" s="20" t="n">
        <v>0.41942625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(4777.0/B77*100)</f>
        <v/>
      </c>
      <c r="D77" s="19" t="n">
        <v>598</v>
      </c>
      <c r="E77" s="18" t="n">
        <v>28.18206192</v>
      </c>
      <c r="F77" s="20" t="n">
        <v>2.0441368</v>
      </c>
      <c r="G77" s="18" t="n">
        <v>67.31608236</v>
      </c>
      <c r="H77" s="20" t="n">
        <v>2.1967997</v>
      </c>
      <c r="I77" s="18" t="n">
        <v>0</v>
      </c>
      <c r="J77" s="20" t="n">
        <v>0</v>
      </c>
      <c r="K77" s="18" t="n">
        <v>1.77578426</v>
      </c>
      <c r="L77" s="20" t="n">
        <v>0.51704626</v>
      </c>
      <c r="M77" s="18" t="n">
        <v>0</v>
      </c>
      <c r="N77" s="20" t="n">
        <v>0</v>
      </c>
      <c r="O77" s="18" t="n">
        <v>0</v>
      </c>
      <c r="P77" s="20" t="n">
        <v>0</v>
      </c>
      <c r="Q77" s="18" t="n">
        <v>2.72607146</v>
      </c>
      <c r="R77" s="20" t="n">
        <v>0.78722553</v>
      </c>
    </row>
    <row r="78" spans="1:18">
      <c r="A78" s="15" t="s">
        <v>502</v>
      </c>
      <c r="B78" s="17" t="n">
        <v>14167</v>
      </c>
      <c r="C78" s="18">
        <f>(12441.0/B78*100)</f>
        <v/>
      </c>
      <c r="D78" s="19" t="n">
        <v>1726</v>
      </c>
      <c r="E78" s="18" t="n">
        <v>18.41114791</v>
      </c>
      <c r="F78" s="20" t="n">
        <v>1.19081242</v>
      </c>
      <c r="G78" s="18" t="n">
        <v>80.46462432</v>
      </c>
      <c r="H78" s="20" t="n">
        <v>1.1896109</v>
      </c>
      <c r="I78" s="18" t="n">
        <v>0</v>
      </c>
      <c r="J78" s="20" t="n">
        <v>0</v>
      </c>
      <c r="K78" s="18" t="n">
        <v>0.42168087</v>
      </c>
      <c r="L78" s="20" t="n">
        <v>0.17285053</v>
      </c>
      <c r="M78" s="18" t="n">
        <v>0</v>
      </c>
      <c r="N78" s="20" t="n">
        <v>0</v>
      </c>
      <c r="O78" s="18" t="n">
        <v>0</v>
      </c>
      <c r="P78" s="20" t="n">
        <v>0</v>
      </c>
      <c r="Q78" s="18" t="n">
        <v>0.7025469</v>
      </c>
      <c r="R78" s="20" t="n">
        <v>0.18818763</v>
      </c>
    </row>
    <row r="79" spans="1:18">
      <c r="A79" s="15" t="s">
        <v>503</v>
      </c>
      <c r="B79" s="17" t="n">
        <v>6062</v>
      </c>
      <c r="C79" s="18">
        <f>(5358.0/B79*100)</f>
        <v/>
      </c>
      <c r="D79" s="19" t="n">
        <v>704</v>
      </c>
      <c r="E79" s="18" t="n">
        <v>16.63481531</v>
      </c>
      <c r="F79" s="20" t="n">
        <v>1.42455008</v>
      </c>
      <c r="G79" s="18" t="n">
        <v>82.15605117</v>
      </c>
      <c r="H79" s="20" t="n">
        <v>1.41865171</v>
      </c>
      <c r="I79" s="18" t="n">
        <v>0</v>
      </c>
      <c r="J79" s="20" t="n">
        <v>0</v>
      </c>
      <c r="K79" s="18" t="n">
        <v>0.62371573</v>
      </c>
      <c r="L79" s="20" t="n">
        <v>0.31432041</v>
      </c>
      <c r="M79" s="18" t="n">
        <v>0</v>
      </c>
      <c r="N79" s="20" t="n">
        <v>0</v>
      </c>
      <c r="O79" s="18" t="n">
        <v>0</v>
      </c>
      <c r="P79" s="20" t="n">
        <v>0</v>
      </c>
      <c r="Q79" s="18" t="n">
        <v>0.58541779</v>
      </c>
      <c r="R79" s="20" t="n">
        <v>0.33385515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(28387.0/B82*100)</f>
        <v/>
      </c>
      <c r="D82" s="19" t="n">
        <v>3943</v>
      </c>
      <c r="E82" s="18" t="n">
        <v>10.41682245</v>
      </c>
      <c r="F82" s="20" t="n">
        <v>0.78262272</v>
      </c>
      <c r="G82" s="18" t="n">
        <v>88.66063376</v>
      </c>
      <c r="H82" s="20" t="n">
        <v>0.8059379</v>
      </c>
      <c r="I82" s="18" t="n">
        <v>0</v>
      </c>
      <c r="J82" s="20" t="n">
        <v>0</v>
      </c>
      <c r="K82" s="18" t="n">
        <v>0.19067906</v>
      </c>
      <c r="L82" s="20" t="n">
        <v>0.10033282</v>
      </c>
      <c r="M82" s="18" t="n">
        <v>0</v>
      </c>
      <c r="N82" s="20" t="n">
        <v>0</v>
      </c>
      <c r="O82" s="18" t="n">
        <v>0</v>
      </c>
      <c r="P82" s="20" t="n">
        <v>0</v>
      </c>
      <c r="Q82" s="18" t="n">
        <v>0.73186473</v>
      </c>
      <c r="R82" s="20" t="n">
        <v>0.21365816</v>
      </c>
    </row>
    <row r="83" spans="1:18">
      <c r="A83" s="15" t="s">
        <v>507</v>
      </c>
      <c r="B83" s="17" t="n">
        <v>1652</v>
      </c>
      <c r="C83" s="18">
        <f>(1458.0/B83*100)</f>
        <v/>
      </c>
      <c r="D83" s="19" t="n">
        <v>194</v>
      </c>
      <c r="E83" s="18" t="n">
        <v>12.46550903</v>
      </c>
      <c r="F83" s="20" t="n">
        <v>2.44981612</v>
      </c>
      <c r="G83" s="18" t="n">
        <v>87.09354925</v>
      </c>
      <c r="H83" s="20" t="n">
        <v>2.62025791</v>
      </c>
      <c r="I83" s="18" t="n">
        <v>0</v>
      </c>
      <c r="J83" s="20" t="n">
        <v>0</v>
      </c>
      <c r="K83" s="18" t="n">
        <v>0</v>
      </c>
      <c r="L83" s="20" t="n">
        <v>0</v>
      </c>
      <c r="M83" s="18" t="n">
        <v>0</v>
      </c>
      <c r="N83" s="20" t="n">
        <v>0</v>
      </c>
      <c r="O83" s="18" t="n">
        <v>0</v>
      </c>
      <c r="P83" s="20" t="n">
        <v>0</v>
      </c>
      <c r="Q83" s="18" t="n">
        <v>0.44094171</v>
      </c>
      <c r="R83" s="20" t="n">
        <v>0.44898917</v>
      </c>
    </row>
    <row r="84" spans="1:18">
      <c r="A84" s="23" t="s">
        <v>508</v>
      </c>
      <c r="B84" s="24" t="n">
        <v>1887</v>
      </c>
      <c r="C84" s="25">
        <f>(1652.0/B84*100)</f>
        <v/>
      </c>
      <c r="D84" s="19" t="n">
        <v>235</v>
      </c>
      <c r="E84" s="18" t="n">
        <v>14.4409295</v>
      </c>
      <c r="F84" s="20" t="n">
        <v>2.04488553</v>
      </c>
      <c r="G84" s="18" t="n">
        <v>85.5590705</v>
      </c>
      <c r="H84" s="20" t="n">
        <v>2.04488553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523</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(12715.0/B7*100)</f>
        <v/>
      </c>
      <c r="D7" s="19" t="n">
        <v>1815</v>
      </c>
      <c r="E7" s="18" t="n">
        <v>24.11572322</v>
      </c>
      <c r="F7" s="20" t="n">
        <v>1.17331471</v>
      </c>
      <c r="G7" s="18" t="n">
        <v>27.5987645</v>
      </c>
      <c r="H7" s="20" t="n">
        <v>1.19922499</v>
      </c>
      <c r="I7" s="18" t="n">
        <v>43.20800541</v>
      </c>
      <c r="J7" s="20" t="n">
        <v>1.3988352</v>
      </c>
      <c r="K7" s="18" t="n">
        <v>0</v>
      </c>
      <c r="L7" s="20" t="n">
        <v>0</v>
      </c>
      <c r="M7" s="18" t="n">
        <v>0.12752063</v>
      </c>
      <c r="N7" s="20" t="n">
        <v>0.10136012</v>
      </c>
      <c r="O7" s="18" t="n">
        <v>0.02211927</v>
      </c>
      <c r="P7" s="20" t="n">
        <v>0.01299207</v>
      </c>
      <c r="Q7" s="18" t="n">
        <v>0</v>
      </c>
      <c r="R7" s="20" t="n">
        <v>0</v>
      </c>
      <c r="S7" s="18" t="n">
        <v>4.92786698</v>
      </c>
      <c r="T7" s="20" t="n">
        <v>0.51584607</v>
      </c>
    </row>
    <row r="8" spans="1:20">
      <c r="A8" s="15" t="s">
        <v>430</v>
      </c>
      <c r="B8" s="17" t="n">
        <v>7007</v>
      </c>
      <c r="C8" s="18">
        <f>(6160.0/B8*100)</f>
        <v/>
      </c>
      <c r="D8" s="19" t="n">
        <v>847</v>
      </c>
      <c r="E8" s="18" t="n">
        <v>27.38768031</v>
      </c>
      <c r="F8" s="20" t="n">
        <v>1.8983572</v>
      </c>
      <c r="G8" s="18" t="n">
        <v>35.35998294</v>
      </c>
      <c r="H8" s="20" t="n">
        <v>1.85322331</v>
      </c>
      <c r="I8" s="18" t="n">
        <v>30.70075047</v>
      </c>
      <c r="J8" s="20" t="n">
        <v>2.00608117</v>
      </c>
      <c r="K8" s="18" t="n">
        <v>0</v>
      </c>
      <c r="L8" s="20" t="n">
        <v>0</v>
      </c>
      <c r="M8" s="18" t="n">
        <v>0</v>
      </c>
      <c r="N8" s="20" t="n">
        <v>0</v>
      </c>
      <c r="O8" s="18" t="n">
        <v>0</v>
      </c>
      <c r="P8" s="20" t="n">
        <v>0</v>
      </c>
      <c r="Q8" s="18" t="n">
        <v>0</v>
      </c>
      <c r="R8" s="20" t="n">
        <v>0</v>
      </c>
      <c r="S8" s="18" t="n">
        <v>6.55158629</v>
      </c>
      <c r="T8" s="20" t="n">
        <v>0.89978597</v>
      </c>
    </row>
    <row r="9" spans="1:20">
      <c r="A9" s="15" t="s">
        <v>431</v>
      </c>
      <c r="B9" s="17" t="n">
        <v>9651</v>
      </c>
      <c r="C9" s="18">
        <f>(8497.0/B9*100)</f>
        <v/>
      </c>
      <c r="D9" s="19" t="n">
        <v>1154</v>
      </c>
      <c r="E9" s="18" t="n">
        <v>24.81877113</v>
      </c>
      <c r="F9" s="20" t="n">
        <v>1.37256918</v>
      </c>
      <c r="G9" s="18" t="n">
        <v>37.80017453</v>
      </c>
      <c r="H9" s="20" t="n">
        <v>1.36044218</v>
      </c>
      <c r="I9" s="18" t="n">
        <v>33.39965094</v>
      </c>
      <c r="J9" s="20" t="n">
        <v>1.48464943</v>
      </c>
      <c r="K9" s="18" t="n">
        <v>0</v>
      </c>
      <c r="L9" s="20" t="n">
        <v>0</v>
      </c>
      <c r="M9" s="18" t="n">
        <v>0.0775748</v>
      </c>
      <c r="N9" s="20" t="n">
        <v>0.07494836000000001</v>
      </c>
      <c r="O9" s="18" t="n">
        <v>0.33404121</v>
      </c>
      <c r="P9" s="20" t="n">
        <v>0.15122683</v>
      </c>
      <c r="Q9" s="18" t="n">
        <v>0</v>
      </c>
      <c r="R9" s="20" t="n">
        <v>0</v>
      </c>
      <c r="S9" s="18" t="n">
        <v>3.56978739</v>
      </c>
      <c r="T9" s="20" t="n">
        <v>0.64578251</v>
      </c>
    </row>
    <row r="10" spans="1:20">
      <c r="A10" s="15" t="s">
        <v>432</v>
      </c>
      <c r="B10" s="17" t="n">
        <v>20058</v>
      </c>
      <c r="C10" s="18">
        <f>(17620.0/B10*100)</f>
        <v/>
      </c>
      <c r="D10" s="19" t="n">
        <v>2438</v>
      </c>
      <c r="E10" s="18" t="n">
        <v>16.13513043</v>
      </c>
      <c r="F10" s="20" t="n">
        <v>0.98821782</v>
      </c>
      <c r="G10" s="18" t="n">
        <v>27.96433574</v>
      </c>
      <c r="H10" s="20" t="n">
        <v>1.25369769</v>
      </c>
      <c r="I10" s="18" t="n">
        <v>53.77442027</v>
      </c>
      <c r="J10" s="20" t="n">
        <v>1.33011644</v>
      </c>
      <c r="K10" s="18" t="n">
        <v>0</v>
      </c>
      <c r="L10" s="20" t="n">
        <v>0</v>
      </c>
      <c r="M10" s="18" t="n">
        <v>0.22268015</v>
      </c>
      <c r="N10" s="20" t="n">
        <v>0.14700758</v>
      </c>
      <c r="O10" s="18" t="n">
        <v>0.08401707999999999</v>
      </c>
      <c r="P10" s="20" t="n">
        <v>0.0851924</v>
      </c>
      <c r="Q10" s="18" t="n">
        <v>0</v>
      </c>
      <c r="R10" s="20" t="n">
        <v>0</v>
      </c>
      <c r="S10" s="18" t="n">
        <v>1.81941632</v>
      </c>
      <c r="T10" s="20" t="n">
        <v>0.58082067</v>
      </c>
    </row>
    <row r="11" spans="1:20">
      <c r="A11" s="15" t="s">
        <v>433</v>
      </c>
      <c r="B11" s="17" t="n">
        <v>7053</v>
      </c>
      <c r="C11" s="18">
        <f>(6195.0/B11*100)</f>
        <v/>
      </c>
      <c r="D11" s="19" t="n">
        <v>858</v>
      </c>
      <c r="E11" s="18" t="n">
        <v>28.78220635</v>
      </c>
      <c r="F11" s="20" t="n">
        <v>1.51950137</v>
      </c>
      <c r="G11" s="18" t="n">
        <v>25.57136829</v>
      </c>
      <c r="H11" s="20" t="n">
        <v>1.65092045</v>
      </c>
      <c r="I11" s="18" t="n">
        <v>39.60554277</v>
      </c>
      <c r="J11" s="20" t="n">
        <v>2.07575694</v>
      </c>
      <c r="K11" s="18" t="n">
        <v>0</v>
      </c>
      <c r="L11" s="20" t="n">
        <v>0</v>
      </c>
      <c r="M11" s="18" t="n">
        <v>0.53669868</v>
      </c>
      <c r="N11" s="20" t="n">
        <v>0.38316275</v>
      </c>
      <c r="O11" s="18" t="n">
        <v>0</v>
      </c>
      <c r="P11" s="20" t="n">
        <v>0</v>
      </c>
      <c r="Q11" s="18" t="n">
        <v>0</v>
      </c>
      <c r="R11" s="20" t="n">
        <v>0</v>
      </c>
      <c r="S11" s="18" t="n">
        <v>5.50418391</v>
      </c>
      <c r="T11" s="20" t="n">
        <v>0.97399012</v>
      </c>
    </row>
    <row r="12" spans="1:20">
      <c r="A12" s="15" t="s">
        <v>434</v>
      </c>
      <c r="B12" s="17" t="n">
        <v>6894</v>
      </c>
      <c r="C12" s="18">
        <f>(6057.0/B12*100)</f>
        <v/>
      </c>
      <c r="D12" s="19" t="n">
        <v>837</v>
      </c>
      <c r="E12" s="18" t="n">
        <v>27.97241043</v>
      </c>
      <c r="F12" s="20" t="n">
        <v>1.91238983</v>
      </c>
      <c r="G12" s="18" t="n">
        <v>23.30557585</v>
      </c>
      <c r="H12" s="20" t="n">
        <v>1.68602428</v>
      </c>
      <c r="I12" s="18" t="n">
        <v>40.03231238</v>
      </c>
      <c r="J12" s="20" t="n">
        <v>1.81452609</v>
      </c>
      <c r="K12" s="18" t="n">
        <v>0</v>
      </c>
      <c r="L12" s="20" t="n">
        <v>0</v>
      </c>
      <c r="M12" s="18" t="n">
        <v>0</v>
      </c>
      <c r="N12" s="20" t="n">
        <v>0</v>
      </c>
      <c r="O12" s="18" t="n">
        <v>0.06970643999999999</v>
      </c>
      <c r="P12" s="20" t="n">
        <v>0.09391724999999999</v>
      </c>
      <c r="Q12" s="18" t="n">
        <v>0</v>
      </c>
      <c r="R12" s="20" t="n">
        <v>0</v>
      </c>
      <c r="S12" s="18" t="n">
        <v>8.6199949</v>
      </c>
      <c r="T12" s="20" t="n">
        <v>0.98683607</v>
      </c>
    </row>
    <row r="13" spans="1:20">
      <c r="A13" s="15" t="s">
        <v>435</v>
      </c>
      <c r="B13" s="17" t="n">
        <v>7161</v>
      </c>
      <c r="C13" s="18">
        <f>(6333.0/B13*100)</f>
        <v/>
      </c>
      <c r="D13" s="19" t="n">
        <v>828</v>
      </c>
      <c r="E13" s="18" t="n">
        <v>22.46595184</v>
      </c>
      <c r="F13" s="20" t="n">
        <v>1.9899465</v>
      </c>
      <c r="G13" s="18" t="n">
        <v>33.39326451</v>
      </c>
      <c r="H13" s="20" t="n">
        <v>1.94355539</v>
      </c>
      <c r="I13" s="18" t="n">
        <v>39.29971926</v>
      </c>
      <c r="J13" s="20" t="n">
        <v>2.24417596</v>
      </c>
      <c r="K13" s="18" t="n">
        <v>0</v>
      </c>
      <c r="L13" s="20" t="n">
        <v>0</v>
      </c>
      <c r="M13" s="18" t="n">
        <v>0.28031942</v>
      </c>
      <c r="N13" s="20" t="n">
        <v>0.12042792</v>
      </c>
      <c r="O13" s="18" t="n">
        <v>0</v>
      </c>
      <c r="P13" s="20" t="n">
        <v>0</v>
      </c>
      <c r="Q13" s="18" t="n">
        <v>0</v>
      </c>
      <c r="R13" s="20" t="n">
        <v>0</v>
      </c>
      <c r="S13" s="18" t="n">
        <v>4.56074497</v>
      </c>
      <c r="T13" s="20" t="n">
        <v>1.12953944</v>
      </c>
    </row>
    <row r="14" spans="1:20">
      <c r="A14" s="15" t="s">
        <v>436</v>
      </c>
      <c r="B14" s="17" t="n">
        <v>5587</v>
      </c>
      <c r="C14" s="18">
        <f>(4914.0/B14*100)</f>
        <v/>
      </c>
      <c r="D14" s="19" t="n">
        <v>673</v>
      </c>
      <c r="E14" s="18" t="n">
        <v>17.52534391</v>
      </c>
      <c r="F14" s="20" t="n">
        <v>1.53341441</v>
      </c>
      <c r="G14" s="18" t="n">
        <v>37.06074829</v>
      </c>
      <c r="H14" s="20" t="n">
        <v>1.81762972</v>
      </c>
      <c r="I14" s="18" t="n">
        <v>42.97721283</v>
      </c>
      <c r="J14" s="20" t="n">
        <v>1.85504173</v>
      </c>
      <c r="K14" s="18" t="n">
        <v>0</v>
      </c>
      <c r="L14" s="20" t="n">
        <v>0</v>
      </c>
      <c r="M14" s="18" t="n">
        <v>0.23027365</v>
      </c>
      <c r="N14" s="20" t="n">
        <v>0.16291778</v>
      </c>
      <c r="O14" s="18" t="n">
        <v>0</v>
      </c>
      <c r="P14" s="20" t="n">
        <v>0</v>
      </c>
      <c r="Q14" s="18" t="n">
        <v>0</v>
      </c>
      <c r="R14" s="20" t="n">
        <v>0</v>
      </c>
      <c r="S14" s="18" t="n">
        <v>2.20642132</v>
      </c>
      <c r="T14" s="20" t="n">
        <v>0.5420644100000001</v>
      </c>
    </row>
    <row r="15" spans="1:20">
      <c r="A15" s="15" t="s">
        <v>437</v>
      </c>
      <c r="B15" s="17" t="n">
        <v>5882</v>
      </c>
      <c r="C15" s="18">
        <f>(5161.0/B15*100)</f>
        <v/>
      </c>
      <c r="D15" s="19" t="n">
        <v>721</v>
      </c>
      <c r="E15" s="18" t="n">
        <v>17.36361764</v>
      </c>
      <c r="F15" s="20" t="n">
        <v>1.40832041</v>
      </c>
      <c r="G15" s="18" t="n">
        <v>45.21187199</v>
      </c>
      <c r="H15" s="20" t="n">
        <v>2.19014301</v>
      </c>
      <c r="I15" s="18" t="n">
        <v>32.92156343</v>
      </c>
      <c r="J15" s="20" t="n">
        <v>1.58901259</v>
      </c>
      <c r="K15" s="18" t="n">
        <v>0</v>
      </c>
      <c r="L15" s="20" t="n">
        <v>0</v>
      </c>
      <c r="M15" s="18" t="n">
        <v>0</v>
      </c>
      <c r="N15" s="20" t="n">
        <v>0</v>
      </c>
      <c r="O15" s="18" t="n">
        <v>0</v>
      </c>
      <c r="P15" s="20" t="n">
        <v>0</v>
      </c>
      <c r="Q15" s="18" t="n">
        <v>0</v>
      </c>
      <c r="R15" s="20" t="n">
        <v>0</v>
      </c>
      <c r="S15" s="18" t="n">
        <v>4.50294695</v>
      </c>
      <c r="T15" s="20" t="n">
        <v>0.87919558</v>
      </c>
    </row>
    <row r="16" spans="1:20">
      <c r="A16" s="15" t="s">
        <v>438</v>
      </c>
      <c r="B16" s="17" t="n">
        <v>6108</v>
      </c>
      <c r="C16" s="18">
        <f>(5348.0/B16*100)</f>
        <v/>
      </c>
      <c r="D16" s="19" t="n">
        <v>760</v>
      </c>
      <c r="E16" s="18" t="n">
        <v>18.04613286</v>
      </c>
      <c r="F16" s="20" t="n">
        <v>1.41298489</v>
      </c>
      <c r="G16" s="18" t="n">
        <v>30.67237238</v>
      </c>
      <c r="H16" s="20" t="n">
        <v>1.66892826</v>
      </c>
      <c r="I16" s="18" t="n">
        <v>42.99988255</v>
      </c>
      <c r="J16" s="20" t="n">
        <v>1.82095788</v>
      </c>
      <c r="K16" s="18" t="n">
        <v>0</v>
      </c>
      <c r="L16" s="20" t="n">
        <v>0</v>
      </c>
      <c r="M16" s="18" t="n">
        <v>1.46017359</v>
      </c>
      <c r="N16" s="20" t="n">
        <v>0.70750102</v>
      </c>
      <c r="O16" s="18" t="n">
        <v>0</v>
      </c>
      <c r="P16" s="20" t="n">
        <v>0</v>
      </c>
      <c r="Q16" s="18" t="n">
        <v>0</v>
      </c>
      <c r="R16" s="20" t="n">
        <v>0</v>
      </c>
      <c r="S16" s="18" t="n">
        <v>6.82143862</v>
      </c>
      <c r="T16" s="20" t="n">
        <v>0.97285279</v>
      </c>
    </row>
    <row r="17" spans="1:20">
      <c r="A17" s="15" t="s">
        <v>439</v>
      </c>
      <c r="B17" s="17" t="n">
        <v>6504</v>
      </c>
      <c r="C17" s="18">
        <f>(5715.0/B17*100)</f>
        <v/>
      </c>
      <c r="D17" s="19" t="n">
        <v>789</v>
      </c>
      <c r="E17" s="18" t="n">
        <v>16.72910287</v>
      </c>
      <c r="F17" s="20" t="n">
        <v>1.454437</v>
      </c>
      <c r="G17" s="18" t="n">
        <v>34.02935717</v>
      </c>
      <c r="H17" s="20" t="n">
        <v>1.59086881</v>
      </c>
      <c r="I17" s="18" t="n">
        <v>42.17577827</v>
      </c>
      <c r="J17" s="20" t="n">
        <v>1.95966937</v>
      </c>
      <c r="K17" s="18" t="n">
        <v>0</v>
      </c>
      <c r="L17" s="20" t="n">
        <v>0</v>
      </c>
      <c r="M17" s="18" t="n">
        <v>0.5970997300000001</v>
      </c>
      <c r="N17" s="20" t="n">
        <v>0.27758795</v>
      </c>
      <c r="O17" s="18" t="n">
        <v>0</v>
      </c>
      <c r="P17" s="20" t="n">
        <v>0</v>
      </c>
      <c r="Q17" s="18" t="n">
        <v>0</v>
      </c>
      <c r="R17" s="20" t="n">
        <v>0</v>
      </c>
      <c r="S17" s="18" t="n">
        <v>6.46866196</v>
      </c>
      <c r="T17" s="20" t="n">
        <v>0.89494612</v>
      </c>
    </row>
    <row r="18" spans="1:20">
      <c r="A18" s="15" t="s">
        <v>440</v>
      </c>
      <c r="B18" s="17" t="n">
        <v>5532</v>
      </c>
      <c r="C18" s="18">
        <f>(4848.0/B18*100)</f>
        <v/>
      </c>
      <c r="D18" s="19" t="n">
        <v>684</v>
      </c>
      <c r="E18" s="18" t="n">
        <v>28.8341571</v>
      </c>
      <c r="F18" s="20" t="n">
        <v>2.01901194</v>
      </c>
      <c r="G18" s="18" t="n">
        <v>11.15430113</v>
      </c>
      <c r="H18" s="20" t="n">
        <v>1.35463429</v>
      </c>
      <c r="I18" s="18" t="n">
        <v>53.47264926</v>
      </c>
      <c r="J18" s="20" t="n">
        <v>2.2408718</v>
      </c>
      <c r="K18" s="18" t="n">
        <v>0</v>
      </c>
      <c r="L18" s="20" t="n">
        <v>0</v>
      </c>
      <c r="M18" s="18" t="n">
        <v>0.17900829</v>
      </c>
      <c r="N18" s="20" t="n">
        <v>0.22167909</v>
      </c>
      <c r="O18" s="18" t="n">
        <v>0</v>
      </c>
      <c r="P18" s="20" t="n">
        <v>0</v>
      </c>
      <c r="Q18" s="18" t="n">
        <v>0</v>
      </c>
      <c r="R18" s="20" t="n">
        <v>0</v>
      </c>
      <c r="S18" s="18" t="n">
        <v>6.35988422</v>
      </c>
      <c r="T18" s="20" t="n">
        <v>1.28805238</v>
      </c>
    </row>
    <row r="19" spans="1:20">
      <c r="A19" s="15" t="s">
        <v>441</v>
      </c>
      <c r="B19" s="17" t="n">
        <v>5658</v>
      </c>
      <c r="C19" s="18">
        <f>(4968.0/B19*100)</f>
        <v/>
      </c>
      <c r="D19" s="19" t="n">
        <v>690</v>
      </c>
      <c r="E19" s="18" t="n">
        <v>24.18231855</v>
      </c>
      <c r="F19" s="20" t="n">
        <v>1.40740581</v>
      </c>
      <c r="G19" s="18" t="n">
        <v>23.02660582</v>
      </c>
      <c r="H19" s="20" t="n">
        <v>1.45742765</v>
      </c>
      <c r="I19" s="18" t="n">
        <v>42.33936907</v>
      </c>
      <c r="J19" s="20" t="n">
        <v>1.95565427</v>
      </c>
      <c r="K19" s="18" t="n">
        <v>0</v>
      </c>
      <c r="L19" s="20" t="n">
        <v>0</v>
      </c>
      <c r="M19" s="18" t="n">
        <v>0.12648184</v>
      </c>
      <c r="N19" s="20" t="n">
        <v>0.13463945</v>
      </c>
      <c r="O19" s="18" t="n">
        <v>0</v>
      </c>
      <c r="P19" s="20" t="n">
        <v>0</v>
      </c>
      <c r="Q19" s="18" t="n">
        <v>0</v>
      </c>
      <c r="R19" s="20" t="n">
        <v>0</v>
      </c>
      <c r="S19" s="18" t="n">
        <v>10.32522471</v>
      </c>
      <c r="T19" s="20" t="n">
        <v>1.23449051</v>
      </c>
    </row>
    <row r="20" spans="1:20">
      <c r="A20" s="15" t="s">
        <v>442</v>
      </c>
      <c r="B20" s="17" t="n">
        <v>3371</v>
      </c>
      <c r="C20" s="18">
        <f>(2952.0/B20*100)</f>
        <v/>
      </c>
      <c r="D20" s="19" t="n">
        <v>419</v>
      </c>
      <c r="E20" s="18" t="n">
        <v>30.66153275</v>
      </c>
      <c r="F20" s="20" t="n">
        <v>2.20981042</v>
      </c>
      <c r="G20" s="18" t="n">
        <v>35.41970353</v>
      </c>
      <c r="H20" s="20" t="n">
        <v>2.11829486</v>
      </c>
      <c r="I20" s="18" t="n">
        <v>29.4281056</v>
      </c>
      <c r="J20" s="20" t="n">
        <v>2.12953725</v>
      </c>
      <c r="K20" s="18" t="n">
        <v>0</v>
      </c>
      <c r="L20" s="20" t="n">
        <v>0</v>
      </c>
      <c r="M20" s="18" t="n">
        <v>0</v>
      </c>
      <c r="N20" s="20" t="n">
        <v>0</v>
      </c>
      <c r="O20" s="18" t="n">
        <v>0.73420408</v>
      </c>
      <c r="P20" s="20" t="n">
        <v>0.50575752</v>
      </c>
      <c r="Q20" s="18" t="n">
        <v>0</v>
      </c>
      <c r="R20" s="20" t="n">
        <v>0</v>
      </c>
      <c r="S20" s="18" t="n">
        <v>3.75645403</v>
      </c>
      <c r="T20" s="20" t="n">
        <v>0.97351424</v>
      </c>
    </row>
    <row r="21" spans="1:20">
      <c r="A21" s="15" t="s">
        <v>443</v>
      </c>
      <c r="B21" s="17" t="n">
        <v>5741</v>
      </c>
      <c r="C21" s="18">
        <f>(4796.0/B21*100)</f>
        <v/>
      </c>
      <c r="D21" s="19" t="n">
        <v>945</v>
      </c>
      <c r="E21" s="18" t="n">
        <v>17.01560429</v>
      </c>
      <c r="F21" s="20" t="n">
        <v>1.16593364</v>
      </c>
      <c r="G21" s="18" t="n">
        <v>30.90323459</v>
      </c>
      <c r="H21" s="20" t="n">
        <v>1.44839872</v>
      </c>
      <c r="I21" s="18" t="n">
        <v>49.864559</v>
      </c>
      <c r="J21" s="20" t="n">
        <v>1.74547527</v>
      </c>
      <c r="K21" s="18" t="n">
        <v>0</v>
      </c>
      <c r="L21" s="20" t="n">
        <v>0</v>
      </c>
      <c r="M21" s="18" t="n">
        <v>0.20404088</v>
      </c>
      <c r="N21" s="20" t="n">
        <v>0.12986584</v>
      </c>
      <c r="O21" s="18" t="n">
        <v>0</v>
      </c>
      <c r="P21" s="20" t="n">
        <v>0</v>
      </c>
      <c r="Q21" s="18" t="n">
        <v>0</v>
      </c>
      <c r="R21" s="20" t="n">
        <v>0</v>
      </c>
      <c r="S21" s="18" t="n">
        <v>2.01256125</v>
      </c>
      <c r="T21" s="20" t="n">
        <v>0.42627512</v>
      </c>
    </row>
    <row r="22" spans="1:20">
      <c r="A22" s="15" t="s">
        <v>444</v>
      </c>
      <c r="B22" s="17" t="n">
        <v>6598</v>
      </c>
      <c r="C22" s="18">
        <f>(5871.0/B22*100)</f>
        <v/>
      </c>
      <c r="D22" s="19" t="n">
        <v>727</v>
      </c>
      <c r="E22" s="18" t="n">
        <v>26.08481471</v>
      </c>
      <c r="F22" s="20" t="n">
        <v>1.81403751</v>
      </c>
      <c r="G22" s="18" t="n">
        <v>24.48902703</v>
      </c>
      <c r="H22" s="20" t="n">
        <v>1.70679266</v>
      </c>
      <c r="I22" s="18" t="n">
        <v>42.35381655</v>
      </c>
      <c r="J22" s="20" t="n">
        <v>2.28346631</v>
      </c>
      <c r="K22" s="18" t="n">
        <v>0</v>
      </c>
      <c r="L22" s="20" t="n">
        <v>0</v>
      </c>
      <c r="M22" s="18" t="n">
        <v>0.4590436</v>
      </c>
      <c r="N22" s="20" t="n">
        <v>0.29934188</v>
      </c>
      <c r="O22" s="18" t="n">
        <v>0</v>
      </c>
      <c r="P22" s="20" t="n">
        <v>0</v>
      </c>
      <c r="Q22" s="18" t="n">
        <v>0</v>
      </c>
      <c r="R22" s="20" t="n">
        <v>0</v>
      </c>
      <c r="S22" s="18" t="n">
        <v>6.61329811</v>
      </c>
      <c r="T22" s="20" t="n">
        <v>0.95270124</v>
      </c>
    </row>
    <row r="23" spans="1:20">
      <c r="A23" s="15" t="s">
        <v>445</v>
      </c>
      <c r="B23" s="17" t="n">
        <v>11583</v>
      </c>
      <c r="C23" s="18">
        <f>(10171.0/B23*100)</f>
        <v/>
      </c>
      <c r="D23" s="19" t="n">
        <v>1412</v>
      </c>
      <c r="E23" s="18" t="n">
        <v>35.89783156</v>
      </c>
      <c r="F23" s="20" t="n">
        <v>1.82278757</v>
      </c>
      <c r="G23" s="18" t="n">
        <v>23.01213112</v>
      </c>
      <c r="H23" s="20" t="n">
        <v>1.67723338</v>
      </c>
      <c r="I23" s="18" t="n">
        <v>33.502475</v>
      </c>
      <c r="J23" s="20" t="n">
        <v>1.9830873</v>
      </c>
      <c r="K23" s="18" t="n">
        <v>0</v>
      </c>
      <c r="L23" s="20" t="n">
        <v>0</v>
      </c>
      <c r="M23" s="18" t="n">
        <v>0.46653782</v>
      </c>
      <c r="N23" s="20" t="n">
        <v>0.34802132</v>
      </c>
      <c r="O23" s="18" t="n">
        <v>1.38974818</v>
      </c>
      <c r="P23" s="20" t="n">
        <v>0.84612488</v>
      </c>
      <c r="Q23" s="18" t="n">
        <v>0</v>
      </c>
      <c r="R23" s="20" t="n">
        <v>0</v>
      </c>
      <c r="S23" s="18" t="n">
        <v>5.73127633</v>
      </c>
      <c r="T23" s="20" t="n">
        <v>1.04534775</v>
      </c>
    </row>
    <row r="24" spans="1:20">
      <c r="A24" s="15" t="s">
        <v>446</v>
      </c>
      <c r="B24" s="17" t="n">
        <v>6647</v>
      </c>
      <c r="C24" s="18">
        <f>(5811.0/B24*100)</f>
        <v/>
      </c>
      <c r="D24" s="19" t="n">
        <v>836</v>
      </c>
      <c r="E24" s="18" t="n">
        <v>25.7365621</v>
      </c>
      <c r="F24" s="20" t="n">
        <v>1.69019079</v>
      </c>
      <c r="G24" s="18" t="n">
        <v>28.15815247</v>
      </c>
      <c r="H24" s="20" t="n">
        <v>1.58448543</v>
      </c>
      <c r="I24" s="18" t="n">
        <v>39.58464489</v>
      </c>
      <c r="J24" s="20" t="n">
        <v>1.70908767</v>
      </c>
      <c r="K24" s="18" t="n">
        <v>0</v>
      </c>
      <c r="L24" s="20" t="n">
        <v>0</v>
      </c>
      <c r="M24" s="18" t="n">
        <v>0.32005876</v>
      </c>
      <c r="N24" s="20" t="n">
        <v>0.18398718</v>
      </c>
      <c r="O24" s="18" t="n">
        <v>0</v>
      </c>
      <c r="P24" s="20" t="n">
        <v>0</v>
      </c>
      <c r="Q24" s="18" t="n">
        <v>0</v>
      </c>
      <c r="R24" s="20" t="n">
        <v>0</v>
      </c>
      <c r="S24" s="18" t="n">
        <v>6.20058177</v>
      </c>
      <c r="T24" s="20" t="n">
        <v>1.04008177</v>
      </c>
    </row>
    <row r="25" spans="1:20">
      <c r="A25" s="15" t="s">
        <v>447</v>
      </c>
      <c r="B25" s="17" t="n">
        <v>5581</v>
      </c>
      <c r="C25" s="18">
        <f>(4883.0/B25*100)</f>
        <v/>
      </c>
      <c r="D25" s="19" t="n">
        <v>698</v>
      </c>
      <c r="E25" s="18" t="n">
        <v>20.67321723</v>
      </c>
      <c r="F25" s="20" t="n">
        <v>1.50356023</v>
      </c>
      <c r="G25" s="18" t="n">
        <v>19.83205087</v>
      </c>
      <c r="H25" s="20" t="n">
        <v>1.31545472</v>
      </c>
      <c r="I25" s="18" t="n">
        <v>53.1227693</v>
      </c>
      <c r="J25" s="20" t="n">
        <v>2.07130491</v>
      </c>
      <c r="K25" s="18" t="n">
        <v>0</v>
      </c>
      <c r="L25" s="20" t="n">
        <v>0</v>
      </c>
      <c r="M25" s="18" t="n">
        <v>0.14378534</v>
      </c>
      <c r="N25" s="20" t="n">
        <v>0.14377542</v>
      </c>
      <c r="O25" s="18" t="n">
        <v>0.1471496</v>
      </c>
      <c r="P25" s="20" t="n">
        <v>0.14734342</v>
      </c>
      <c r="Q25" s="18" t="n">
        <v>0</v>
      </c>
      <c r="R25" s="20" t="n">
        <v>0</v>
      </c>
      <c r="S25" s="18" t="n">
        <v>6.08102765</v>
      </c>
      <c r="T25" s="20" t="n">
        <v>0.9283444</v>
      </c>
    </row>
    <row r="26" spans="1:20">
      <c r="A26" s="15" t="s">
        <v>448</v>
      </c>
      <c r="B26" s="17" t="n">
        <v>4869</v>
      </c>
      <c r="C26" s="18">
        <f>(4278.0/B26*100)</f>
        <v/>
      </c>
      <c r="D26" s="19" t="n">
        <v>591</v>
      </c>
      <c r="E26" s="18" t="n">
        <v>25.93554569</v>
      </c>
      <c r="F26" s="20" t="n">
        <v>1.94202508</v>
      </c>
      <c r="G26" s="18" t="n">
        <v>29.989353</v>
      </c>
      <c r="H26" s="20" t="n">
        <v>1.97131789</v>
      </c>
      <c r="I26" s="18" t="n">
        <v>40.77155171</v>
      </c>
      <c r="J26" s="20" t="n">
        <v>1.97120901</v>
      </c>
      <c r="K26" s="18" t="n">
        <v>0</v>
      </c>
      <c r="L26" s="20" t="n">
        <v>0</v>
      </c>
      <c r="M26" s="18" t="n">
        <v>0.13633157</v>
      </c>
      <c r="N26" s="20" t="n">
        <v>0.14975917</v>
      </c>
      <c r="O26" s="18" t="n">
        <v>0.13356645</v>
      </c>
      <c r="P26" s="20" t="n">
        <v>0.1191897</v>
      </c>
      <c r="Q26" s="18" t="n">
        <v>0</v>
      </c>
      <c r="R26" s="20" t="n">
        <v>0</v>
      </c>
      <c r="S26" s="18" t="n">
        <v>3.03365158</v>
      </c>
      <c r="T26" s="20" t="n">
        <v>0.75537552</v>
      </c>
    </row>
    <row r="27" spans="1:20">
      <c r="A27" s="15" t="s">
        <v>449</v>
      </c>
      <c r="B27" s="17" t="n">
        <v>5299</v>
      </c>
      <c r="C27" s="18">
        <f>(4644.0/B27*100)</f>
        <v/>
      </c>
      <c r="D27" s="19" t="n">
        <v>655</v>
      </c>
      <c r="E27" s="18" t="n">
        <v>25.48007254</v>
      </c>
      <c r="F27" s="20" t="n">
        <v>1.83027588</v>
      </c>
      <c r="G27" s="18" t="n">
        <v>36.99710981</v>
      </c>
      <c r="H27" s="20" t="n">
        <v>1.86460703</v>
      </c>
      <c r="I27" s="18" t="n">
        <v>31.4510367</v>
      </c>
      <c r="J27" s="20" t="n">
        <v>1.72450024</v>
      </c>
      <c r="K27" s="18" t="n">
        <v>0</v>
      </c>
      <c r="L27" s="20" t="n">
        <v>0</v>
      </c>
      <c r="M27" s="18" t="n">
        <v>0.4689431</v>
      </c>
      <c r="N27" s="20" t="n">
        <v>0.26919277</v>
      </c>
      <c r="O27" s="18" t="n">
        <v>0</v>
      </c>
      <c r="P27" s="20" t="n">
        <v>0</v>
      </c>
      <c r="Q27" s="18" t="n">
        <v>0</v>
      </c>
      <c r="R27" s="20" t="n">
        <v>0</v>
      </c>
      <c r="S27" s="18" t="n">
        <v>5.60283785</v>
      </c>
      <c r="T27" s="20" t="n">
        <v>1.04615249</v>
      </c>
    </row>
    <row r="28" spans="1:20">
      <c r="A28" s="15" t="s">
        <v>450</v>
      </c>
      <c r="B28" s="17" t="n">
        <v>7568</v>
      </c>
      <c r="C28" s="18">
        <f>(6697.0/B28*100)</f>
        <v/>
      </c>
      <c r="D28" s="19" t="n">
        <v>871</v>
      </c>
      <c r="E28" s="18" t="n">
        <v>24.37023438</v>
      </c>
      <c r="F28" s="20" t="n">
        <v>1.74090242</v>
      </c>
      <c r="G28" s="18" t="n">
        <v>37.82066834</v>
      </c>
      <c r="H28" s="20" t="n">
        <v>1.79648159</v>
      </c>
      <c r="I28" s="18" t="n">
        <v>36.30363533</v>
      </c>
      <c r="J28" s="20" t="n">
        <v>1.96109883</v>
      </c>
      <c r="K28" s="18" t="n">
        <v>0</v>
      </c>
      <c r="L28" s="20" t="n">
        <v>0</v>
      </c>
      <c r="M28" s="18" t="n">
        <v>0.15310166</v>
      </c>
      <c r="N28" s="20" t="n">
        <v>0.11205679</v>
      </c>
      <c r="O28" s="18" t="n">
        <v>0</v>
      </c>
      <c r="P28" s="20" t="n">
        <v>0</v>
      </c>
      <c r="Q28" s="18" t="n">
        <v>0</v>
      </c>
      <c r="R28" s="20" t="n">
        <v>0</v>
      </c>
      <c r="S28" s="18" t="n">
        <v>1.35236029</v>
      </c>
      <c r="T28" s="20" t="n">
        <v>0.41585711</v>
      </c>
    </row>
    <row r="29" spans="1:20">
      <c r="A29" s="15" t="s">
        <v>451</v>
      </c>
      <c r="B29" s="17" t="n">
        <v>5385</v>
      </c>
      <c r="C29" s="18">
        <f>(4727.0/B29*100)</f>
        <v/>
      </c>
      <c r="D29" s="19" t="n">
        <v>658</v>
      </c>
      <c r="E29" s="18" t="n">
        <v>21.01645084</v>
      </c>
      <c r="F29" s="20" t="n">
        <v>1.79079469</v>
      </c>
      <c r="G29" s="18" t="n">
        <v>47.25201121</v>
      </c>
      <c r="H29" s="20" t="n">
        <v>1.89884949</v>
      </c>
      <c r="I29" s="18" t="n">
        <v>30.016856</v>
      </c>
      <c r="J29" s="20" t="n">
        <v>1.83365171</v>
      </c>
      <c r="K29" s="18" t="n">
        <v>0</v>
      </c>
      <c r="L29" s="20" t="n">
        <v>0</v>
      </c>
      <c r="M29" s="18" t="n">
        <v>0</v>
      </c>
      <c r="N29" s="20" t="n">
        <v>0</v>
      </c>
      <c r="O29" s="18" t="n">
        <v>0</v>
      </c>
      <c r="P29" s="20" t="n">
        <v>0</v>
      </c>
      <c r="Q29" s="18" t="n">
        <v>0</v>
      </c>
      <c r="R29" s="20" t="n">
        <v>0</v>
      </c>
      <c r="S29" s="18" t="n">
        <v>1.71468194</v>
      </c>
      <c r="T29" s="20" t="n">
        <v>0.50627617</v>
      </c>
    </row>
    <row r="30" spans="1:20">
      <c r="A30" s="15" t="s">
        <v>452</v>
      </c>
      <c r="B30" s="17" t="n">
        <v>4520</v>
      </c>
      <c r="C30" s="18">
        <f>(3965.0/B30*100)</f>
        <v/>
      </c>
      <c r="D30" s="19" t="n">
        <v>555</v>
      </c>
      <c r="E30" s="18" t="n">
        <v>17.37612735</v>
      </c>
      <c r="F30" s="20" t="n">
        <v>1.59604989</v>
      </c>
      <c r="G30" s="18" t="n">
        <v>27.25990008</v>
      </c>
      <c r="H30" s="20" t="n">
        <v>2.10475254</v>
      </c>
      <c r="I30" s="18" t="n">
        <v>50.42045904</v>
      </c>
      <c r="J30" s="20" t="n">
        <v>2.24129176</v>
      </c>
      <c r="K30" s="18" t="n">
        <v>0</v>
      </c>
      <c r="L30" s="20" t="n">
        <v>0</v>
      </c>
      <c r="M30" s="18" t="n">
        <v>0.30118752</v>
      </c>
      <c r="N30" s="20" t="n">
        <v>0.20681081</v>
      </c>
      <c r="O30" s="18" t="n">
        <v>0</v>
      </c>
      <c r="P30" s="20" t="n">
        <v>0</v>
      </c>
      <c r="Q30" s="18" t="n">
        <v>0</v>
      </c>
      <c r="R30" s="20" t="n">
        <v>0</v>
      </c>
      <c r="S30" s="18" t="n">
        <v>4.64232601</v>
      </c>
      <c r="T30" s="20" t="n">
        <v>0.95612498</v>
      </c>
    </row>
    <row r="31" spans="1:20">
      <c r="A31" s="15" t="s">
        <v>453</v>
      </c>
      <c r="B31" s="17" t="n">
        <v>5456</v>
      </c>
      <c r="C31" s="18">
        <f>(4770.0/B31*100)</f>
        <v/>
      </c>
      <c r="D31" s="19" t="n">
        <v>686</v>
      </c>
      <c r="E31" s="18" t="n">
        <v>16.09654121</v>
      </c>
      <c r="F31" s="20" t="n">
        <v>1.40923048</v>
      </c>
      <c r="G31" s="18" t="n">
        <v>27.82095864</v>
      </c>
      <c r="H31" s="20" t="n">
        <v>1.78424607</v>
      </c>
      <c r="I31" s="18" t="n">
        <v>49.36477357</v>
      </c>
      <c r="J31" s="20" t="n">
        <v>1.7995261</v>
      </c>
      <c r="K31" s="18" t="n">
        <v>0</v>
      </c>
      <c r="L31" s="20" t="n">
        <v>0</v>
      </c>
      <c r="M31" s="18" t="n">
        <v>0.52521369</v>
      </c>
      <c r="N31" s="20" t="n">
        <v>0.25908745</v>
      </c>
      <c r="O31" s="18" t="n">
        <v>0</v>
      </c>
      <c r="P31" s="20" t="n">
        <v>0</v>
      </c>
      <c r="Q31" s="18" t="n">
        <v>0</v>
      </c>
      <c r="R31" s="20" t="n">
        <v>0</v>
      </c>
      <c r="S31" s="18" t="n">
        <v>6.19251289</v>
      </c>
      <c r="T31" s="20" t="n">
        <v>0.96731637</v>
      </c>
    </row>
    <row r="32" spans="1:20">
      <c r="A32" s="15" t="s">
        <v>454</v>
      </c>
      <c r="B32" s="17" t="n">
        <v>4478</v>
      </c>
      <c r="C32" s="18">
        <f>(3737.0/B32*100)</f>
        <v/>
      </c>
      <c r="D32" s="19" t="n">
        <v>741</v>
      </c>
      <c r="E32" s="18" t="n">
        <v>23.85537721</v>
      </c>
      <c r="F32" s="20" t="n">
        <v>1.49420162</v>
      </c>
      <c r="G32" s="18" t="n">
        <v>25.77928497</v>
      </c>
      <c r="H32" s="20" t="n">
        <v>1.6095592</v>
      </c>
      <c r="I32" s="18" t="n">
        <v>45.27664941</v>
      </c>
      <c r="J32" s="20" t="n">
        <v>1.70733333</v>
      </c>
      <c r="K32" s="18" t="n">
        <v>0</v>
      </c>
      <c r="L32" s="20" t="n">
        <v>0</v>
      </c>
      <c r="M32" s="18" t="n">
        <v>0.24568216</v>
      </c>
      <c r="N32" s="20" t="n">
        <v>0.17307876</v>
      </c>
      <c r="O32" s="18" t="n">
        <v>0.15316731</v>
      </c>
      <c r="P32" s="20" t="n">
        <v>0.14701757</v>
      </c>
      <c r="Q32" s="18" t="n">
        <v>0</v>
      </c>
      <c r="R32" s="20" t="n">
        <v>0</v>
      </c>
      <c r="S32" s="18" t="n">
        <v>4.68983894</v>
      </c>
      <c r="T32" s="20" t="n">
        <v>0.82299875</v>
      </c>
    </row>
    <row r="33" spans="1:20">
      <c r="A33" s="15" t="s">
        <v>455</v>
      </c>
      <c r="B33" s="17" t="n">
        <v>7325</v>
      </c>
      <c r="C33" s="18">
        <f>(6417.0/B33*100)</f>
        <v/>
      </c>
      <c r="D33" s="19" t="n">
        <v>908</v>
      </c>
      <c r="E33" s="18" t="n">
        <v>19.07782921</v>
      </c>
      <c r="F33" s="20" t="n">
        <v>1.55764137</v>
      </c>
      <c r="G33" s="18" t="n">
        <v>18.03453339</v>
      </c>
      <c r="H33" s="20" t="n">
        <v>1.3284219</v>
      </c>
      <c r="I33" s="18" t="n">
        <v>58.33653309</v>
      </c>
      <c r="J33" s="20" t="n">
        <v>1.79111777</v>
      </c>
      <c r="K33" s="18" t="n">
        <v>0</v>
      </c>
      <c r="L33" s="20" t="n">
        <v>0</v>
      </c>
      <c r="M33" s="18" t="n">
        <v>0.33805696</v>
      </c>
      <c r="N33" s="20" t="n">
        <v>0.27310225</v>
      </c>
      <c r="O33" s="18" t="n">
        <v>0</v>
      </c>
      <c r="P33" s="20" t="n">
        <v>0</v>
      </c>
      <c r="Q33" s="18" t="n">
        <v>0</v>
      </c>
      <c r="R33" s="20" t="n">
        <v>0</v>
      </c>
      <c r="S33" s="18" t="n">
        <v>4.21304735</v>
      </c>
      <c r="T33" s="20" t="n">
        <v>0.79862</v>
      </c>
    </row>
    <row r="34" spans="1:20">
      <c r="A34" s="15" t="s">
        <v>456</v>
      </c>
      <c r="B34" s="17" t="n">
        <v>6350</v>
      </c>
      <c r="C34" s="18">
        <f>(5585.0/B34*100)</f>
        <v/>
      </c>
      <c r="D34" s="19" t="n">
        <v>765</v>
      </c>
      <c r="E34" s="18" t="n">
        <v>33.64706475</v>
      </c>
      <c r="F34" s="20" t="n">
        <v>1.91908711</v>
      </c>
      <c r="G34" s="18" t="n">
        <v>27.07432227</v>
      </c>
      <c r="H34" s="20" t="n">
        <v>1.82489794</v>
      </c>
      <c r="I34" s="18" t="n">
        <v>32.54994798</v>
      </c>
      <c r="J34" s="20" t="n">
        <v>1.84709239</v>
      </c>
      <c r="K34" s="18" t="n">
        <v>0</v>
      </c>
      <c r="L34" s="20" t="n">
        <v>0</v>
      </c>
      <c r="M34" s="18" t="n">
        <v>0.17927272</v>
      </c>
      <c r="N34" s="20" t="n">
        <v>0.10077068</v>
      </c>
      <c r="O34" s="18" t="n">
        <v>0</v>
      </c>
      <c r="P34" s="20" t="n">
        <v>0</v>
      </c>
      <c r="Q34" s="18" t="n">
        <v>0</v>
      </c>
      <c r="R34" s="20" t="n">
        <v>0</v>
      </c>
      <c r="S34" s="18" t="n">
        <v>6.54939228</v>
      </c>
      <c r="T34" s="20" t="n">
        <v>0.84898141</v>
      </c>
    </row>
    <row r="35" spans="1:20">
      <c r="A35" s="15" t="s">
        <v>457</v>
      </c>
      <c r="B35" s="17" t="n">
        <v>6406</v>
      </c>
      <c r="C35" s="18">
        <f>(5619.0/B35*100)</f>
        <v/>
      </c>
      <c r="D35" s="19" t="n">
        <v>787</v>
      </c>
      <c r="E35" s="18" t="n">
        <v>18.75063472</v>
      </c>
      <c r="F35" s="20" t="n">
        <v>1.43047659</v>
      </c>
      <c r="G35" s="18" t="n">
        <v>38.09823926</v>
      </c>
      <c r="H35" s="20" t="n">
        <v>1.98702271</v>
      </c>
      <c r="I35" s="18" t="n">
        <v>40.71717275</v>
      </c>
      <c r="J35" s="20" t="n">
        <v>2.29049982</v>
      </c>
      <c r="K35" s="18" t="n">
        <v>0</v>
      </c>
      <c r="L35" s="20" t="n">
        <v>0</v>
      </c>
      <c r="M35" s="18" t="n">
        <v>0</v>
      </c>
      <c r="N35" s="20" t="n">
        <v>0</v>
      </c>
      <c r="O35" s="18" t="n">
        <v>0</v>
      </c>
      <c r="P35" s="20" t="n">
        <v>0</v>
      </c>
      <c r="Q35" s="18" t="n">
        <v>0</v>
      </c>
      <c r="R35" s="20" t="n">
        <v>0</v>
      </c>
      <c r="S35" s="18" t="n">
        <v>2.43395327</v>
      </c>
      <c r="T35" s="20" t="n">
        <v>0.61855247</v>
      </c>
    </row>
    <row r="36" spans="1:20">
      <c r="A36" s="15" t="s">
        <v>458</v>
      </c>
      <c r="B36" s="17" t="n">
        <v>6736</v>
      </c>
      <c r="C36" s="18">
        <f>(5900.0/B36*100)</f>
        <v/>
      </c>
      <c r="D36" s="19" t="n">
        <v>836</v>
      </c>
      <c r="E36" s="18" t="n">
        <v>19.30612255</v>
      </c>
      <c r="F36" s="20" t="n">
        <v>1.57223915</v>
      </c>
      <c r="G36" s="18" t="n">
        <v>34.80774018</v>
      </c>
      <c r="H36" s="20" t="n">
        <v>1.5529706</v>
      </c>
      <c r="I36" s="18" t="n">
        <v>41.6222155</v>
      </c>
      <c r="J36" s="20" t="n">
        <v>1.77776057</v>
      </c>
      <c r="K36" s="18" t="n">
        <v>0</v>
      </c>
      <c r="L36" s="20" t="n">
        <v>0</v>
      </c>
      <c r="M36" s="18" t="n">
        <v>0.28939009</v>
      </c>
      <c r="N36" s="20" t="n">
        <v>0.16902259</v>
      </c>
      <c r="O36" s="18" t="n">
        <v>0.13644654</v>
      </c>
      <c r="P36" s="20" t="n">
        <v>0.14394356</v>
      </c>
      <c r="Q36" s="18" t="n">
        <v>0</v>
      </c>
      <c r="R36" s="20" t="n">
        <v>0</v>
      </c>
      <c r="S36" s="18" t="n">
        <v>3.83808514</v>
      </c>
      <c r="T36" s="20" t="n">
        <v>0.6086260100000001</v>
      </c>
    </row>
    <row r="37" spans="1:20">
      <c r="A37" s="15" t="s">
        <v>459</v>
      </c>
      <c r="B37" s="17" t="n">
        <v>5458</v>
      </c>
      <c r="C37" s="18">
        <f>(4801.0/B37*100)</f>
        <v/>
      </c>
      <c r="D37" s="19" t="n">
        <v>657</v>
      </c>
      <c r="E37" s="18" t="n">
        <v>22.03676334</v>
      </c>
      <c r="F37" s="20" t="n">
        <v>1.61424141</v>
      </c>
      <c r="G37" s="18" t="n">
        <v>39.78097969</v>
      </c>
      <c r="H37" s="20" t="n">
        <v>1.60189346</v>
      </c>
      <c r="I37" s="18" t="n">
        <v>32.7226924</v>
      </c>
      <c r="J37" s="20" t="n">
        <v>1.96741154</v>
      </c>
      <c r="K37" s="18" t="n">
        <v>0</v>
      </c>
      <c r="L37" s="20" t="n">
        <v>0</v>
      </c>
      <c r="M37" s="18" t="n">
        <v>0.48014636</v>
      </c>
      <c r="N37" s="20" t="n">
        <v>0.27674671</v>
      </c>
      <c r="O37" s="18" t="n">
        <v>0</v>
      </c>
      <c r="P37" s="20" t="n">
        <v>0</v>
      </c>
      <c r="Q37" s="18" t="n">
        <v>0</v>
      </c>
      <c r="R37" s="20" t="n">
        <v>0</v>
      </c>
      <c r="S37" s="18" t="n">
        <v>4.9794182</v>
      </c>
      <c r="T37" s="20" t="n">
        <v>0.91483616</v>
      </c>
    </row>
    <row r="38" spans="1:20">
      <c r="A38" s="15" t="s">
        <v>460</v>
      </c>
      <c r="B38" s="17" t="n">
        <v>5860</v>
      </c>
      <c r="C38" s="18">
        <f>(4896.0/B38*100)</f>
        <v/>
      </c>
      <c r="D38" s="19" t="n">
        <v>964</v>
      </c>
      <c r="E38" s="18" t="n">
        <v>33.59212396</v>
      </c>
      <c r="F38" s="20" t="n">
        <v>1.7019691</v>
      </c>
      <c r="G38" s="18" t="n">
        <v>28.37103576</v>
      </c>
      <c r="H38" s="20" t="n">
        <v>1.80623914</v>
      </c>
      <c r="I38" s="18" t="n">
        <v>33.51655196</v>
      </c>
      <c r="J38" s="20" t="n">
        <v>1.64843542</v>
      </c>
      <c r="K38" s="18" t="n">
        <v>0</v>
      </c>
      <c r="L38" s="20" t="n">
        <v>0</v>
      </c>
      <c r="M38" s="18" t="n">
        <v>0.44283283</v>
      </c>
      <c r="N38" s="20" t="n">
        <v>0.21259066</v>
      </c>
      <c r="O38" s="18" t="n">
        <v>0.30415</v>
      </c>
      <c r="P38" s="20" t="n">
        <v>0.18010711</v>
      </c>
      <c r="Q38" s="18" t="n">
        <v>0</v>
      </c>
      <c r="R38" s="20" t="n">
        <v>0</v>
      </c>
      <c r="S38" s="18" t="n">
        <v>3.77330548</v>
      </c>
      <c r="T38" s="20" t="n">
        <v>0.75502148</v>
      </c>
    </row>
    <row r="39" spans="1:20">
      <c r="A39" s="15" t="s">
        <v>461</v>
      </c>
      <c r="B39" s="17" t="n">
        <v>5895</v>
      </c>
      <c r="C39" s="18">
        <f>(5169.0/B39*100)</f>
        <v/>
      </c>
      <c r="D39" s="19" t="n">
        <v>726</v>
      </c>
      <c r="E39" s="18" t="n">
        <v>29.35888518</v>
      </c>
      <c r="F39" s="20" t="n">
        <v>1.84014034</v>
      </c>
      <c r="G39" s="18" t="n">
        <v>25.50990464</v>
      </c>
      <c r="H39" s="20" t="n">
        <v>1.72524456</v>
      </c>
      <c r="I39" s="18" t="n">
        <v>39.7326156</v>
      </c>
      <c r="J39" s="20" t="n">
        <v>1.74165354</v>
      </c>
      <c r="K39" s="18" t="n">
        <v>0</v>
      </c>
      <c r="L39" s="20" t="n">
        <v>0</v>
      </c>
      <c r="M39" s="18" t="n">
        <v>0.13653997</v>
      </c>
      <c r="N39" s="20" t="n">
        <v>0.13679835</v>
      </c>
      <c r="O39" s="18" t="n">
        <v>0.12230302</v>
      </c>
      <c r="P39" s="20" t="n">
        <v>0.1257731</v>
      </c>
      <c r="Q39" s="18" t="n">
        <v>0</v>
      </c>
      <c r="R39" s="20" t="n">
        <v>0</v>
      </c>
      <c r="S39" s="18" t="n">
        <v>5.13975159</v>
      </c>
      <c r="T39" s="20" t="n">
        <v>0.8134338</v>
      </c>
    </row>
    <row r="40" spans="1:20">
      <c r="A40" s="15" t="s">
        <v>462</v>
      </c>
      <c r="B40" s="17" t="n">
        <v>14157</v>
      </c>
      <c r="C40" s="18">
        <f>(12433.0/B40*100)</f>
        <v/>
      </c>
      <c r="D40" s="19" t="n">
        <v>1724</v>
      </c>
      <c r="E40" s="18" t="n">
        <v>20.08464117</v>
      </c>
      <c r="F40" s="20" t="n">
        <v>1.44387933</v>
      </c>
      <c r="G40" s="18" t="n">
        <v>30.01257572</v>
      </c>
      <c r="H40" s="20" t="n">
        <v>1.81641633</v>
      </c>
      <c r="I40" s="18" t="n">
        <v>44.36498663</v>
      </c>
      <c r="J40" s="20" t="n">
        <v>2.03100907</v>
      </c>
      <c r="K40" s="18" t="n">
        <v>0</v>
      </c>
      <c r="L40" s="20" t="n">
        <v>0</v>
      </c>
      <c r="M40" s="18" t="n">
        <v>0.25575238</v>
      </c>
      <c r="N40" s="20" t="n">
        <v>0.14529038</v>
      </c>
      <c r="O40" s="18" t="n">
        <v>0.15549364</v>
      </c>
      <c r="P40" s="20" t="n">
        <v>0.15375247</v>
      </c>
      <c r="Q40" s="18" t="n">
        <v>0</v>
      </c>
      <c r="R40" s="20" t="n">
        <v>0</v>
      </c>
      <c r="S40" s="18" t="n">
        <v>5.12655046</v>
      </c>
      <c r="T40" s="20" t="n">
        <v>0.91336611</v>
      </c>
    </row>
    <row r="41" spans="1:20">
      <c r="A41" s="15" t="s">
        <v>463</v>
      </c>
      <c r="B41" s="17" t="n">
        <v>5712</v>
      </c>
      <c r="C41" s="18">
        <f>(5036.0/B41*100)</f>
        <v/>
      </c>
      <c r="D41" s="19" t="n">
        <v>676</v>
      </c>
      <c r="E41" s="18" t="n">
        <v>18.20526381</v>
      </c>
      <c r="F41" s="20" t="n">
        <v>1.51140339</v>
      </c>
      <c r="G41" s="18" t="n">
        <v>32.23173401</v>
      </c>
      <c r="H41" s="20" t="n">
        <v>1.95582565</v>
      </c>
      <c r="I41" s="18" t="n">
        <v>46.15836377</v>
      </c>
      <c r="J41" s="20" t="n">
        <v>2.25572305</v>
      </c>
      <c r="K41" s="18" t="n">
        <v>0</v>
      </c>
      <c r="L41" s="20" t="n">
        <v>0</v>
      </c>
      <c r="M41" s="18" t="n">
        <v>0.39267677</v>
      </c>
      <c r="N41" s="20" t="n">
        <v>0.23460536</v>
      </c>
      <c r="O41" s="18" t="n">
        <v>0</v>
      </c>
      <c r="P41" s="20" t="n">
        <v>0</v>
      </c>
      <c r="Q41" s="18" t="n">
        <v>0</v>
      </c>
      <c r="R41" s="20" t="n">
        <v>0</v>
      </c>
      <c r="S41" s="18" t="n">
        <v>3.01196165</v>
      </c>
      <c r="T41" s="20" t="n">
        <v>0.70619049</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(20585.0/B46*100)</f>
        <v/>
      </c>
      <c r="D46" s="19" t="n">
        <v>2556</v>
      </c>
      <c r="E46" s="18" t="n">
        <v>26.84809749</v>
      </c>
      <c r="F46" s="20" t="n">
        <v>1.25654014</v>
      </c>
      <c r="G46" s="18" t="n">
        <v>23.22202307</v>
      </c>
      <c r="H46" s="20" t="n">
        <v>1.02195561</v>
      </c>
      <c r="I46" s="18" t="n">
        <v>42.01994878</v>
      </c>
      <c r="J46" s="20" t="n">
        <v>1.31506528</v>
      </c>
      <c r="K46" s="18" t="n">
        <v>0</v>
      </c>
      <c r="L46" s="20" t="n">
        <v>0</v>
      </c>
      <c r="M46" s="18" t="n">
        <v>0.59050573</v>
      </c>
      <c r="N46" s="20" t="n">
        <v>0.241125</v>
      </c>
      <c r="O46" s="18" t="n">
        <v>0.16444258</v>
      </c>
      <c r="P46" s="20" t="n">
        <v>0.07724721</v>
      </c>
      <c r="Q46" s="18" t="n">
        <v>0</v>
      </c>
      <c r="R46" s="20" t="n">
        <v>0</v>
      </c>
      <c r="S46" s="18" t="n">
        <v>7.15498235</v>
      </c>
      <c r="T46" s="20" t="n">
        <v>0.65684926</v>
      </c>
    </row>
    <row r="47" spans="1:20">
      <c r="A47" s="15" t="s">
        <v>470</v>
      </c>
      <c r="B47" s="17" t="n">
        <v>5928</v>
      </c>
      <c r="C47" s="18">
        <f>(5218.0/B47*100)</f>
        <v/>
      </c>
      <c r="D47" s="19" t="n">
        <v>710</v>
      </c>
      <c r="E47" s="18" t="n">
        <v>38.52067381</v>
      </c>
      <c r="F47" s="20" t="n">
        <v>1.9007339</v>
      </c>
      <c r="G47" s="18" t="n">
        <v>22.79969658</v>
      </c>
      <c r="H47" s="20" t="n">
        <v>1.47666993</v>
      </c>
      <c r="I47" s="18" t="n">
        <v>27.53011779</v>
      </c>
      <c r="J47" s="20" t="n">
        <v>1.66678673</v>
      </c>
      <c r="K47" s="18" t="n">
        <v>0</v>
      </c>
      <c r="L47" s="20" t="n">
        <v>0</v>
      </c>
      <c r="M47" s="18" t="n">
        <v>0.41297862</v>
      </c>
      <c r="N47" s="20" t="n">
        <v>0.24027234</v>
      </c>
      <c r="O47" s="18" t="n">
        <v>0</v>
      </c>
      <c r="P47" s="20" t="n">
        <v>0</v>
      </c>
      <c r="Q47" s="18" t="n">
        <v>0</v>
      </c>
      <c r="R47" s="20" t="n">
        <v>0</v>
      </c>
      <c r="S47" s="18" t="n">
        <v>10.7365332</v>
      </c>
      <c r="T47" s="20" t="n">
        <v>1.43608343</v>
      </c>
    </row>
    <row r="48" spans="1:20">
      <c r="A48" s="15" t="s">
        <v>471</v>
      </c>
      <c r="B48" s="17" t="n">
        <v>9841</v>
      </c>
      <c r="C48" s="18">
        <f>(8592.0/B48*100)</f>
        <v/>
      </c>
      <c r="D48" s="19" t="n">
        <v>1249</v>
      </c>
      <c r="E48" s="18" t="n">
        <v>18.135784</v>
      </c>
      <c r="F48" s="20" t="n">
        <v>1.60625523</v>
      </c>
      <c r="G48" s="18" t="n">
        <v>6.40848642</v>
      </c>
      <c r="H48" s="20" t="n">
        <v>1.07072535</v>
      </c>
      <c r="I48" s="18" t="n">
        <v>67.49824762</v>
      </c>
      <c r="J48" s="20" t="n">
        <v>2.09683115</v>
      </c>
      <c r="K48" s="18" t="n">
        <v>0</v>
      </c>
      <c r="L48" s="20" t="n">
        <v>0</v>
      </c>
      <c r="M48" s="18" t="n">
        <v>0.26747923</v>
      </c>
      <c r="N48" s="20" t="n">
        <v>0.20994441</v>
      </c>
      <c r="O48" s="18" t="n">
        <v>0</v>
      </c>
      <c r="P48" s="20" t="n">
        <v>0</v>
      </c>
      <c r="Q48" s="18" t="n">
        <v>0</v>
      </c>
      <c r="R48" s="20" t="n">
        <v>0</v>
      </c>
      <c r="S48" s="18" t="n">
        <v>7.69000273</v>
      </c>
      <c r="T48" s="20" t="n">
        <v>1.02456595</v>
      </c>
    </row>
    <row r="49" spans="1:20">
      <c r="A49" s="15" t="s">
        <v>472</v>
      </c>
      <c r="B49" s="17" t="n">
        <v>11795</v>
      </c>
      <c r="C49" s="18">
        <f>(10389.0/B49*100)</f>
        <v/>
      </c>
      <c r="D49" s="19" t="n">
        <v>1406</v>
      </c>
      <c r="E49" s="18" t="n">
        <v>24.32811886</v>
      </c>
      <c r="F49" s="20" t="n">
        <v>1.2324761</v>
      </c>
      <c r="G49" s="18" t="n">
        <v>27.33559427</v>
      </c>
      <c r="H49" s="20" t="n">
        <v>1.59156022</v>
      </c>
      <c r="I49" s="18" t="n">
        <v>45.16970707</v>
      </c>
      <c r="J49" s="20" t="n">
        <v>1.73148458</v>
      </c>
      <c r="K49" s="18" t="n">
        <v>0</v>
      </c>
      <c r="L49" s="20" t="n">
        <v>0</v>
      </c>
      <c r="M49" s="18" t="n">
        <v>0.91441256</v>
      </c>
      <c r="N49" s="20" t="n">
        <v>0.41035559</v>
      </c>
      <c r="O49" s="18" t="n">
        <v>0.05820398</v>
      </c>
      <c r="P49" s="20" t="n">
        <v>0.05786871</v>
      </c>
      <c r="Q49" s="18" t="n">
        <v>0</v>
      </c>
      <c r="R49" s="20" t="n">
        <v>0</v>
      </c>
      <c r="S49" s="18" t="n">
        <v>2.19396326</v>
      </c>
      <c r="T49" s="20" t="n">
        <v>0.61409896</v>
      </c>
    </row>
    <row r="50" spans="1:20">
      <c r="A50" s="15" t="s">
        <v>473</v>
      </c>
      <c r="B50" s="17" t="n">
        <v>6866</v>
      </c>
      <c r="C50" s="18">
        <f>(6145.0/B50*100)</f>
        <v/>
      </c>
      <c r="D50" s="19" t="n">
        <v>721</v>
      </c>
      <c r="E50" s="18" t="n">
        <v>33.10947373</v>
      </c>
      <c r="F50" s="20" t="n">
        <v>1.79988474</v>
      </c>
      <c r="G50" s="18" t="n">
        <v>25.21729383</v>
      </c>
      <c r="H50" s="20" t="n">
        <v>1.91669842</v>
      </c>
      <c r="I50" s="18" t="n">
        <v>38.91886334</v>
      </c>
      <c r="J50" s="20" t="n">
        <v>1.9100287</v>
      </c>
      <c r="K50" s="18" t="n">
        <v>0</v>
      </c>
      <c r="L50" s="20" t="n">
        <v>0</v>
      </c>
      <c r="M50" s="18" t="n">
        <v>0.39330401</v>
      </c>
      <c r="N50" s="20" t="n">
        <v>0.26232377</v>
      </c>
      <c r="O50" s="18" t="n">
        <v>0</v>
      </c>
      <c r="P50" s="20" t="n">
        <v>0</v>
      </c>
      <c r="Q50" s="18" t="n">
        <v>0</v>
      </c>
      <c r="R50" s="20" t="n">
        <v>0</v>
      </c>
      <c r="S50" s="18" t="n">
        <v>2.36106509</v>
      </c>
      <c r="T50" s="20" t="n">
        <v>0.679916</v>
      </c>
    </row>
    <row r="51" spans="1:20">
      <c r="A51" s="15" t="s">
        <v>474</v>
      </c>
      <c r="B51" s="17" t="n">
        <v>5809</v>
      </c>
      <c r="C51" s="18">
        <f>(5088.0/B51*100)</f>
        <v/>
      </c>
      <c r="D51" s="19" t="n">
        <v>721</v>
      </c>
      <c r="E51" s="18" t="n">
        <v>22.27013224</v>
      </c>
      <c r="F51" s="20" t="n">
        <v>1.63590649</v>
      </c>
      <c r="G51" s="18" t="n">
        <v>28.97356396</v>
      </c>
      <c r="H51" s="20" t="n">
        <v>1.91166256</v>
      </c>
      <c r="I51" s="18" t="n">
        <v>44.23978284</v>
      </c>
      <c r="J51" s="20" t="n">
        <v>1.89075936</v>
      </c>
      <c r="K51" s="18" t="n">
        <v>0</v>
      </c>
      <c r="L51" s="20" t="n">
        <v>0</v>
      </c>
      <c r="M51" s="18" t="n">
        <v>0.15266396</v>
      </c>
      <c r="N51" s="20" t="n">
        <v>0.15238473</v>
      </c>
      <c r="O51" s="18" t="n">
        <v>0</v>
      </c>
      <c r="P51" s="20" t="n">
        <v>0</v>
      </c>
      <c r="Q51" s="18" t="n">
        <v>0</v>
      </c>
      <c r="R51" s="20" t="n">
        <v>0</v>
      </c>
      <c r="S51" s="18" t="n">
        <v>4.363857</v>
      </c>
      <c r="T51" s="20" t="n">
        <v>0.80801967</v>
      </c>
    </row>
    <row r="52" spans="1:20">
      <c r="A52" s="15" t="s">
        <v>475</v>
      </c>
      <c r="B52" s="17" t="n">
        <v>5571</v>
      </c>
      <c r="C52" s="18">
        <f>(4892.0/B52*100)</f>
        <v/>
      </c>
      <c r="D52" s="19" t="n">
        <v>679</v>
      </c>
      <c r="E52" s="18" t="n">
        <v>30.19116643</v>
      </c>
      <c r="F52" s="20" t="n">
        <v>1.53396174</v>
      </c>
      <c r="G52" s="18" t="n">
        <v>16.28120429</v>
      </c>
      <c r="H52" s="20" t="n">
        <v>1.14422559</v>
      </c>
      <c r="I52" s="18" t="n">
        <v>42.48286715</v>
      </c>
      <c r="J52" s="20" t="n">
        <v>1.89567847</v>
      </c>
      <c r="K52" s="18" t="n">
        <v>0</v>
      </c>
      <c r="L52" s="20" t="n">
        <v>0</v>
      </c>
      <c r="M52" s="18" t="n">
        <v>0.33416591</v>
      </c>
      <c r="N52" s="20" t="n">
        <v>0.19137909</v>
      </c>
      <c r="O52" s="18" t="n">
        <v>0</v>
      </c>
      <c r="P52" s="20" t="n">
        <v>0</v>
      </c>
      <c r="Q52" s="18" t="n">
        <v>0</v>
      </c>
      <c r="R52" s="20" t="n">
        <v>0</v>
      </c>
      <c r="S52" s="18" t="n">
        <v>10.71059621</v>
      </c>
      <c r="T52" s="20" t="n">
        <v>1.18810449</v>
      </c>
    </row>
    <row r="53" spans="1:20">
      <c r="A53" s="15" t="s">
        <v>476</v>
      </c>
      <c r="B53" s="17" t="n">
        <v>4740</v>
      </c>
      <c r="C53" s="18">
        <f>(3943.0/B53*100)</f>
        <v/>
      </c>
      <c r="D53" s="19" t="n">
        <v>797</v>
      </c>
      <c r="E53" s="18" t="n">
        <v>19.47996753</v>
      </c>
      <c r="F53" s="20" t="n">
        <v>1.70112661</v>
      </c>
      <c r="G53" s="18" t="n">
        <v>27.53094913</v>
      </c>
      <c r="H53" s="20" t="n">
        <v>1.74876283</v>
      </c>
      <c r="I53" s="18" t="n">
        <v>37.9566888</v>
      </c>
      <c r="J53" s="20" t="n">
        <v>1.93790729</v>
      </c>
      <c r="K53" s="18" t="n">
        <v>0</v>
      </c>
      <c r="L53" s="20" t="n">
        <v>0</v>
      </c>
      <c r="M53" s="18" t="n">
        <v>7.9629968</v>
      </c>
      <c r="N53" s="20" t="n">
        <v>0.9209719200000001</v>
      </c>
      <c r="O53" s="18" t="n">
        <v>0.26151833</v>
      </c>
      <c r="P53" s="20" t="n">
        <v>0.26764959</v>
      </c>
      <c r="Q53" s="18" t="n">
        <v>0</v>
      </c>
      <c r="R53" s="20" t="n">
        <v>0</v>
      </c>
      <c r="S53" s="18" t="n">
        <v>6.80787941</v>
      </c>
      <c r="T53" s="20" t="n">
        <v>1.16678036</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(4690.0/B55*100)</f>
        <v/>
      </c>
      <c r="D55" s="19" t="n">
        <v>669</v>
      </c>
      <c r="E55" s="18" t="n">
        <v>19.17520388</v>
      </c>
      <c r="F55" s="20" t="n">
        <v>1.61549989</v>
      </c>
      <c r="G55" s="18" t="n">
        <v>19.12266256</v>
      </c>
      <c r="H55" s="20" t="n">
        <v>1.50811612</v>
      </c>
      <c r="I55" s="18" t="n">
        <v>58.50895592</v>
      </c>
      <c r="J55" s="20" t="n">
        <v>1.76586598</v>
      </c>
      <c r="K55" s="18" t="n">
        <v>0</v>
      </c>
      <c r="L55" s="20" t="n">
        <v>0</v>
      </c>
      <c r="M55" s="18" t="n">
        <v>0</v>
      </c>
      <c r="N55" s="20" t="n">
        <v>0</v>
      </c>
      <c r="O55" s="18" t="n">
        <v>0</v>
      </c>
      <c r="P55" s="20" t="n">
        <v>0</v>
      </c>
      <c r="Q55" s="18" t="n">
        <v>0</v>
      </c>
      <c r="R55" s="20" t="n">
        <v>0</v>
      </c>
      <c r="S55" s="18" t="n">
        <v>3.19317764</v>
      </c>
      <c r="T55" s="20" t="n">
        <v>0.69095585</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(5741.0/B61*100)</f>
        <v/>
      </c>
      <c r="D61" s="19" t="n">
        <v>784</v>
      </c>
      <c r="E61" s="18" t="n">
        <v>30.3215888</v>
      </c>
      <c r="F61" s="20" t="n">
        <v>1.92688514</v>
      </c>
      <c r="G61" s="18" t="n">
        <v>30.94402335</v>
      </c>
      <c r="H61" s="20" t="n">
        <v>1.65325997</v>
      </c>
      <c r="I61" s="18" t="n">
        <v>33.99359074</v>
      </c>
      <c r="J61" s="20" t="n">
        <v>2.20124338</v>
      </c>
      <c r="K61" s="18" t="n">
        <v>0</v>
      </c>
      <c r="L61" s="20" t="n">
        <v>0</v>
      </c>
      <c r="M61" s="18" t="n">
        <v>0.27568562</v>
      </c>
      <c r="N61" s="20" t="n">
        <v>0.17211168</v>
      </c>
      <c r="O61" s="18" t="n">
        <v>0</v>
      </c>
      <c r="P61" s="20" t="n">
        <v>0</v>
      </c>
      <c r="Q61" s="18" t="n">
        <v>0</v>
      </c>
      <c r="R61" s="20" t="n">
        <v>0</v>
      </c>
      <c r="S61" s="18" t="n">
        <v>4.46511149</v>
      </c>
      <c r="T61" s="20" t="n">
        <v>0.82621299</v>
      </c>
    </row>
    <row r="62" spans="1:20">
      <c r="A62" s="15" t="s">
        <v>486</v>
      </c>
      <c r="B62" s="17" t="n">
        <v>4476</v>
      </c>
      <c r="C62" s="18">
        <f>(3925.0/B62*100)</f>
        <v/>
      </c>
      <c r="D62" s="19" t="n">
        <v>551</v>
      </c>
      <c r="E62" s="18" t="n">
        <v>34.70681481</v>
      </c>
      <c r="F62" s="20" t="n">
        <v>1.96264946</v>
      </c>
      <c r="G62" s="18" t="n">
        <v>11.45533304</v>
      </c>
      <c r="H62" s="20" t="n">
        <v>1.31221925</v>
      </c>
      <c r="I62" s="18" t="n">
        <v>52.39142699</v>
      </c>
      <c r="J62" s="20" t="n">
        <v>2.3324505</v>
      </c>
      <c r="K62" s="18" t="n">
        <v>0</v>
      </c>
      <c r="L62" s="20" t="n">
        <v>0</v>
      </c>
      <c r="M62" s="18" t="n">
        <v>0</v>
      </c>
      <c r="N62" s="20" t="n">
        <v>0</v>
      </c>
      <c r="O62" s="18" t="n">
        <v>0</v>
      </c>
      <c r="P62" s="20" t="n">
        <v>0</v>
      </c>
      <c r="Q62" s="18" t="n">
        <v>0</v>
      </c>
      <c r="R62" s="20" t="n">
        <v>0</v>
      </c>
      <c r="S62" s="18" t="n">
        <v>1.44642516</v>
      </c>
      <c r="T62" s="20" t="n">
        <v>0.51895811</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(4981.0/B67*100)</f>
        <v/>
      </c>
      <c r="D67" s="19" t="n">
        <v>684</v>
      </c>
      <c r="E67" s="18" t="n">
        <v>29.02958386</v>
      </c>
      <c r="F67" s="20" t="n">
        <v>1.84681892</v>
      </c>
      <c r="G67" s="18" t="n">
        <v>15.48389927</v>
      </c>
      <c r="H67" s="20" t="n">
        <v>1.31741463</v>
      </c>
      <c r="I67" s="18" t="n">
        <v>42.34228715</v>
      </c>
      <c r="J67" s="20" t="n">
        <v>2.08178579</v>
      </c>
      <c r="K67" s="18" t="n">
        <v>0</v>
      </c>
      <c r="L67" s="20" t="n">
        <v>0</v>
      </c>
      <c r="M67" s="18" t="n">
        <v>1.15135377</v>
      </c>
      <c r="N67" s="20" t="n">
        <v>0.4114215</v>
      </c>
      <c r="O67" s="18" t="n">
        <v>0.25767061</v>
      </c>
      <c r="P67" s="20" t="n">
        <v>0.1800844</v>
      </c>
      <c r="Q67" s="18" t="n">
        <v>0</v>
      </c>
      <c r="R67" s="20" t="n">
        <v>0</v>
      </c>
      <c r="S67" s="18" t="n">
        <v>11.73520533</v>
      </c>
      <c r="T67" s="20" t="n">
        <v>1.16347954</v>
      </c>
    </row>
    <row r="68" spans="1:20">
      <c r="A68" s="15" t="s">
        <v>492</v>
      </c>
      <c r="B68" s="17" t="n">
        <v>6971</v>
      </c>
      <c r="C68" s="18">
        <f>(6191.0/B68*100)</f>
        <v/>
      </c>
      <c r="D68" s="19" t="n">
        <v>780</v>
      </c>
      <c r="E68" s="18" t="n">
        <v>41.56235966</v>
      </c>
      <c r="F68" s="20" t="n">
        <v>1.65946961</v>
      </c>
      <c r="G68" s="18" t="n">
        <v>28.15657221</v>
      </c>
      <c r="H68" s="20" t="n">
        <v>1.43451482</v>
      </c>
      <c r="I68" s="18" t="n">
        <v>24.56012682</v>
      </c>
      <c r="J68" s="20" t="n">
        <v>1.67230127</v>
      </c>
      <c r="K68" s="18" t="n">
        <v>0</v>
      </c>
      <c r="L68" s="20" t="n">
        <v>0</v>
      </c>
      <c r="M68" s="18" t="n">
        <v>0.41337638</v>
      </c>
      <c r="N68" s="20" t="n">
        <v>0.24461204</v>
      </c>
      <c r="O68" s="18" t="n">
        <v>0.26915346</v>
      </c>
      <c r="P68" s="20" t="n">
        <v>0.1911588</v>
      </c>
      <c r="Q68" s="18" t="n">
        <v>0</v>
      </c>
      <c r="R68" s="20" t="n">
        <v>0</v>
      </c>
      <c r="S68" s="18" t="n">
        <v>5.03841147</v>
      </c>
      <c r="T68" s="20" t="n">
        <v>0.7027426</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(10065.0/B70*100)</f>
        <v/>
      </c>
      <c r="D70" s="19" t="n">
        <v>2018</v>
      </c>
      <c r="E70" s="18" t="n">
        <v>42.88057855</v>
      </c>
      <c r="F70" s="20" t="n">
        <v>1.11864191</v>
      </c>
      <c r="G70" s="18" t="n">
        <v>25.19436756</v>
      </c>
      <c r="H70" s="20" t="n">
        <v>0.85837159</v>
      </c>
      <c r="I70" s="18" t="n">
        <v>23.0897151</v>
      </c>
      <c r="J70" s="20" t="n">
        <v>1.01423965</v>
      </c>
      <c r="K70" s="18" t="n">
        <v>0</v>
      </c>
      <c r="L70" s="20" t="n">
        <v>0</v>
      </c>
      <c r="M70" s="18" t="n">
        <v>1.88870955</v>
      </c>
      <c r="N70" s="20" t="n">
        <v>0.31884337</v>
      </c>
      <c r="O70" s="18" t="n">
        <v>0.04950039</v>
      </c>
      <c r="P70" s="20" t="n">
        <v>0.04941281</v>
      </c>
      <c r="Q70" s="18" t="n">
        <v>0</v>
      </c>
      <c r="R70" s="20" t="n">
        <v>0</v>
      </c>
      <c r="S70" s="18" t="n">
        <v>6.89712885</v>
      </c>
      <c r="T70" s="20" t="n">
        <v>0.59160474</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(5307.0/B72*100)</f>
        <v/>
      </c>
      <c r="D72" s="19" t="n">
        <v>729</v>
      </c>
      <c r="E72" s="18" t="n">
        <v>24.75416815</v>
      </c>
      <c r="F72" s="20" t="n">
        <v>1.60395433</v>
      </c>
      <c r="G72" s="18" t="n">
        <v>26.21836165</v>
      </c>
      <c r="H72" s="20" t="n">
        <v>1.4217613</v>
      </c>
      <c r="I72" s="18" t="n">
        <v>43.88689765</v>
      </c>
      <c r="J72" s="20" t="n">
        <v>1.78969271</v>
      </c>
      <c r="K72" s="18" t="n">
        <v>0</v>
      </c>
      <c r="L72" s="20" t="n">
        <v>0</v>
      </c>
      <c r="M72" s="18" t="n">
        <v>0</v>
      </c>
      <c r="N72" s="20" t="n">
        <v>0</v>
      </c>
      <c r="O72" s="18" t="n">
        <v>0.19147975</v>
      </c>
      <c r="P72" s="20" t="n">
        <v>0.13746475</v>
      </c>
      <c r="Q72" s="18" t="n">
        <v>0</v>
      </c>
      <c r="R72" s="20" t="n">
        <v>0</v>
      </c>
      <c r="S72" s="18" t="n">
        <v>4.9490928</v>
      </c>
      <c r="T72" s="20" t="n">
        <v>0.85468976</v>
      </c>
    </row>
    <row r="73" spans="1:20">
      <c r="A73" s="15" t="s">
        <v>497</v>
      </c>
      <c r="B73" s="17" t="n">
        <v>6115</v>
      </c>
      <c r="C73" s="18">
        <f>(5356.0/B73*100)</f>
        <v/>
      </c>
      <c r="D73" s="19" t="n">
        <v>759</v>
      </c>
      <c r="E73" s="18" t="n">
        <v>19.04787505</v>
      </c>
      <c r="F73" s="20" t="n">
        <v>1.4337229</v>
      </c>
      <c r="G73" s="18" t="n">
        <v>33.28421095</v>
      </c>
      <c r="H73" s="20" t="n">
        <v>1.66493867</v>
      </c>
      <c r="I73" s="18" t="n">
        <v>45.65230889</v>
      </c>
      <c r="J73" s="20" t="n">
        <v>1.67106714</v>
      </c>
      <c r="K73" s="18" t="n">
        <v>0</v>
      </c>
      <c r="L73" s="20" t="n">
        <v>0</v>
      </c>
      <c r="M73" s="18" t="n">
        <v>0.12140006</v>
      </c>
      <c r="N73" s="20" t="n">
        <v>0.12139007</v>
      </c>
      <c r="O73" s="18" t="n">
        <v>0.06889099999999999</v>
      </c>
      <c r="P73" s="20" t="n">
        <v>0.06912153</v>
      </c>
      <c r="Q73" s="18" t="n">
        <v>0</v>
      </c>
      <c r="R73" s="20" t="n">
        <v>0</v>
      </c>
      <c r="S73" s="18" t="n">
        <v>1.82531405</v>
      </c>
      <c r="T73" s="20" t="n">
        <v>0.38222372</v>
      </c>
    </row>
    <row r="74" spans="1:20">
      <c r="A74" s="15" t="s">
        <v>498</v>
      </c>
      <c r="B74" s="17" t="n">
        <v>7708</v>
      </c>
      <c r="C74" s="18">
        <f>(6762.0/B74*100)</f>
        <v/>
      </c>
      <c r="D74" s="19" t="n">
        <v>946</v>
      </c>
      <c r="E74" s="18" t="n">
        <v>25.66212158</v>
      </c>
      <c r="F74" s="20" t="n">
        <v>1.31850933</v>
      </c>
      <c r="G74" s="18" t="n">
        <v>10.42676786</v>
      </c>
      <c r="H74" s="20" t="n">
        <v>1.06689406</v>
      </c>
      <c r="I74" s="18" t="n">
        <v>60.08664322</v>
      </c>
      <c r="J74" s="20" t="n">
        <v>1.46969179</v>
      </c>
      <c r="K74" s="18" t="n">
        <v>0</v>
      </c>
      <c r="L74" s="20" t="n">
        <v>0</v>
      </c>
      <c r="M74" s="18" t="n">
        <v>0.43542086</v>
      </c>
      <c r="N74" s="20" t="n">
        <v>0.22399355</v>
      </c>
      <c r="O74" s="18" t="n">
        <v>0</v>
      </c>
      <c r="P74" s="20" t="n">
        <v>0</v>
      </c>
      <c r="Q74" s="18" t="n">
        <v>0</v>
      </c>
      <c r="R74" s="20" t="n">
        <v>0</v>
      </c>
      <c r="S74" s="18" t="n">
        <v>3.38904648</v>
      </c>
      <c r="T74" s="20" t="n">
        <v>0.61589851</v>
      </c>
    </row>
    <row r="75" spans="1:20">
      <c r="A75" s="15" t="s">
        <v>499</v>
      </c>
      <c r="B75" s="17" t="n">
        <v>8249</v>
      </c>
      <c r="C75" s="18">
        <f>(7267.0/B75*100)</f>
        <v/>
      </c>
      <c r="D75" s="19" t="n">
        <v>982</v>
      </c>
      <c r="E75" s="18" t="n">
        <v>37.23621743</v>
      </c>
      <c r="F75" s="20" t="n">
        <v>2.05689714</v>
      </c>
      <c r="G75" s="18" t="n">
        <v>29.81245464</v>
      </c>
      <c r="H75" s="20" t="n">
        <v>1.6485951</v>
      </c>
      <c r="I75" s="18" t="n">
        <v>29.92667034</v>
      </c>
      <c r="J75" s="20" t="n">
        <v>1.95445696</v>
      </c>
      <c r="K75" s="18" t="n">
        <v>0</v>
      </c>
      <c r="L75" s="20" t="n">
        <v>0</v>
      </c>
      <c r="M75" s="18" t="n">
        <v>0.00581506</v>
      </c>
      <c r="N75" s="20" t="n">
        <v>0.00585112</v>
      </c>
      <c r="O75" s="18" t="n">
        <v>0.35258691</v>
      </c>
      <c r="P75" s="20" t="n">
        <v>0.30313867</v>
      </c>
      <c r="Q75" s="18" t="n">
        <v>0</v>
      </c>
      <c r="R75" s="20" t="n">
        <v>0</v>
      </c>
      <c r="S75" s="18" t="n">
        <v>2.66625561</v>
      </c>
      <c r="T75" s="20" t="n">
        <v>0.75240112</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(4782.0/B77*100)</f>
        <v/>
      </c>
      <c r="D77" s="19" t="n">
        <v>593</v>
      </c>
      <c r="E77" s="18" t="n">
        <v>39.45552592</v>
      </c>
      <c r="F77" s="20" t="n">
        <v>1.95930049</v>
      </c>
      <c r="G77" s="18" t="n">
        <v>20.70668453</v>
      </c>
      <c r="H77" s="20" t="n">
        <v>2.11532676</v>
      </c>
      <c r="I77" s="18" t="n">
        <v>25.61264633</v>
      </c>
      <c r="J77" s="20" t="n">
        <v>1.7496149</v>
      </c>
      <c r="K77" s="18" t="n">
        <v>0</v>
      </c>
      <c r="L77" s="20" t="n">
        <v>0</v>
      </c>
      <c r="M77" s="18" t="n">
        <v>2.54175546</v>
      </c>
      <c r="N77" s="20" t="n">
        <v>0.6297233</v>
      </c>
      <c r="O77" s="18" t="n">
        <v>0.6428346700000001</v>
      </c>
      <c r="P77" s="20" t="n">
        <v>0.31968129</v>
      </c>
      <c r="Q77" s="18" t="n">
        <v>0</v>
      </c>
      <c r="R77" s="20" t="n">
        <v>0</v>
      </c>
      <c r="S77" s="18" t="n">
        <v>11.04055309</v>
      </c>
      <c r="T77" s="20" t="n">
        <v>1.69287325</v>
      </c>
    </row>
    <row r="78" spans="1:20">
      <c r="A78" s="15" t="s">
        <v>502</v>
      </c>
      <c r="B78" s="17" t="n">
        <v>14167</v>
      </c>
      <c r="C78" s="18">
        <f>(12442.0/B78*100)</f>
        <v/>
      </c>
      <c r="D78" s="19" t="n">
        <v>1725</v>
      </c>
      <c r="E78" s="18" t="n">
        <v>32.20513181</v>
      </c>
      <c r="F78" s="20" t="n">
        <v>1.35699403</v>
      </c>
      <c r="G78" s="18" t="n">
        <v>29.99721184</v>
      </c>
      <c r="H78" s="20" t="n">
        <v>1.21477969</v>
      </c>
      <c r="I78" s="18" t="n">
        <v>33.86454168</v>
      </c>
      <c r="J78" s="20" t="n">
        <v>1.5093016</v>
      </c>
      <c r="K78" s="18" t="n">
        <v>0</v>
      </c>
      <c r="L78" s="20" t="n">
        <v>0</v>
      </c>
      <c r="M78" s="18" t="n">
        <v>0.4626098</v>
      </c>
      <c r="N78" s="20" t="n">
        <v>0.17522023</v>
      </c>
      <c r="O78" s="18" t="n">
        <v>0.20417267</v>
      </c>
      <c r="P78" s="20" t="n">
        <v>0.11730913</v>
      </c>
      <c r="Q78" s="18" t="n">
        <v>0</v>
      </c>
      <c r="R78" s="20" t="n">
        <v>0</v>
      </c>
      <c r="S78" s="18" t="n">
        <v>3.26633219</v>
      </c>
      <c r="T78" s="20" t="n">
        <v>0.5138868</v>
      </c>
    </row>
    <row r="79" spans="1:20">
      <c r="A79" s="15" t="s">
        <v>503</v>
      </c>
      <c r="B79" s="17" t="n">
        <v>6062</v>
      </c>
      <c r="C79" s="18">
        <f>(5363.0/B79*100)</f>
        <v/>
      </c>
      <c r="D79" s="19" t="n">
        <v>699</v>
      </c>
      <c r="E79" s="18" t="n">
        <v>23.69527412</v>
      </c>
      <c r="F79" s="20" t="n">
        <v>1.79869218</v>
      </c>
      <c r="G79" s="18" t="n">
        <v>34.04922986</v>
      </c>
      <c r="H79" s="20" t="n">
        <v>2.01310187</v>
      </c>
      <c r="I79" s="18" t="n">
        <v>32.95695697</v>
      </c>
      <c r="J79" s="20" t="n">
        <v>1.72116888</v>
      </c>
      <c r="K79" s="18" t="n">
        <v>0</v>
      </c>
      <c r="L79" s="20" t="n">
        <v>0</v>
      </c>
      <c r="M79" s="18" t="n">
        <v>1.17145933</v>
      </c>
      <c r="N79" s="20" t="n">
        <v>0.44039583</v>
      </c>
      <c r="O79" s="18" t="n">
        <v>0.19924402</v>
      </c>
      <c r="P79" s="20" t="n">
        <v>0.19835256</v>
      </c>
      <c r="Q79" s="18" t="n">
        <v>0</v>
      </c>
      <c r="R79" s="20" t="n">
        <v>0</v>
      </c>
      <c r="S79" s="18" t="n">
        <v>7.92783568</v>
      </c>
      <c r="T79" s="20" t="n">
        <v>0.96216536</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(28394.0/B82*100)</f>
        <v/>
      </c>
      <c r="D82" s="19" t="n">
        <v>3936</v>
      </c>
      <c r="E82" s="18" t="n">
        <v>19.97408703</v>
      </c>
      <c r="F82" s="20" t="n">
        <v>0.95570982</v>
      </c>
      <c r="G82" s="18" t="n">
        <v>34.66072885</v>
      </c>
      <c r="H82" s="20" t="n">
        <v>0.96883935</v>
      </c>
      <c r="I82" s="18" t="n">
        <v>41.60831699</v>
      </c>
      <c r="J82" s="20" t="n">
        <v>1.02509864</v>
      </c>
      <c r="K82" s="18" t="n">
        <v>0</v>
      </c>
      <c r="L82" s="20" t="n">
        <v>0</v>
      </c>
      <c r="M82" s="18" t="n">
        <v>0.21054647</v>
      </c>
      <c r="N82" s="20" t="n">
        <v>0.10170858</v>
      </c>
      <c r="O82" s="18" t="n">
        <v>0.17131058</v>
      </c>
      <c r="P82" s="20" t="n">
        <v>0.12500463</v>
      </c>
      <c r="Q82" s="18" t="n">
        <v>0</v>
      </c>
      <c r="R82" s="20" t="n">
        <v>0</v>
      </c>
      <c r="S82" s="18" t="n">
        <v>3.37501009</v>
      </c>
      <c r="T82" s="20" t="n">
        <v>0.44325677</v>
      </c>
    </row>
    <row r="83" spans="1:20">
      <c r="A83" s="15" t="s">
        <v>507</v>
      </c>
      <c r="B83" s="17" t="n">
        <v>1652</v>
      </c>
      <c r="C83" s="18">
        <f>(1458.0/B83*100)</f>
        <v/>
      </c>
      <c r="D83" s="19" t="n">
        <v>194</v>
      </c>
      <c r="E83" s="18" t="n">
        <v>20.74896616</v>
      </c>
      <c r="F83" s="20" t="n">
        <v>3.61367565</v>
      </c>
      <c r="G83" s="18" t="n">
        <v>33.60762713</v>
      </c>
      <c r="H83" s="20" t="n">
        <v>3.8129775</v>
      </c>
      <c r="I83" s="18" t="n">
        <v>44.67718638</v>
      </c>
      <c r="J83" s="20" t="n">
        <v>3.21332191</v>
      </c>
      <c r="K83" s="18" t="n">
        <v>0</v>
      </c>
      <c r="L83" s="20" t="n">
        <v>0</v>
      </c>
      <c r="M83" s="18" t="n">
        <v>0</v>
      </c>
      <c r="N83" s="20" t="n">
        <v>0</v>
      </c>
      <c r="O83" s="18" t="n">
        <v>0</v>
      </c>
      <c r="P83" s="20" t="n">
        <v>0</v>
      </c>
      <c r="Q83" s="18" t="n">
        <v>0</v>
      </c>
      <c r="R83" s="20" t="n">
        <v>0</v>
      </c>
      <c r="S83" s="18" t="n">
        <v>0.96622034</v>
      </c>
      <c r="T83" s="20" t="n">
        <v>0.6825679100000001</v>
      </c>
    </row>
    <row r="84" spans="1:20">
      <c r="A84" s="23" t="s">
        <v>508</v>
      </c>
      <c r="B84" s="24" t="n">
        <v>1887</v>
      </c>
      <c r="C84" s="25">
        <f>(1652.0/B84*100)</f>
        <v/>
      </c>
      <c r="D84" s="19" t="n">
        <v>235</v>
      </c>
      <c r="E84" s="18" t="n">
        <v>23.6516383</v>
      </c>
      <c r="F84" s="20" t="n">
        <v>2.48467148</v>
      </c>
      <c r="G84" s="18" t="n">
        <v>35.97256376</v>
      </c>
      <c r="H84" s="20" t="n">
        <v>3.28884348</v>
      </c>
      <c r="I84" s="18" t="n">
        <v>38.67033434</v>
      </c>
      <c r="J84" s="20" t="n">
        <v>3.89841643</v>
      </c>
      <c r="K84" s="18" t="n">
        <v>0</v>
      </c>
      <c r="L84" s="20" t="n">
        <v>0</v>
      </c>
      <c r="M84" s="18" t="n">
        <v>0</v>
      </c>
      <c r="N84" s="20" t="n">
        <v>0</v>
      </c>
      <c r="O84" s="18" t="n">
        <v>0</v>
      </c>
      <c r="P84" s="20" t="n">
        <v>0</v>
      </c>
      <c r="Q84" s="18" t="n">
        <v>0</v>
      </c>
      <c r="R84" s="20" t="n">
        <v>0</v>
      </c>
      <c r="S84" s="18" t="n">
        <v>1.7054636</v>
      </c>
      <c r="T84" s="20" t="n">
        <v>0.84689219</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526</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(12715.0/B7*100)</f>
        <v/>
      </c>
      <c r="D7" s="19" t="n">
        <v>1815</v>
      </c>
      <c r="E7" s="18" t="n">
        <v>21.07222468</v>
      </c>
      <c r="F7" s="20" t="n">
        <v>0.93788762</v>
      </c>
      <c r="G7" s="18" t="n">
        <v>12.98690526</v>
      </c>
      <c r="H7" s="20" t="n">
        <v>0.98472382</v>
      </c>
      <c r="I7" s="18" t="n">
        <v>60.14778255</v>
      </c>
      <c r="J7" s="20" t="n">
        <v>1.21864883</v>
      </c>
      <c r="K7" s="18" t="n">
        <v>0</v>
      </c>
      <c r="L7" s="20" t="n">
        <v>0</v>
      </c>
      <c r="M7" s="18" t="n">
        <v>0.12752063</v>
      </c>
      <c r="N7" s="20" t="n">
        <v>0.10136012</v>
      </c>
      <c r="O7" s="18" t="n">
        <v>0.02211927</v>
      </c>
      <c r="P7" s="20" t="n">
        <v>0.01299207</v>
      </c>
      <c r="Q7" s="18" t="n">
        <v>0</v>
      </c>
      <c r="R7" s="20" t="n">
        <v>0</v>
      </c>
      <c r="S7" s="18" t="n">
        <v>5.64344763</v>
      </c>
      <c r="T7" s="20" t="n">
        <v>0.57490765</v>
      </c>
    </row>
    <row r="8" spans="1:20">
      <c r="A8" s="15" t="s">
        <v>430</v>
      </c>
      <c r="B8" s="17" t="n">
        <v>7007</v>
      </c>
      <c r="C8" s="18">
        <f>(6160.0/B8*100)</f>
        <v/>
      </c>
      <c r="D8" s="19" t="n">
        <v>847</v>
      </c>
      <c r="E8" s="18" t="n">
        <v>21.80540955</v>
      </c>
      <c r="F8" s="20" t="n">
        <v>1.29028537</v>
      </c>
      <c r="G8" s="18" t="n">
        <v>13.63237732</v>
      </c>
      <c r="H8" s="20" t="n">
        <v>1.32345675</v>
      </c>
      <c r="I8" s="18" t="n">
        <v>56.56770099</v>
      </c>
      <c r="J8" s="20" t="n">
        <v>1.80270325</v>
      </c>
      <c r="K8" s="18" t="n">
        <v>0</v>
      </c>
      <c r="L8" s="20" t="n">
        <v>0</v>
      </c>
      <c r="M8" s="18" t="n">
        <v>0.06482263000000001</v>
      </c>
      <c r="N8" s="20" t="n">
        <v>0.06425456</v>
      </c>
      <c r="O8" s="18" t="n">
        <v>0</v>
      </c>
      <c r="P8" s="20" t="n">
        <v>0</v>
      </c>
      <c r="Q8" s="18" t="n">
        <v>0</v>
      </c>
      <c r="R8" s="20" t="n">
        <v>0</v>
      </c>
      <c r="S8" s="18" t="n">
        <v>7.9296895</v>
      </c>
      <c r="T8" s="20" t="n">
        <v>0.9173783</v>
      </c>
    </row>
    <row r="9" spans="1:20">
      <c r="A9" s="15" t="s">
        <v>431</v>
      </c>
      <c r="B9" s="17" t="n">
        <v>9651</v>
      </c>
      <c r="C9" s="18">
        <f>(8497.0/B9*100)</f>
        <v/>
      </c>
      <c r="D9" s="19" t="n">
        <v>1154</v>
      </c>
      <c r="E9" s="18" t="n">
        <v>16.44722886</v>
      </c>
      <c r="F9" s="20" t="n">
        <v>1.07641159</v>
      </c>
      <c r="G9" s="18" t="n">
        <v>16.75586562</v>
      </c>
      <c r="H9" s="20" t="n">
        <v>1.07216412</v>
      </c>
      <c r="I9" s="18" t="n">
        <v>58.39524749</v>
      </c>
      <c r="J9" s="20" t="n">
        <v>1.50414711</v>
      </c>
      <c r="K9" s="18" t="n">
        <v>0</v>
      </c>
      <c r="L9" s="20" t="n">
        <v>0</v>
      </c>
      <c r="M9" s="18" t="n">
        <v>0.0775748</v>
      </c>
      <c r="N9" s="20" t="n">
        <v>0.07494836000000001</v>
      </c>
      <c r="O9" s="18" t="n">
        <v>0.33404121</v>
      </c>
      <c r="P9" s="20" t="n">
        <v>0.15122683</v>
      </c>
      <c r="Q9" s="18" t="n">
        <v>0</v>
      </c>
      <c r="R9" s="20" t="n">
        <v>0</v>
      </c>
      <c r="S9" s="18" t="n">
        <v>7.99004201</v>
      </c>
      <c r="T9" s="20" t="n">
        <v>0.75149907</v>
      </c>
    </row>
    <row r="10" spans="1:20">
      <c r="A10" s="15" t="s">
        <v>432</v>
      </c>
      <c r="B10" s="17" t="n">
        <v>20058</v>
      </c>
      <c r="C10" s="18">
        <f>(17620.0/B10*100)</f>
        <v/>
      </c>
      <c r="D10" s="19" t="n">
        <v>2438</v>
      </c>
      <c r="E10" s="18" t="n">
        <v>12.86625471</v>
      </c>
      <c r="F10" s="20" t="n">
        <v>0.9695162899999999</v>
      </c>
      <c r="G10" s="18" t="n">
        <v>13.56306575</v>
      </c>
      <c r="H10" s="20" t="n">
        <v>1.13252754</v>
      </c>
      <c r="I10" s="18" t="n">
        <v>69.60129070000001</v>
      </c>
      <c r="J10" s="20" t="n">
        <v>1.36370385</v>
      </c>
      <c r="K10" s="18" t="n">
        <v>0</v>
      </c>
      <c r="L10" s="20" t="n">
        <v>0</v>
      </c>
      <c r="M10" s="18" t="n">
        <v>0.24294242</v>
      </c>
      <c r="N10" s="20" t="n">
        <v>0.14839207</v>
      </c>
      <c r="O10" s="18" t="n">
        <v>0.08401707999999999</v>
      </c>
      <c r="P10" s="20" t="n">
        <v>0.0851924</v>
      </c>
      <c r="Q10" s="18" t="n">
        <v>0</v>
      </c>
      <c r="R10" s="20" t="n">
        <v>0</v>
      </c>
      <c r="S10" s="18" t="n">
        <v>3.64242934</v>
      </c>
      <c r="T10" s="20" t="n">
        <v>0.57505108</v>
      </c>
    </row>
    <row r="11" spans="1:20">
      <c r="A11" s="15" t="s">
        <v>433</v>
      </c>
      <c r="B11" s="17" t="n">
        <v>7053</v>
      </c>
      <c r="C11" s="18">
        <f>(6195.0/B11*100)</f>
        <v/>
      </c>
      <c r="D11" s="19" t="n">
        <v>858</v>
      </c>
      <c r="E11" s="18" t="n">
        <v>13.7523596</v>
      </c>
      <c r="F11" s="20" t="n">
        <v>1.23573172</v>
      </c>
      <c r="G11" s="18" t="n">
        <v>8.318272909999999</v>
      </c>
      <c r="H11" s="20" t="n">
        <v>1.03847395</v>
      </c>
      <c r="I11" s="18" t="n">
        <v>70.45006042</v>
      </c>
      <c r="J11" s="20" t="n">
        <v>1.8700755</v>
      </c>
      <c r="K11" s="18" t="n">
        <v>0</v>
      </c>
      <c r="L11" s="20" t="n">
        <v>0</v>
      </c>
      <c r="M11" s="18" t="n">
        <v>0.6425791199999999</v>
      </c>
      <c r="N11" s="20" t="n">
        <v>0.39079913</v>
      </c>
      <c r="O11" s="18" t="n">
        <v>0</v>
      </c>
      <c r="P11" s="20" t="n">
        <v>0</v>
      </c>
      <c r="Q11" s="18" t="n">
        <v>0</v>
      </c>
      <c r="R11" s="20" t="n">
        <v>0</v>
      </c>
      <c r="S11" s="18" t="n">
        <v>6.83672795</v>
      </c>
      <c r="T11" s="20" t="n">
        <v>1.11989842</v>
      </c>
    </row>
    <row r="12" spans="1:20">
      <c r="A12" s="15" t="s">
        <v>434</v>
      </c>
      <c r="B12" s="17" t="n">
        <v>6894</v>
      </c>
      <c r="C12" s="18">
        <f>(6057.0/B12*100)</f>
        <v/>
      </c>
      <c r="D12" s="19" t="n">
        <v>837</v>
      </c>
      <c r="E12" s="18" t="n">
        <v>19.53752163</v>
      </c>
      <c r="F12" s="20" t="n">
        <v>1.58852349</v>
      </c>
      <c r="G12" s="18" t="n">
        <v>11.55776649</v>
      </c>
      <c r="H12" s="20" t="n">
        <v>1.15946919</v>
      </c>
      <c r="I12" s="18" t="n">
        <v>56.68575804</v>
      </c>
      <c r="J12" s="20" t="n">
        <v>1.71630173</v>
      </c>
      <c r="K12" s="18" t="n">
        <v>0</v>
      </c>
      <c r="L12" s="20" t="n">
        <v>0</v>
      </c>
      <c r="M12" s="18" t="n">
        <v>0</v>
      </c>
      <c r="N12" s="20" t="n">
        <v>0</v>
      </c>
      <c r="O12" s="18" t="n">
        <v>0.06970643999999999</v>
      </c>
      <c r="P12" s="20" t="n">
        <v>0.09391724999999999</v>
      </c>
      <c r="Q12" s="18" t="n">
        <v>0</v>
      </c>
      <c r="R12" s="20" t="n">
        <v>0</v>
      </c>
      <c r="S12" s="18" t="n">
        <v>12.14924739</v>
      </c>
      <c r="T12" s="20" t="n">
        <v>1.25900307</v>
      </c>
    </row>
    <row r="13" spans="1:20">
      <c r="A13" s="15" t="s">
        <v>435</v>
      </c>
      <c r="B13" s="17" t="n">
        <v>7161</v>
      </c>
      <c r="C13" s="18">
        <f>(6333.0/B13*100)</f>
        <v/>
      </c>
      <c r="D13" s="19" t="n">
        <v>828</v>
      </c>
      <c r="E13" s="18" t="n">
        <v>19.07708221</v>
      </c>
      <c r="F13" s="20" t="n">
        <v>1.79040609</v>
      </c>
      <c r="G13" s="18" t="n">
        <v>36.86845607</v>
      </c>
      <c r="H13" s="20" t="n">
        <v>2.16055072</v>
      </c>
      <c r="I13" s="18" t="n">
        <v>37.54757683</v>
      </c>
      <c r="J13" s="20" t="n">
        <v>2.22085251</v>
      </c>
      <c r="K13" s="18" t="n">
        <v>0</v>
      </c>
      <c r="L13" s="20" t="n">
        <v>0</v>
      </c>
      <c r="M13" s="18" t="n">
        <v>0.2987986</v>
      </c>
      <c r="N13" s="20" t="n">
        <v>0.12167195</v>
      </c>
      <c r="O13" s="18" t="n">
        <v>0</v>
      </c>
      <c r="P13" s="20" t="n">
        <v>0</v>
      </c>
      <c r="Q13" s="18" t="n">
        <v>0</v>
      </c>
      <c r="R13" s="20" t="n">
        <v>0</v>
      </c>
      <c r="S13" s="18" t="n">
        <v>6.20808629</v>
      </c>
      <c r="T13" s="20" t="n">
        <v>0.92246864</v>
      </c>
    </row>
    <row r="14" spans="1:20">
      <c r="A14" s="15" t="s">
        <v>436</v>
      </c>
      <c r="B14" s="17" t="n">
        <v>5587</v>
      </c>
      <c r="C14" s="18">
        <f>(4914.0/B14*100)</f>
        <v/>
      </c>
      <c r="D14" s="19" t="n">
        <v>673</v>
      </c>
      <c r="E14" s="18" t="n">
        <v>14.10764618</v>
      </c>
      <c r="F14" s="20" t="n">
        <v>1.49156757</v>
      </c>
      <c r="G14" s="18" t="n">
        <v>15.73120286</v>
      </c>
      <c r="H14" s="20" t="n">
        <v>1.49312158</v>
      </c>
      <c r="I14" s="18" t="n">
        <v>67.65740469000001</v>
      </c>
      <c r="J14" s="20" t="n">
        <v>2.03542499</v>
      </c>
      <c r="K14" s="18" t="n">
        <v>0</v>
      </c>
      <c r="L14" s="20" t="n">
        <v>0</v>
      </c>
      <c r="M14" s="18" t="n">
        <v>0.23027365</v>
      </c>
      <c r="N14" s="20" t="n">
        <v>0.16291778</v>
      </c>
      <c r="O14" s="18" t="n">
        <v>0</v>
      </c>
      <c r="P14" s="20" t="n">
        <v>0</v>
      </c>
      <c r="Q14" s="18" t="n">
        <v>0</v>
      </c>
      <c r="R14" s="20" t="n">
        <v>0</v>
      </c>
      <c r="S14" s="18" t="n">
        <v>2.27347262</v>
      </c>
      <c r="T14" s="20" t="n">
        <v>0.66626439</v>
      </c>
    </row>
    <row r="15" spans="1:20">
      <c r="A15" s="15" t="s">
        <v>437</v>
      </c>
      <c r="B15" s="17" t="n">
        <v>5882</v>
      </c>
      <c r="C15" s="18">
        <f>(5161.0/B15*100)</f>
        <v/>
      </c>
      <c r="D15" s="19" t="n">
        <v>721</v>
      </c>
      <c r="E15" s="18" t="n">
        <v>17.53641049</v>
      </c>
      <c r="F15" s="20" t="n">
        <v>1.32418511</v>
      </c>
      <c r="G15" s="18" t="n">
        <v>6.90530858</v>
      </c>
      <c r="H15" s="20" t="n">
        <v>0.8856403</v>
      </c>
      <c r="I15" s="18" t="n">
        <v>69.70819962</v>
      </c>
      <c r="J15" s="20" t="n">
        <v>1.61966973</v>
      </c>
      <c r="K15" s="18" t="n">
        <v>0</v>
      </c>
      <c r="L15" s="20" t="n">
        <v>0</v>
      </c>
      <c r="M15" s="18" t="n">
        <v>0</v>
      </c>
      <c r="N15" s="20" t="n">
        <v>0</v>
      </c>
      <c r="O15" s="18" t="n">
        <v>0</v>
      </c>
      <c r="P15" s="20" t="n">
        <v>0</v>
      </c>
      <c r="Q15" s="18" t="n">
        <v>0</v>
      </c>
      <c r="R15" s="20" t="n">
        <v>0</v>
      </c>
      <c r="S15" s="18" t="n">
        <v>5.85008131</v>
      </c>
      <c r="T15" s="20" t="n">
        <v>0.91496033</v>
      </c>
    </row>
    <row r="16" spans="1:20">
      <c r="A16" s="15" t="s">
        <v>438</v>
      </c>
      <c r="B16" s="17" t="n">
        <v>6108</v>
      </c>
      <c r="C16" s="18">
        <f>(5348.0/B16*100)</f>
        <v/>
      </c>
      <c r="D16" s="19" t="n">
        <v>760</v>
      </c>
      <c r="E16" s="18" t="n">
        <v>16.87235198</v>
      </c>
      <c r="F16" s="20" t="n">
        <v>1.32902172</v>
      </c>
      <c r="G16" s="18" t="n">
        <v>13.00795703</v>
      </c>
      <c r="H16" s="20" t="n">
        <v>1.12891136</v>
      </c>
      <c r="I16" s="18" t="n">
        <v>54.39074335</v>
      </c>
      <c r="J16" s="20" t="n">
        <v>1.57660658</v>
      </c>
      <c r="K16" s="18" t="n">
        <v>0</v>
      </c>
      <c r="L16" s="20" t="n">
        <v>0</v>
      </c>
      <c r="M16" s="18" t="n">
        <v>1.59454461</v>
      </c>
      <c r="N16" s="20" t="n">
        <v>0.71908014</v>
      </c>
      <c r="O16" s="18" t="n">
        <v>0</v>
      </c>
      <c r="P16" s="20" t="n">
        <v>0</v>
      </c>
      <c r="Q16" s="18" t="n">
        <v>0</v>
      </c>
      <c r="R16" s="20" t="n">
        <v>0</v>
      </c>
      <c r="S16" s="18" t="n">
        <v>14.13440302</v>
      </c>
      <c r="T16" s="20" t="n">
        <v>1.15217405</v>
      </c>
    </row>
    <row r="17" spans="1:20">
      <c r="A17" s="15" t="s">
        <v>439</v>
      </c>
      <c r="B17" s="17" t="n">
        <v>6504</v>
      </c>
      <c r="C17" s="18">
        <f>(5715.0/B17*100)</f>
        <v/>
      </c>
      <c r="D17" s="19" t="n">
        <v>789</v>
      </c>
      <c r="E17" s="18" t="n">
        <v>11.4465827</v>
      </c>
      <c r="F17" s="20" t="n">
        <v>1.17752797</v>
      </c>
      <c r="G17" s="18" t="n">
        <v>13.72260749</v>
      </c>
      <c r="H17" s="20" t="n">
        <v>1.12348806</v>
      </c>
      <c r="I17" s="18" t="n">
        <v>67.78689451</v>
      </c>
      <c r="J17" s="20" t="n">
        <v>1.6267232</v>
      </c>
      <c r="K17" s="18" t="n">
        <v>0</v>
      </c>
      <c r="L17" s="20" t="n">
        <v>0</v>
      </c>
      <c r="M17" s="18" t="n">
        <v>0.5970997300000001</v>
      </c>
      <c r="N17" s="20" t="n">
        <v>0.27758795</v>
      </c>
      <c r="O17" s="18" t="n">
        <v>0</v>
      </c>
      <c r="P17" s="20" t="n">
        <v>0</v>
      </c>
      <c r="Q17" s="18" t="n">
        <v>0</v>
      </c>
      <c r="R17" s="20" t="n">
        <v>0</v>
      </c>
      <c r="S17" s="18" t="n">
        <v>6.44681558</v>
      </c>
      <c r="T17" s="20" t="n">
        <v>0.97086894</v>
      </c>
    </row>
    <row r="18" spans="1:20">
      <c r="A18" s="15" t="s">
        <v>440</v>
      </c>
      <c r="B18" s="17" t="n">
        <v>5532</v>
      </c>
      <c r="C18" s="18">
        <f>(4848.0/B18*100)</f>
        <v/>
      </c>
      <c r="D18" s="19" t="n">
        <v>684</v>
      </c>
      <c r="E18" s="18" t="n">
        <v>15.67079939</v>
      </c>
      <c r="F18" s="20" t="n">
        <v>1.54018477</v>
      </c>
      <c r="G18" s="18" t="n">
        <v>6.89756433</v>
      </c>
      <c r="H18" s="20" t="n">
        <v>1.12480921</v>
      </c>
      <c r="I18" s="18" t="n">
        <v>70.00996306</v>
      </c>
      <c r="J18" s="20" t="n">
        <v>2.00355508</v>
      </c>
      <c r="K18" s="18" t="n">
        <v>0</v>
      </c>
      <c r="L18" s="20" t="n">
        <v>0</v>
      </c>
      <c r="M18" s="18" t="n">
        <v>0.42962962</v>
      </c>
      <c r="N18" s="20" t="n">
        <v>0.28740351</v>
      </c>
      <c r="O18" s="18" t="n">
        <v>0</v>
      </c>
      <c r="P18" s="20" t="n">
        <v>0</v>
      </c>
      <c r="Q18" s="18" t="n">
        <v>0</v>
      </c>
      <c r="R18" s="20" t="n">
        <v>0</v>
      </c>
      <c r="S18" s="18" t="n">
        <v>6.99204361</v>
      </c>
      <c r="T18" s="20" t="n">
        <v>1.23843212</v>
      </c>
    </row>
    <row r="19" spans="1:20">
      <c r="A19" s="15" t="s">
        <v>441</v>
      </c>
      <c r="B19" s="17" t="n">
        <v>5658</v>
      </c>
      <c r="C19" s="18">
        <f>(4968.0/B19*100)</f>
        <v/>
      </c>
      <c r="D19" s="19" t="n">
        <v>690</v>
      </c>
      <c r="E19" s="18" t="n">
        <v>22.87635251</v>
      </c>
      <c r="F19" s="20" t="n">
        <v>1.71117232</v>
      </c>
      <c r="G19" s="18" t="n">
        <v>6.00668478</v>
      </c>
      <c r="H19" s="20" t="n">
        <v>0.90784068</v>
      </c>
      <c r="I19" s="18" t="n">
        <v>57.92117223</v>
      </c>
      <c r="J19" s="20" t="n">
        <v>1.86233553</v>
      </c>
      <c r="K19" s="18" t="n">
        <v>0</v>
      </c>
      <c r="L19" s="20" t="n">
        <v>0</v>
      </c>
      <c r="M19" s="18" t="n">
        <v>0.12648184</v>
      </c>
      <c r="N19" s="20" t="n">
        <v>0.13463945</v>
      </c>
      <c r="O19" s="18" t="n">
        <v>0</v>
      </c>
      <c r="P19" s="20" t="n">
        <v>0</v>
      </c>
      <c r="Q19" s="18" t="n">
        <v>0</v>
      </c>
      <c r="R19" s="20" t="n">
        <v>0</v>
      </c>
      <c r="S19" s="18" t="n">
        <v>13.06930863</v>
      </c>
      <c r="T19" s="20" t="n">
        <v>1.30811812</v>
      </c>
    </row>
    <row r="20" spans="1:20">
      <c r="A20" s="15" t="s">
        <v>442</v>
      </c>
      <c r="B20" s="17" t="n">
        <v>3371</v>
      </c>
      <c r="C20" s="18">
        <f>(2952.0/B20*100)</f>
        <v/>
      </c>
      <c r="D20" s="19" t="n">
        <v>419</v>
      </c>
      <c r="E20" s="18" t="n">
        <v>24.66365938</v>
      </c>
      <c r="F20" s="20" t="n">
        <v>2.00433652</v>
      </c>
      <c r="G20" s="18" t="n">
        <v>19.88487277</v>
      </c>
      <c r="H20" s="20" t="n">
        <v>1.94153975</v>
      </c>
      <c r="I20" s="18" t="n">
        <v>46.93038702</v>
      </c>
      <c r="J20" s="20" t="n">
        <v>2.76686431</v>
      </c>
      <c r="K20" s="18" t="n">
        <v>0</v>
      </c>
      <c r="L20" s="20" t="n">
        <v>0</v>
      </c>
      <c r="M20" s="18" t="n">
        <v>0.20289167</v>
      </c>
      <c r="N20" s="20" t="n">
        <v>0.20224127</v>
      </c>
      <c r="O20" s="18" t="n">
        <v>0.73420408</v>
      </c>
      <c r="P20" s="20" t="n">
        <v>0.50575752</v>
      </c>
      <c r="Q20" s="18" t="n">
        <v>0</v>
      </c>
      <c r="R20" s="20" t="n">
        <v>0</v>
      </c>
      <c r="S20" s="18" t="n">
        <v>7.58398508</v>
      </c>
      <c r="T20" s="20" t="n">
        <v>1.35548148</v>
      </c>
    </row>
    <row r="21" spans="1:20">
      <c r="A21" s="15" t="s">
        <v>443</v>
      </c>
      <c r="B21" s="17" t="n">
        <v>5741</v>
      </c>
      <c r="C21" s="18">
        <f>(4796.0/B21*100)</f>
        <v/>
      </c>
      <c r="D21" s="19" t="n">
        <v>945</v>
      </c>
      <c r="E21" s="18" t="n">
        <v>9.46307021</v>
      </c>
      <c r="F21" s="20" t="n">
        <v>1.05040893</v>
      </c>
      <c r="G21" s="18" t="n">
        <v>12.20109676</v>
      </c>
      <c r="H21" s="20" t="n">
        <v>1.08980167</v>
      </c>
      <c r="I21" s="18" t="n">
        <v>74.53425557</v>
      </c>
      <c r="J21" s="20" t="n">
        <v>1.4047738</v>
      </c>
      <c r="K21" s="18" t="n">
        <v>0</v>
      </c>
      <c r="L21" s="20" t="n">
        <v>0</v>
      </c>
      <c r="M21" s="18" t="n">
        <v>0.20404088</v>
      </c>
      <c r="N21" s="20" t="n">
        <v>0.12986584</v>
      </c>
      <c r="O21" s="18" t="n">
        <v>0</v>
      </c>
      <c r="P21" s="20" t="n">
        <v>0</v>
      </c>
      <c r="Q21" s="18" t="n">
        <v>0</v>
      </c>
      <c r="R21" s="20" t="n">
        <v>0</v>
      </c>
      <c r="S21" s="18" t="n">
        <v>3.59753657</v>
      </c>
      <c r="T21" s="20" t="n">
        <v>0.65846179</v>
      </c>
    </row>
    <row r="22" spans="1:20">
      <c r="A22" s="15" t="s">
        <v>444</v>
      </c>
      <c r="B22" s="17" t="n">
        <v>6598</v>
      </c>
      <c r="C22" s="18">
        <f>(5871.0/B22*100)</f>
        <v/>
      </c>
      <c r="D22" s="19" t="n">
        <v>727</v>
      </c>
      <c r="E22" s="18" t="n">
        <v>24.82608271</v>
      </c>
      <c r="F22" s="20" t="n">
        <v>1.72930093</v>
      </c>
      <c r="G22" s="18" t="n">
        <v>12.34264686</v>
      </c>
      <c r="H22" s="20" t="n">
        <v>1.09744148</v>
      </c>
      <c r="I22" s="18" t="n">
        <v>55.47214902</v>
      </c>
      <c r="J22" s="20" t="n">
        <v>2.12110383</v>
      </c>
      <c r="K22" s="18" t="n">
        <v>0</v>
      </c>
      <c r="L22" s="20" t="n">
        <v>0</v>
      </c>
      <c r="M22" s="18" t="n">
        <v>0.4590436</v>
      </c>
      <c r="N22" s="20" t="n">
        <v>0.29934188</v>
      </c>
      <c r="O22" s="18" t="n">
        <v>0</v>
      </c>
      <c r="P22" s="20" t="n">
        <v>0</v>
      </c>
      <c r="Q22" s="18" t="n">
        <v>0</v>
      </c>
      <c r="R22" s="20" t="n">
        <v>0</v>
      </c>
      <c r="S22" s="18" t="n">
        <v>6.90007781</v>
      </c>
      <c r="T22" s="20" t="n">
        <v>1.15987557</v>
      </c>
    </row>
    <row r="23" spans="1:20">
      <c r="A23" s="15" t="s">
        <v>445</v>
      </c>
      <c r="B23" s="17" t="n">
        <v>11583</v>
      </c>
      <c r="C23" s="18">
        <f>(10171.0/B23*100)</f>
        <v/>
      </c>
      <c r="D23" s="19" t="n">
        <v>1412</v>
      </c>
      <c r="E23" s="18" t="n">
        <v>20.33163837</v>
      </c>
      <c r="F23" s="20" t="n">
        <v>1.74670409</v>
      </c>
      <c r="G23" s="18" t="n">
        <v>21.19320877</v>
      </c>
      <c r="H23" s="20" t="n">
        <v>1.93808472</v>
      </c>
      <c r="I23" s="18" t="n">
        <v>49.6462448</v>
      </c>
      <c r="J23" s="20" t="n">
        <v>2.24833527</v>
      </c>
      <c r="K23" s="18" t="n">
        <v>0</v>
      </c>
      <c r="L23" s="20" t="n">
        <v>0</v>
      </c>
      <c r="M23" s="18" t="n">
        <v>0.46578059</v>
      </c>
      <c r="N23" s="20" t="n">
        <v>0.34741002</v>
      </c>
      <c r="O23" s="18" t="n">
        <v>1.38749249</v>
      </c>
      <c r="P23" s="20" t="n">
        <v>0.84491657</v>
      </c>
      <c r="Q23" s="18" t="n">
        <v>0</v>
      </c>
      <c r="R23" s="20" t="n">
        <v>0</v>
      </c>
      <c r="S23" s="18" t="n">
        <v>6.97563497</v>
      </c>
      <c r="T23" s="20" t="n">
        <v>1.08516902</v>
      </c>
    </row>
    <row r="24" spans="1:20">
      <c r="A24" s="15" t="s">
        <v>446</v>
      </c>
      <c r="B24" s="17" t="n">
        <v>6647</v>
      </c>
      <c r="C24" s="18">
        <f>(5811.0/B24*100)</f>
        <v/>
      </c>
      <c r="D24" s="19" t="n">
        <v>836</v>
      </c>
      <c r="E24" s="18" t="n">
        <v>8.7049535</v>
      </c>
      <c r="F24" s="20" t="n">
        <v>0.9627055</v>
      </c>
      <c r="G24" s="18" t="n">
        <v>2.29549583</v>
      </c>
      <c r="H24" s="20" t="n">
        <v>0.54331564</v>
      </c>
      <c r="I24" s="18" t="n">
        <v>70.54187897</v>
      </c>
      <c r="J24" s="20" t="n">
        <v>1.75607723</v>
      </c>
      <c r="K24" s="18" t="n">
        <v>0</v>
      </c>
      <c r="L24" s="20" t="n">
        <v>0</v>
      </c>
      <c r="M24" s="18" t="n">
        <v>0.32005876</v>
      </c>
      <c r="N24" s="20" t="n">
        <v>0.18398718</v>
      </c>
      <c r="O24" s="18" t="n">
        <v>0</v>
      </c>
      <c r="P24" s="20" t="n">
        <v>0</v>
      </c>
      <c r="Q24" s="18" t="n">
        <v>0</v>
      </c>
      <c r="R24" s="20" t="n">
        <v>0</v>
      </c>
      <c r="S24" s="18" t="n">
        <v>18.13761293</v>
      </c>
      <c r="T24" s="20" t="n">
        <v>1.57826158</v>
      </c>
    </row>
    <row r="25" spans="1:20">
      <c r="A25" s="15" t="s">
        <v>447</v>
      </c>
      <c r="B25" s="17" t="n">
        <v>5581</v>
      </c>
      <c r="C25" s="18">
        <f>(4883.0/B25*100)</f>
        <v/>
      </c>
      <c r="D25" s="19" t="n">
        <v>698</v>
      </c>
      <c r="E25" s="18" t="n">
        <v>9.77063149</v>
      </c>
      <c r="F25" s="20" t="n">
        <v>1.40958807</v>
      </c>
      <c r="G25" s="18" t="n">
        <v>6.15110651</v>
      </c>
      <c r="H25" s="20" t="n">
        <v>0.8836016</v>
      </c>
      <c r="I25" s="18" t="n">
        <v>74.35399295000001</v>
      </c>
      <c r="J25" s="20" t="n">
        <v>1.75244137</v>
      </c>
      <c r="K25" s="18" t="n">
        <v>0</v>
      </c>
      <c r="L25" s="20" t="n">
        <v>0</v>
      </c>
      <c r="M25" s="18" t="n">
        <v>0.14378534</v>
      </c>
      <c r="N25" s="20" t="n">
        <v>0.14377542</v>
      </c>
      <c r="O25" s="18" t="n">
        <v>0.1471496</v>
      </c>
      <c r="P25" s="20" t="n">
        <v>0.14734342</v>
      </c>
      <c r="Q25" s="18" t="n">
        <v>0</v>
      </c>
      <c r="R25" s="20" t="n">
        <v>0</v>
      </c>
      <c r="S25" s="18" t="n">
        <v>9.4333341</v>
      </c>
      <c r="T25" s="20" t="n">
        <v>1.28171875</v>
      </c>
    </row>
    <row r="26" spans="1:20">
      <c r="A26" s="15" t="s">
        <v>448</v>
      </c>
      <c r="B26" s="17" t="n">
        <v>4869</v>
      </c>
      <c r="C26" s="18">
        <f>(4278.0/B26*100)</f>
        <v/>
      </c>
      <c r="D26" s="19" t="n">
        <v>591</v>
      </c>
      <c r="E26" s="18" t="n">
        <v>20.80787083</v>
      </c>
      <c r="F26" s="20" t="n">
        <v>1.80204972</v>
      </c>
      <c r="G26" s="18" t="n">
        <v>10.46101434</v>
      </c>
      <c r="H26" s="20" t="n">
        <v>1.19586786</v>
      </c>
      <c r="I26" s="18" t="n">
        <v>64.16616143</v>
      </c>
      <c r="J26" s="20" t="n">
        <v>1.99384399</v>
      </c>
      <c r="K26" s="18" t="n">
        <v>0</v>
      </c>
      <c r="L26" s="20" t="n">
        <v>0</v>
      </c>
      <c r="M26" s="18" t="n">
        <v>0.3005946</v>
      </c>
      <c r="N26" s="20" t="n">
        <v>0.21575799</v>
      </c>
      <c r="O26" s="18" t="n">
        <v>0.13356645</v>
      </c>
      <c r="P26" s="20" t="n">
        <v>0.1191897</v>
      </c>
      <c r="Q26" s="18" t="n">
        <v>0</v>
      </c>
      <c r="R26" s="20" t="n">
        <v>0</v>
      </c>
      <c r="S26" s="18" t="n">
        <v>4.13079235</v>
      </c>
      <c r="T26" s="20" t="n">
        <v>0.9147334</v>
      </c>
    </row>
    <row r="27" spans="1:20">
      <c r="A27" s="15" t="s">
        <v>449</v>
      </c>
      <c r="B27" s="17" t="n">
        <v>5299</v>
      </c>
      <c r="C27" s="18">
        <f>(4644.0/B27*100)</f>
        <v/>
      </c>
      <c r="D27" s="19" t="n">
        <v>655</v>
      </c>
      <c r="E27" s="18" t="n">
        <v>18.23924704</v>
      </c>
      <c r="F27" s="20" t="n">
        <v>1.50778633</v>
      </c>
      <c r="G27" s="18" t="n">
        <v>11.52107969</v>
      </c>
      <c r="H27" s="20" t="n">
        <v>1.31726023</v>
      </c>
      <c r="I27" s="18" t="n">
        <v>58.50358596</v>
      </c>
      <c r="J27" s="20" t="n">
        <v>1.83199831</v>
      </c>
      <c r="K27" s="18" t="n">
        <v>0</v>
      </c>
      <c r="L27" s="20" t="n">
        <v>0</v>
      </c>
      <c r="M27" s="18" t="n">
        <v>0.4689431</v>
      </c>
      <c r="N27" s="20" t="n">
        <v>0.26919277</v>
      </c>
      <c r="O27" s="18" t="n">
        <v>0</v>
      </c>
      <c r="P27" s="20" t="n">
        <v>0</v>
      </c>
      <c r="Q27" s="18" t="n">
        <v>0</v>
      </c>
      <c r="R27" s="20" t="n">
        <v>0</v>
      </c>
      <c r="S27" s="18" t="n">
        <v>11.26714421</v>
      </c>
      <c r="T27" s="20" t="n">
        <v>1.15642647</v>
      </c>
    </row>
    <row r="28" spans="1:20">
      <c r="A28" s="15" t="s">
        <v>450</v>
      </c>
      <c r="B28" s="17" t="n">
        <v>7568</v>
      </c>
      <c r="C28" s="18">
        <f>(6697.0/B28*100)</f>
        <v/>
      </c>
      <c r="D28" s="19" t="n">
        <v>871</v>
      </c>
      <c r="E28" s="18" t="n">
        <v>29.33569033</v>
      </c>
      <c r="F28" s="20" t="n">
        <v>1.53612471</v>
      </c>
      <c r="G28" s="18" t="n">
        <v>8.3248727</v>
      </c>
      <c r="H28" s="20" t="n">
        <v>1.0823424</v>
      </c>
      <c r="I28" s="18" t="n">
        <v>60.81485398</v>
      </c>
      <c r="J28" s="20" t="n">
        <v>1.70809799</v>
      </c>
      <c r="K28" s="18" t="n">
        <v>0</v>
      </c>
      <c r="L28" s="20" t="n">
        <v>0</v>
      </c>
      <c r="M28" s="18" t="n">
        <v>0.15310166</v>
      </c>
      <c r="N28" s="20" t="n">
        <v>0.11205679</v>
      </c>
      <c r="O28" s="18" t="n">
        <v>0</v>
      </c>
      <c r="P28" s="20" t="n">
        <v>0</v>
      </c>
      <c r="Q28" s="18" t="n">
        <v>0</v>
      </c>
      <c r="R28" s="20" t="n">
        <v>0</v>
      </c>
      <c r="S28" s="18" t="n">
        <v>1.37148133</v>
      </c>
      <c r="T28" s="20" t="n">
        <v>0.47487879</v>
      </c>
    </row>
    <row r="29" spans="1:20">
      <c r="A29" s="15" t="s">
        <v>451</v>
      </c>
      <c r="B29" s="17" t="n">
        <v>5385</v>
      </c>
      <c r="C29" s="18">
        <f>(4727.0/B29*100)</f>
        <v/>
      </c>
      <c r="D29" s="19" t="n">
        <v>658</v>
      </c>
      <c r="E29" s="18" t="n">
        <v>23.07097887</v>
      </c>
      <c r="F29" s="20" t="n">
        <v>1.56330936</v>
      </c>
      <c r="G29" s="18" t="n">
        <v>22.1626314</v>
      </c>
      <c r="H29" s="20" t="n">
        <v>1.62068229</v>
      </c>
      <c r="I29" s="18" t="n">
        <v>52.23565609</v>
      </c>
      <c r="J29" s="20" t="n">
        <v>1.49994071</v>
      </c>
      <c r="K29" s="18" t="n">
        <v>0</v>
      </c>
      <c r="L29" s="20" t="n">
        <v>0</v>
      </c>
      <c r="M29" s="18" t="n">
        <v>0</v>
      </c>
      <c r="N29" s="20" t="n">
        <v>0</v>
      </c>
      <c r="O29" s="18" t="n">
        <v>0</v>
      </c>
      <c r="P29" s="20" t="n">
        <v>0</v>
      </c>
      <c r="Q29" s="18" t="n">
        <v>0</v>
      </c>
      <c r="R29" s="20" t="n">
        <v>0</v>
      </c>
      <c r="S29" s="18" t="n">
        <v>2.53073364</v>
      </c>
      <c r="T29" s="20" t="n">
        <v>0.62731808</v>
      </c>
    </row>
    <row r="30" spans="1:20">
      <c r="A30" s="15" t="s">
        <v>452</v>
      </c>
      <c r="B30" s="17" t="n">
        <v>4520</v>
      </c>
      <c r="C30" s="18">
        <f>(3965.0/B30*100)</f>
        <v/>
      </c>
      <c r="D30" s="19" t="n">
        <v>555</v>
      </c>
      <c r="E30" s="18" t="n">
        <v>15.78763366</v>
      </c>
      <c r="F30" s="20" t="n">
        <v>1.57378854</v>
      </c>
      <c r="G30" s="18" t="n">
        <v>14.20770885</v>
      </c>
      <c r="H30" s="20" t="n">
        <v>1.51926203</v>
      </c>
      <c r="I30" s="18" t="n">
        <v>61.45034887</v>
      </c>
      <c r="J30" s="20" t="n">
        <v>2.09976126</v>
      </c>
      <c r="K30" s="18" t="n">
        <v>0</v>
      </c>
      <c r="L30" s="20" t="n">
        <v>0</v>
      </c>
      <c r="M30" s="18" t="n">
        <v>0.7543487</v>
      </c>
      <c r="N30" s="20" t="n">
        <v>0.37991842</v>
      </c>
      <c r="O30" s="18" t="n">
        <v>0</v>
      </c>
      <c r="P30" s="20" t="n">
        <v>0</v>
      </c>
      <c r="Q30" s="18" t="n">
        <v>0</v>
      </c>
      <c r="R30" s="20" t="n">
        <v>0</v>
      </c>
      <c r="S30" s="18" t="n">
        <v>7.79995992</v>
      </c>
      <c r="T30" s="20" t="n">
        <v>1.09477616</v>
      </c>
    </row>
    <row r="31" spans="1:20">
      <c r="A31" s="15" t="s">
        <v>453</v>
      </c>
      <c r="B31" s="17" t="n">
        <v>5456</v>
      </c>
      <c r="C31" s="18">
        <f>(4770.0/B31*100)</f>
        <v/>
      </c>
      <c r="D31" s="19" t="n">
        <v>686</v>
      </c>
      <c r="E31" s="18" t="n">
        <v>15.20268642</v>
      </c>
      <c r="F31" s="20" t="n">
        <v>1.3692244</v>
      </c>
      <c r="G31" s="18" t="n">
        <v>23.34926327</v>
      </c>
      <c r="H31" s="20" t="n">
        <v>1.67932359</v>
      </c>
      <c r="I31" s="18" t="n">
        <v>53.75591068</v>
      </c>
      <c r="J31" s="20" t="n">
        <v>1.72408785</v>
      </c>
      <c r="K31" s="18" t="n">
        <v>0</v>
      </c>
      <c r="L31" s="20" t="n">
        <v>0</v>
      </c>
      <c r="M31" s="18" t="n">
        <v>0.52521369</v>
      </c>
      <c r="N31" s="20" t="n">
        <v>0.25908745</v>
      </c>
      <c r="O31" s="18" t="n">
        <v>0</v>
      </c>
      <c r="P31" s="20" t="n">
        <v>0</v>
      </c>
      <c r="Q31" s="18" t="n">
        <v>0</v>
      </c>
      <c r="R31" s="20" t="n">
        <v>0</v>
      </c>
      <c r="S31" s="18" t="n">
        <v>7.16692593</v>
      </c>
      <c r="T31" s="20" t="n">
        <v>0.8874712</v>
      </c>
    </row>
    <row r="32" spans="1:20">
      <c r="A32" s="15" t="s">
        <v>454</v>
      </c>
      <c r="B32" s="17" t="n">
        <v>4478</v>
      </c>
      <c r="C32" s="18">
        <f>(3737.0/B32*100)</f>
        <v/>
      </c>
      <c r="D32" s="19" t="n">
        <v>741</v>
      </c>
      <c r="E32" s="18" t="n">
        <v>15.07517904</v>
      </c>
      <c r="F32" s="20" t="n">
        <v>1.18841161</v>
      </c>
      <c r="G32" s="18" t="n">
        <v>5.93108897</v>
      </c>
      <c r="H32" s="20" t="n">
        <v>0.83213361</v>
      </c>
      <c r="I32" s="18" t="n">
        <v>72.4100084</v>
      </c>
      <c r="J32" s="20" t="n">
        <v>1.6532812</v>
      </c>
      <c r="K32" s="18" t="n">
        <v>0</v>
      </c>
      <c r="L32" s="20" t="n">
        <v>0</v>
      </c>
      <c r="M32" s="18" t="n">
        <v>0.24568216</v>
      </c>
      <c r="N32" s="20" t="n">
        <v>0.17307876</v>
      </c>
      <c r="O32" s="18" t="n">
        <v>0.15316731</v>
      </c>
      <c r="P32" s="20" t="n">
        <v>0.14701757</v>
      </c>
      <c r="Q32" s="18" t="n">
        <v>0</v>
      </c>
      <c r="R32" s="20" t="n">
        <v>0</v>
      </c>
      <c r="S32" s="18" t="n">
        <v>6.18487413</v>
      </c>
      <c r="T32" s="20" t="n">
        <v>0.90971274</v>
      </c>
    </row>
    <row r="33" spans="1:20">
      <c r="A33" s="15" t="s">
        <v>455</v>
      </c>
      <c r="B33" s="17" t="n">
        <v>7325</v>
      </c>
      <c r="C33" s="18">
        <f>(6417.0/B33*100)</f>
        <v/>
      </c>
      <c r="D33" s="19" t="n">
        <v>908</v>
      </c>
      <c r="E33" s="18" t="n">
        <v>10.34679995</v>
      </c>
      <c r="F33" s="20" t="n">
        <v>1.30994064</v>
      </c>
      <c r="G33" s="18" t="n">
        <v>12.94453103</v>
      </c>
      <c r="H33" s="20" t="n">
        <v>1.41101919</v>
      </c>
      <c r="I33" s="18" t="n">
        <v>71.10343156</v>
      </c>
      <c r="J33" s="20" t="n">
        <v>1.99601582</v>
      </c>
      <c r="K33" s="18" t="n">
        <v>0</v>
      </c>
      <c r="L33" s="20" t="n">
        <v>0</v>
      </c>
      <c r="M33" s="18" t="n">
        <v>0.50584895</v>
      </c>
      <c r="N33" s="20" t="n">
        <v>0.36930362</v>
      </c>
      <c r="O33" s="18" t="n">
        <v>0</v>
      </c>
      <c r="P33" s="20" t="n">
        <v>0</v>
      </c>
      <c r="Q33" s="18" t="n">
        <v>0</v>
      </c>
      <c r="R33" s="20" t="n">
        <v>0</v>
      </c>
      <c r="S33" s="18" t="n">
        <v>5.09938851</v>
      </c>
      <c r="T33" s="20" t="n">
        <v>0.75187008</v>
      </c>
    </row>
    <row r="34" spans="1:20">
      <c r="A34" s="15" t="s">
        <v>456</v>
      </c>
      <c r="B34" s="17" t="n">
        <v>6350</v>
      </c>
      <c r="C34" s="18">
        <f>(5584.0/B34*100)</f>
        <v/>
      </c>
      <c r="D34" s="19" t="n">
        <v>766</v>
      </c>
      <c r="E34" s="18" t="n">
        <v>28.16896117</v>
      </c>
      <c r="F34" s="20" t="n">
        <v>1.60263277</v>
      </c>
      <c r="G34" s="18" t="n">
        <v>6.78282346</v>
      </c>
      <c r="H34" s="20" t="n">
        <v>1.05335098</v>
      </c>
      <c r="I34" s="18" t="n">
        <v>56.23602799</v>
      </c>
      <c r="J34" s="20" t="n">
        <v>1.92470095</v>
      </c>
      <c r="K34" s="18" t="n">
        <v>0</v>
      </c>
      <c r="L34" s="20" t="n">
        <v>0</v>
      </c>
      <c r="M34" s="18" t="n">
        <v>0.17907839</v>
      </c>
      <c r="N34" s="20" t="n">
        <v>0.10065913</v>
      </c>
      <c r="O34" s="18" t="n">
        <v>0</v>
      </c>
      <c r="P34" s="20" t="n">
        <v>0</v>
      </c>
      <c r="Q34" s="18" t="n">
        <v>0</v>
      </c>
      <c r="R34" s="20" t="n">
        <v>0</v>
      </c>
      <c r="S34" s="18" t="n">
        <v>8.63310899</v>
      </c>
      <c r="T34" s="20" t="n">
        <v>1.00001299</v>
      </c>
    </row>
    <row r="35" spans="1:20">
      <c r="A35" s="15" t="s">
        <v>457</v>
      </c>
      <c r="B35" s="17" t="n">
        <v>6406</v>
      </c>
      <c r="C35" s="18">
        <f>(5619.0/B35*100)</f>
        <v/>
      </c>
      <c r="D35" s="19" t="n">
        <v>787</v>
      </c>
      <c r="E35" s="18" t="n">
        <v>16.45108747</v>
      </c>
      <c r="F35" s="20" t="n">
        <v>1.44325926</v>
      </c>
      <c r="G35" s="18" t="n">
        <v>8.48243809</v>
      </c>
      <c r="H35" s="20" t="n">
        <v>1.29315996</v>
      </c>
      <c r="I35" s="18" t="n">
        <v>70.31293517</v>
      </c>
      <c r="J35" s="20" t="n">
        <v>2.10121753</v>
      </c>
      <c r="K35" s="18" t="n">
        <v>0</v>
      </c>
      <c r="L35" s="20" t="n">
        <v>0</v>
      </c>
      <c r="M35" s="18" t="n">
        <v>0</v>
      </c>
      <c r="N35" s="20" t="n">
        <v>0</v>
      </c>
      <c r="O35" s="18" t="n">
        <v>0</v>
      </c>
      <c r="P35" s="20" t="n">
        <v>0</v>
      </c>
      <c r="Q35" s="18" t="n">
        <v>0</v>
      </c>
      <c r="R35" s="20" t="n">
        <v>0</v>
      </c>
      <c r="S35" s="18" t="n">
        <v>4.75353927</v>
      </c>
      <c r="T35" s="20" t="n">
        <v>0.80176892</v>
      </c>
    </row>
    <row r="36" spans="1:20">
      <c r="A36" s="15" t="s">
        <v>458</v>
      </c>
      <c r="B36" s="17" t="n">
        <v>6736</v>
      </c>
      <c r="C36" s="18">
        <f>(5900.0/B36*100)</f>
        <v/>
      </c>
      <c r="D36" s="19" t="n">
        <v>836</v>
      </c>
      <c r="E36" s="18" t="n">
        <v>16.51736861</v>
      </c>
      <c r="F36" s="20" t="n">
        <v>1.41255896</v>
      </c>
      <c r="G36" s="18" t="n">
        <v>22.50588099</v>
      </c>
      <c r="H36" s="20" t="n">
        <v>1.49019979</v>
      </c>
      <c r="I36" s="18" t="n">
        <v>56.128792</v>
      </c>
      <c r="J36" s="20" t="n">
        <v>1.64107996</v>
      </c>
      <c r="K36" s="18" t="n">
        <v>0</v>
      </c>
      <c r="L36" s="20" t="n">
        <v>0</v>
      </c>
      <c r="M36" s="18" t="n">
        <v>0.28939009</v>
      </c>
      <c r="N36" s="20" t="n">
        <v>0.16902259</v>
      </c>
      <c r="O36" s="18" t="n">
        <v>0.13644654</v>
      </c>
      <c r="P36" s="20" t="n">
        <v>0.14394356</v>
      </c>
      <c r="Q36" s="18" t="n">
        <v>0</v>
      </c>
      <c r="R36" s="20" t="n">
        <v>0</v>
      </c>
      <c r="S36" s="18" t="n">
        <v>4.42212177</v>
      </c>
      <c r="T36" s="20" t="n">
        <v>0.76064711</v>
      </c>
    </row>
    <row r="37" spans="1:20">
      <c r="A37" s="15" t="s">
        <v>459</v>
      </c>
      <c r="B37" s="17" t="n">
        <v>5458</v>
      </c>
      <c r="C37" s="18">
        <f>(4800.0/B37*100)</f>
        <v/>
      </c>
      <c r="D37" s="19" t="n">
        <v>658</v>
      </c>
      <c r="E37" s="18" t="n">
        <v>22.48198793</v>
      </c>
      <c r="F37" s="20" t="n">
        <v>1.77393073</v>
      </c>
      <c r="G37" s="18" t="n">
        <v>11.97108258</v>
      </c>
      <c r="H37" s="20" t="n">
        <v>1.27815004</v>
      </c>
      <c r="I37" s="18" t="n">
        <v>56.09504594</v>
      </c>
      <c r="J37" s="20" t="n">
        <v>2.1236652</v>
      </c>
      <c r="K37" s="18" t="n">
        <v>0</v>
      </c>
      <c r="L37" s="20" t="n">
        <v>0</v>
      </c>
      <c r="M37" s="18" t="n">
        <v>0.93623663</v>
      </c>
      <c r="N37" s="20" t="n">
        <v>0.37581809</v>
      </c>
      <c r="O37" s="18" t="n">
        <v>0</v>
      </c>
      <c r="P37" s="20" t="n">
        <v>0</v>
      </c>
      <c r="Q37" s="18" t="n">
        <v>0</v>
      </c>
      <c r="R37" s="20" t="n">
        <v>0</v>
      </c>
      <c r="S37" s="18" t="n">
        <v>8.51564692</v>
      </c>
      <c r="T37" s="20" t="n">
        <v>1.14724384</v>
      </c>
    </row>
    <row r="38" spans="1:20">
      <c r="A38" s="15" t="s">
        <v>460</v>
      </c>
      <c r="B38" s="17" t="n">
        <v>5860</v>
      </c>
      <c r="C38" s="18">
        <f>(4896.0/B38*100)</f>
        <v/>
      </c>
      <c r="D38" s="19" t="n">
        <v>964</v>
      </c>
      <c r="E38" s="18" t="n">
        <v>25.92529581</v>
      </c>
      <c r="F38" s="20" t="n">
        <v>1.89453334</v>
      </c>
      <c r="G38" s="18" t="n">
        <v>14.3549932</v>
      </c>
      <c r="H38" s="20" t="n">
        <v>1.15456166</v>
      </c>
      <c r="I38" s="18" t="n">
        <v>52.21219331</v>
      </c>
      <c r="J38" s="20" t="n">
        <v>1.93276971</v>
      </c>
      <c r="K38" s="18" t="n">
        <v>0</v>
      </c>
      <c r="L38" s="20" t="n">
        <v>0</v>
      </c>
      <c r="M38" s="18" t="n">
        <v>0.5453144</v>
      </c>
      <c r="N38" s="20" t="n">
        <v>0.23762847</v>
      </c>
      <c r="O38" s="18" t="n">
        <v>0.30415</v>
      </c>
      <c r="P38" s="20" t="n">
        <v>0.18010711</v>
      </c>
      <c r="Q38" s="18" t="n">
        <v>0</v>
      </c>
      <c r="R38" s="20" t="n">
        <v>0</v>
      </c>
      <c r="S38" s="18" t="n">
        <v>6.65805327</v>
      </c>
      <c r="T38" s="20" t="n">
        <v>0.86713723</v>
      </c>
    </row>
    <row r="39" spans="1:20">
      <c r="A39" s="15" t="s">
        <v>461</v>
      </c>
      <c r="B39" s="17" t="n">
        <v>5895</v>
      </c>
      <c r="C39" s="18">
        <f>(5169.0/B39*100)</f>
        <v/>
      </c>
      <c r="D39" s="19" t="n">
        <v>726</v>
      </c>
      <c r="E39" s="18" t="n">
        <v>40.95628483</v>
      </c>
      <c r="F39" s="20" t="n">
        <v>2.17583483</v>
      </c>
      <c r="G39" s="18" t="n">
        <v>4.19954777</v>
      </c>
      <c r="H39" s="20" t="n">
        <v>0.94865068</v>
      </c>
      <c r="I39" s="18" t="n">
        <v>45.17016715</v>
      </c>
      <c r="J39" s="20" t="n">
        <v>2.39779391</v>
      </c>
      <c r="K39" s="18" t="n">
        <v>0</v>
      </c>
      <c r="L39" s="20" t="n">
        <v>0</v>
      </c>
      <c r="M39" s="18" t="n">
        <v>0.27539974</v>
      </c>
      <c r="N39" s="20" t="n">
        <v>0.19281364</v>
      </c>
      <c r="O39" s="18" t="n">
        <v>0.12230302</v>
      </c>
      <c r="P39" s="20" t="n">
        <v>0.1257731</v>
      </c>
      <c r="Q39" s="18" t="n">
        <v>0</v>
      </c>
      <c r="R39" s="20" t="n">
        <v>0</v>
      </c>
      <c r="S39" s="18" t="n">
        <v>9.27629748</v>
      </c>
      <c r="T39" s="20" t="n">
        <v>1.10997782</v>
      </c>
    </row>
    <row r="40" spans="1:20">
      <c r="A40" s="15" t="s">
        <v>462</v>
      </c>
      <c r="B40" s="17" t="n">
        <v>14157</v>
      </c>
      <c r="C40" s="18">
        <f>(12433.0/B40*100)</f>
        <v/>
      </c>
      <c r="D40" s="19" t="n">
        <v>1724</v>
      </c>
      <c r="E40" s="18" t="n">
        <v>12.70751408</v>
      </c>
      <c r="F40" s="20" t="n">
        <v>1.2524492</v>
      </c>
      <c r="G40" s="18" t="n">
        <v>24.71995511</v>
      </c>
      <c r="H40" s="20" t="n">
        <v>1.74451795</v>
      </c>
      <c r="I40" s="18" t="n">
        <v>55.61796729</v>
      </c>
      <c r="J40" s="20" t="n">
        <v>2.16816383</v>
      </c>
      <c r="K40" s="18" t="n">
        <v>0</v>
      </c>
      <c r="L40" s="20" t="n">
        <v>0</v>
      </c>
      <c r="M40" s="18" t="n">
        <v>0.40509022</v>
      </c>
      <c r="N40" s="20" t="n">
        <v>0.1850635</v>
      </c>
      <c r="O40" s="18" t="n">
        <v>0.15549364</v>
      </c>
      <c r="P40" s="20" t="n">
        <v>0.15375247</v>
      </c>
      <c r="Q40" s="18" t="n">
        <v>0</v>
      </c>
      <c r="R40" s="20" t="n">
        <v>0</v>
      </c>
      <c r="S40" s="18" t="n">
        <v>6.39397965</v>
      </c>
      <c r="T40" s="20" t="n">
        <v>0.91770313</v>
      </c>
    </row>
    <row r="41" spans="1:20">
      <c r="A41" s="15" t="s">
        <v>463</v>
      </c>
      <c r="B41" s="17" t="n">
        <v>5712</v>
      </c>
      <c r="C41" s="18">
        <f>(5036.0/B41*100)</f>
        <v/>
      </c>
      <c r="D41" s="19" t="n">
        <v>676</v>
      </c>
      <c r="E41" s="18" t="n">
        <v>16.35428747</v>
      </c>
      <c r="F41" s="20" t="n">
        <v>1.54025669</v>
      </c>
      <c r="G41" s="18" t="n">
        <v>8.150119289999999</v>
      </c>
      <c r="H41" s="20" t="n">
        <v>1.04141966</v>
      </c>
      <c r="I41" s="18" t="n">
        <v>72.91430029999999</v>
      </c>
      <c r="J41" s="20" t="n">
        <v>1.8572934</v>
      </c>
      <c r="K41" s="18" t="n">
        <v>0</v>
      </c>
      <c r="L41" s="20" t="n">
        <v>0</v>
      </c>
      <c r="M41" s="18" t="n">
        <v>0.39267677</v>
      </c>
      <c r="N41" s="20" t="n">
        <v>0.23460536</v>
      </c>
      <c r="O41" s="18" t="n">
        <v>0</v>
      </c>
      <c r="P41" s="20" t="n">
        <v>0</v>
      </c>
      <c r="Q41" s="18" t="n">
        <v>0</v>
      </c>
      <c r="R41" s="20" t="n">
        <v>0</v>
      </c>
      <c r="S41" s="18" t="n">
        <v>2.18861618</v>
      </c>
      <c r="T41" s="20" t="n">
        <v>0.57398032</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(4337.0/B44*100)</f>
        <v/>
      </c>
      <c r="D44" s="19" t="n">
        <v>878</v>
      </c>
      <c r="E44" s="18" t="n">
        <v>15.16689186</v>
      </c>
      <c r="F44" s="20" t="n">
        <v>1.39822432</v>
      </c>
      <c r="G44" s="18" t="n">
        <v>44.13909359</v>
      </c>
      <c r="H44" s="20" t="n">
        <v>1.53243658</v>
      </c>
      <c r="I44" s="18" t="n">
        <v>19.62171944</v>
      </c>
      <c r="J44" s="20" t="n">
        <v>1.42484056</v>
      </c>
      <c r="K44" s="18" t="n">
        <v>0</v>
      </c>
      <c r="L44" s="20" t="n">
        <v>0</v>
      </c>
      <c r="M44" s="18" t="n">
        <v>0</v>
      </c>
      <c r="N44" s="20" t="n">
        <v>0</v>
      </c>
      <c r="O44" s="18" t="n">
        <v>0</v>
      </c>
      <c r="P44" s="20" t="n">
        <v>0</v>
      </c>
      <c r="Q44" s="18" t="n">
        <v>0</v>
      </c>
      <c r="R44" s="20" t="n">
        <v>0</v>
      </c>
      <c r="S44" s="18" t="n">
        <v>21.07229511</v>
      </c>
      <c r="T44" s="20" t="n">
        <v>1.45990778</v>
      </c>
    </row>
    <row r="45" spans="1:20">
      <c r="A45" s="15" t="s">
        <v>468</v>
      </c>
      <c r="B45" s="17" t="n">
        <v>5519</v>
      </c>
      <c r="C45" s="18">
        <f>(4590.0/B45*100)</f>
        <v/>
      </c>
      <c r="D45" s="19" t="n">
        <v>929</v>
      </c>
      <c r="E45" s="18" t="n">
        <v>47.22831837</v>
      </c>
      <c r="F45" s="20" t="n">
        <v>1.76491432</v>
      </c>
      <c r="G45" s="18" t="n">
        <v>13.38588223</v>
      </c>
      <c r="H45" s="20" t="n">
        <v>1.42602103</v>
      </c>
      <c r="I45" s="18" t="n">
        <v>7.90857309</v>
      </c>
      <c r="J45" s="20" t="n">
        <v>1.12430657</v>
      </c>
      <c r="K45" s="18" t="n">
        <v>0</v>
      </c>
      <c r="L45" s="20" t="n">
        <v>0</v>
      </c>
      <c r="M45" s="18" t="n">
        <v>0</v>
      </c>
      <c r="N45" s="20" t="n">
        <v>0</v>
      </c>
      <c r="O45" s="18" t="n">
        <v>0.41015032</v>
      </c>
      <c r="P45" s="20" t="n">
        <v>0.19431166</v>
      </c>
      <c r="Q45" s="18" t="n">
        <v>0</v>
      </c>
      <c r="R45" s="20" t="n">
        <v>0</v>
      </c>
      <c r="S45" s="18" t="n">
        <v>31.067076</v>
      </c>
      <c r="T45" s="20" t="n">
        <v>1.72225918</v>
      </c>
    </row>
    <row r="46" spans="1:20">
      <c r="A46" s="15" t="s">
        <v>469</v>
      </c>
      <c r="B46" s="17" t="n">
        <v>23141</v>
      </c>
      <c r="C46" s="18">
        <f>(20583.0/B46*100)</f>
        <v/>
      </c>
      <c r="D46" s="19" t="n">
        <v>2558</v>
      </c>
      <c r="E46" s="18" t="n">
        <v>21.99267293</v>
      </c>
      <c r="F46" s="20" t="n">
        <v>1.38787651</v>
      </c>
      <c r="G46" s="18" t="n">
        <v>3.31564137</v>
      </c>
      <c r="H46" s="20" t="n">
        <v>0.41432301</v>
      </c>
      <c r="I46" s="18" t="n">
        <v>63.71676264</v>
      </c>
      <c r="J46" s="20" t="n">
        <v>1.42575349</v>
      </c>
      <c r="K46" s="18" t="n">
        <v>0</v>
      </c>
      <c r="L46" s="20" t="n">
        <v>0</v>
      </c>
      <c r="M46" s="18" t="n">
        <v>0.74145789</v>
      </c>
      <c r="N46" s="20" t="n">
        <v>0.26025206</v>
      </c>
      <c r="O46" s="18" t="n">
        <v>0.16414437</v>
      </c>
      <c r="P46" s="20" t="n">
        <v>0.07699549</v>
      </c>
      <c r="Q46" s="18" t="n">
        <v>0</v>
      </c>
      <c r="R46" s="20" t="n">
        <v>0</v>
      </c>
      <c r="S46" s="18" t="n">
        <v>10.0693208</v>
      </c>
      <c r="T46" s="20" t="n">
        <v>0.77463838</v>
      </c>
    </row>
    <row r="47" spans="1:20">
      <c r="A47" s="15" t="s">
        <v>470</v>
      </c>
      <c r="B47" s="17" t="n">
        <v>5928</v>
      </c>
      <c r="C47" s="18">
        <f>(5217.0/B47*100)</f>
        <v/>
      </c>
      <c r="D47" s="19" t="n">
        <v>711</v>
      </c>
      <c r="E47" s="18" t="n">
        <v>24.4221419</v>
      </c>
      <c r="F47" s="20" t="n">
        <v>1.65271629</v>
      </c>
      <c r="G47" s="18" t="n">
        <v>5.64801989</v>
      </c>
      <c r="H47" s="20" t="n">
        <v>0.86993856</v>
      </c>
      <c r="I47" s="18" t="n">
        <v>54.04227031</v>
      </c>
      <c r="J47" s="20" t="n">
        <v>2.01554643</v>
      </c>
      <c r="K47" s="18" t="n">
        <v>0</v>
      </c>
      <c r="L47" s="20" t="n">
        <v>0</v>
      </c>
      <c r="M47" s="18" t="n">
        <v>0.83105726</v>
      </c>
      <c r="N47" s="20" t="n">
        <v>0.39517057</v>
      </c>
      <c r="O47" s="18" t="n">
        <v>0</v>
      </c>
      <c r="P47" s="20" t="n">
        <v>0</v>
      </c>
      <c r="Q47" s="18" t="n">
        <v>0</v>
      </c>
      <c r="R47" s="20" t="n">
        <v>0</v>
      </c>
      <c r="S47" s="18" t="n">
        <v>15.05651065</v>
      </c>
      <c r="T47" s="20" t="n">
        <v>1.54865042</v>
      </c>
    </row>
    <row r="48" spans="1:20">
      <c r="A48" s="15" t="s">
        <v>471</v>
      </c>
      <c r="B48" s="17" t="n">
        <v>9841</v>
      </c>
      <c r="C48" s="18">
        <f>(8592.0/B48*100)</f>
        <v/>
      </c>
      <c r="D48" s="19" t="n">
        <v>1249</v>
      </c>
      <c r="E48" s="18" t="n">
        <v>19.43259131</v>
      </c>
      <c r="F48" s="20" t="n">
        <v>1.73944898</v>
      </c>
      <c r="G48" s="18" t="n">
        <v>0.90431542</v>
      </c>
      <c r="H48" s="20" t="n">
        <v>0.31671899</v>
      </c>
      <c r="I48" s="18" t="n">
        <v>71.03258461999999</v>
      </c>
      <c r="J48" s="20" t="n">
        <v>2.15936395</v>
      </c>
      <c r="K48" s="18" t="n">
        <v>0</v>
      </c>
      <c r="L48" s="20" t="n">
        <v>0</v>
      </c>
      <c r="M48" s="18" t="n">
        <v>0.36850267</v>
      </c>
      <c r="N48" s="20" t="n">
        <v>0.23340417</v>
      </c>
      <c r="O48" s="18" t="n">
        <v>0</v>
      </c>
      <c r="P48" s="20" t="n">
        <v>0</v>
      </c>
      <c r="Q48" s="18" t="n">
        <v>0</v>
      </c>
      <c r="R48" s="20" t="n">
        <v>0</v>
      </c>
      <c r="S48" s="18" t="n">
        <v>8.26200599</v>
      </c>
      <c r="T48" s="20" t="n">
        <v>1.07306568</v>
      </c>
    </row>
    <row r="49" spans="1:20">
      <c r="A49" s="15" t="s">
        <v>472</v>
      </c>
      <c r="B49" s="17" t="n">
        <v>11795</v>
      </c>
      <c r="C49" s="18">
        <f>(10389.0/B49*100)</f>
        <v/>
      </c>
      <c r="D49" s="19" t="n">
        <v>1406</v>
      </c>
      <c r="E49" s="18" t="n">
        <v>19.36240605</v>
      </c>
      <c r="F49" s="20" t="n">
        <v>1.45584477</v>
      </c>
      <c r="G49" s="18" t="n">
        <v>11.64565198</v>
      </c>
      <c r="H49" s="20" t="n">
        <v>1.18786826</v>
      </c>
      <c r="I49" s="18" t="n">
        <v>62.93473466</v>
      </c>
      <c r="J49" s="20" t="n">
        <v>1.72558738</v>
      </c>
      <c r="K49" s="18" t="n">
        <v>0</v>
      </c>
      <c r="L49" s="20" t="n">
        <v>0</v>
      </c>
      <c r="M49" s="18" t="n">
        <v>1.30078181</v>
      </c>
      <c r="N49" s="20" t="n">
        <v>0.45958452</v>
      </c>
      <c r="O49" s="18" t="n">
        <v>0.05820398</v>
      </c>
      <c r="P49" s="20" t="n">
        <v>0.05786871</v>
      </c>
      <c r="Q49" s="18" t="n">
        <v>0</v>
      </c>
      <c r="R49" s="20" t="n">
        <v>0</v>
      </c>
      <c r="S49" s="18" t="n">
        <v>4.69822151</v>
      </c>
      <c r="T49" s="20" t="n">
        <v>0.74989381</v>
      </c>
    </row>
    <row r="50" spans="1:20">
      <c r="A50" s="15" t="s">
        <v>473</v>
      </c>
      <c r="B50" s="17" t="n">
        <v>6866</v>
      </c>
      <c r="C50" s="18">
        <f>(6145.0/B50*100)</f>
        <v/>
      </c>
      <c r="D50" s="19" t="n">
        <v>721</v>
      </c>
      <c r="E50" s="18" t="n">
        <v>22.78818021</v>
      </c>
      <c r="F50" s="20" t="n">
        <v>1.6239335</v>
      </c>
      <c r="G50" s="18" t="n">
        <v>10.67315263</v>
      </c>
      <c r="H50" s="20" t="n">
        <v>1.2000249</v>
      </c>
      <c r="I50" s="18" t="n">
        <v>61.52695641</v>
      </c>
      <c r="J50" s="20" t="n">
        <v>1.95993434</v>
      </c>
      <c r="K50" s="18" t="n">
        <v>0</v>
      </c>
      <c r="L50" s="20" t="n">
        <v>0</v>
      </c>
      <c r="M50" s="18" t="n">
        <v>0.39330401</v>
      </c>
      <c r="N50" s="20" t="n">
        <v>0.26232377</v>
      </c>
      <c r="O50" s="18" t="n">
        <v>0</v>
      </c>
      <c r="P50" s="20" t="n">
        <v>0</v>
      </c>
      <c r="Q50" s="18" t="n">
        <v>0</v>
      </c>
      <c r="R50" s="20" t="n">
        <v>0</v>
      </c>
      <c r="S50" s="18" t="n">
        <v>4.61840673</v>
      </c>
      <c r="T50" s="20" t="n">
        <v>0.79535246</v>
      </c>
    </row>
    <row r="51" spans="1:20">
      <c r="A51" s="15" t="s">
        <v>474</v>
      </c>
      <c r="B51" s="17" t="n">
        <v>5809</v>
      </c>
      <c r="C51" s="18">
        <f>(5089.0/B51*100)</f>
        <v/>
      </c>
      <c r="D51" s="19" t="n">
        <v>720</v>
      </c>
      <c r="E51" s="18" t="n">
        <v>15.61614316</v>
      </c>
      <c r="F51" s="20" t="n">
        <v>1.35232501</v>
      </c>
      <c r="G51" s="18" t="n">
        <v>6.33586087</v>
      </c>
      <c r="H51" s="20" t="n">
        <v>0.83378626</v>
      </c>
      <c r="I51" s="18" t="n">
        <v>70.49230658</v>
      </c>
      <c r="J51" s="20" t="n">
        <v>1.88405665</v>
      </c>
      <c r="K51" s="18" t="n">
        <v>0</v>
      </c>
      <c r="L51" s="20" t="n">
        <v>0</v>
      </c>
      <c r="M51" s="18" t="n">
        <v>0.1528908</v>
      </c>
      <c r="N51" s="20" t="n">
        <v>0.15261094</v>
      </c>
      <c r="O51" s="18" t="n">
        <v>0</v>
      </c>
      <c r="P51" s="20" t="n">
        <v>0</v>
      </c>
      <c r="Q51" s="18" t="n">
        <v>0</v>
      </c>
      <c r="R51" s="20" t="n">
        <v>0</v>
      </c>
      <c r="S51" s="18" t="n">
        <v>7.40279859</v>
      </c>
      <c r="T51" s="20" t="n">
        <v>0.93159974</v>
      </c>
    </row>
    <row r="52" spans="1:20">
      <c r="A52" s="15" t="s">
        <v>475</v>
      </c>
      <c r="B52" s="17" t="n">
        <v>5571</v>
      </c>
      <c r="C52" s="18">
        <f>(4892.0/B52*100)</f>
        <v/>
      </c>
      <c r="D52" s="19" t="n">
        <v>679</v>
      </c>
      <c r="E52" s="18" t="n">
        <v>17.70358207</v>
      </c>
      <c r="F52" s="20" t="n">
        <v>1.66778351</v>
      </c>
      <c r="G52" s="18" t="n">
        <v>9.55002561</v>
      </c>
      <c r="H52" s="20" t="n">
        <v>1.01299851</v>
      </c>
      <c r="I52" s="18" t="n">
        <v>60.44934029</v>
      </c>
      <c r="J52" s="20" t="n">
        <v>1.91921687</v>
      </c>
      <c r="K52" s="18" t="n">
        <v>0</v>
      </c>
      <c r="L52" s="20" t="n">
        <v>0</v>
      </c>
      <c r="M52" s="18" t="n">
        <v>0.54693829</v>
      </c>
      <c r="N52" s="20" t="n">
        <v>0.28923121</v>
      </c>
      <c r="O52" s="18" t="n">
        <v>0</v>
      </c>
      <c r="P52" s="20" t="n">
        <v>0</v>
      </c>
      <c r="Q52" s="18" t="n">
        <v>0</v>
      </c>
      <c r="R52" s="20" t="n">
        <v>0</v>
      </c>
      <c r="S52" s="18" t="n">
        <v>11.75011373</v>
      </c>
      <c r="T52" s="20" t="n">
        <v>1.35755582</v>
      </c>
    </row>
    <row r="53" spans="1:20">
      <c r="A53" s="15" t="s">
        <v>476</v>
      </c>
      <c r="B53" s="17" t="n">
        <v>4740</v>
      </c>
      <c r="C53" s="18">
        <f>(3943.0/B53*100)</f>
        <v/>
      </c>
      <c r="D53" s="19" t="n">
        <v>797</v>
      </c>
      <c r="E53" s="18" t="n">
        <v>24.87502171</v>
      </c>
      <c r="F53" s="20" t="n">
        <v>1.6214006</v>
      </c>
      <c r="G53" s="18" t="n">
        <v>7.02465886</v>
      </c>
      <c r="H53" s="20" t="n">
        <v>0.98711178</v>
      </c>
      <c r="I53" s="18" t="n">
        <v>46.89506778</v>
      </c>
      <c r="J53" s="20" t="n">
        <v>1.87879316</v>
      </c>
      <c r="K53" s="18" t="n">
        <v>0</v>
      </c>
      <c r="L53" s="20" t="n">
        <v>0</v>
      </c>
      <c r="M53" s="18" t="n">
        <v>9.65789745</v>
      </c>
      <c r="N53" s="20" t="n">
        <v>1.09134345</v>
      </c>
      <c r="O53" s="18" t="n">
        <v>0.26151833</v>
      </c>
      <c r="P53" s="20" t="n">
        <v>0.26764959</v>
      </c>
      <c r="Q53" s="18" t="n">
        <v>0</v>
      </c>
      <c r="R53" s="20" t="n">
        <v>0</v>
      </c>
      <c r="S53" s="18" t="n">
        <v>11.28583587</v>
      </c>
      <c r="T53" s="20" t="n">
        <v>1.46510727</v>
      </c>
    </row>
    <row r="54" spans="1:20">
      <c r="A54" s="15" t="s">
        <v>477</v>
      </c>
      <c r="B54" s="17" t="n">
        <v>5316</v>
      </c>
      <c r="C54" s="18">
        <f>(4447.0/B54*100)</f>
        <v/>
      </c>
      <c r="D54" s="19" t="n">
        <v>869</v>
      </c>
      <c r="E54" s="18" t="n">
        <v>21.18800645</v>
      </c>
      <c r="F54" s="20" t="n">
        <v>1.64919343</v>
      </c>
      <c r="G54" s="18" t="n">
        <v>6.76305202</v>
      </c>
      <c r="H54" s="20" t="n">
        <v>0.94537657</v>
      </c>
      <c r="I54" s="18" t="n">
        <v>45.4705969</v>
      </c>
      <c r="J54" s="20" t="n">
        <v>1.73129575</v>
      </c>
      <c r="K54" s="18" t="n">
        <v>0</v>
      </c>
      <c r="L54" s="20" t="n">
        <v>0</v>
      </c>
      <c r="M54" s="18" t="n">
        <v>0</v>
      </c>
      <c r="N54" s="20" t="n">
        <v>0</v>
      </c>
      <c r="O54" s="18" t="n">
        <v>0</v>
      </c>
      <c r="P54" s="20" t="n">
        <v>0</v>
      </c>
      <c r="Q54" s="18" t="n">
        <v>0.24915489</v>
      </c>
      <c r="R54" s="20" t="n">
        <v>0.17277902</v>
      </c>
      <c r="S54" s="18" t="n">
        <v>26.32918974</v>
      </c>
      <c r="T54" s="20" t="n">
        <v>1.70245519</v>
      </c>
    </row>
    <row r="55" spans="1:20">
      <c r="A55" s="15" t="s">
        <v>478</v>
      </c>
      <c r="B55" s="17" t="n">
        <v>5359</v>
      </c>
      <c r="C55" s="18">
        <f>(4691.0/B55*100)</f>
        <v/>
      </c>
      <c r="D55" s="19" t="n">
        <v>668</v>
      </c>
      <c r="E55" s="18" t="n">
        <v>12.19715145</v>
      </c>
      <c r="F55" s="20" t="n">
        <v>1.30954891</v>
      </c>
      <c r="G55" s="18" t="n">
        <v>1.8585421</v>
      </c>
      <c r="H55" s="20" t="n">
        <v>0.5455755</v>
      </c>
      <c r="I55" s="18" t="n">
        <v>80.78041874</v>
      </c>
      <c r="J55" s="20" t="n">
        <v>1.64570709</v>
      </c>
      <c r="K55" s="18" t="n">
        <v>0</v>
      </c>
      <c r="L55" s="20" t="n">
        <v>0</v>
      </c>
      <c r="M55" s="18" t="n">
        <v>0.21439979</v>
      </c>
      <c r="N55" s="20" t="n">
        <v>0.20992667</v>
      </c>
      <c r="O55" s="18" t="n">
        <v>0</v>
      </c>
      <c r="P55" s="20" t="n">
        <v>0</v>
      </c>
      <c r="Q55" s="18" t="n">
        <v>0</v>
      </c>
      <c r="R55" s="20" t="n">
        <v>0</v>
      </c>
      <c r="S55" s="18" t="n">
        <v>4.94948792</v>
      </c>
      <c r="T55" s="20" t="n">
        <v>0.68507945</v>
      </c>
    </row>
    <row r="56" spans="1:20">
      <c r="A56" s="15" t="s">
        <v>479</v>
      </c>
      <c r="B56" s="17" t="n">
        <v>6513</v>
      </c>
      <c r="C56" s="18">
        <f>(5405.0/B56*100)</f>
        <v/>
      </c>
      <c r="D56" s="19" t="n">
        <v>1108</v>
      </c>
      <c r="E56" s="18" t="n">
        <v>40.68709695</v>
      </c>
      <c r="F56" s="20" t="n">
        <v>1.62738032</v>
      </c>
      <c r="G56" s="18" t="n">
        <v>33.07043658</v>
      </c>
      <c r="H56" s="20" t="n">
        <v>1.62900589</v>
      </c>
      <c r="I56" s="18" t="n">
        <v>18.40801993</v>
      </c>
      <c r="J56" s="20" t="n">
        <v>1.12301967</v>
      </c>
      <c r="K56" s="18" t="n">
        <v>0</v>
      </c>
      <c r="L56" s="20" t="n">
        <v>0</v>
      </c>
      <c r="M56" s="18" t="n">
        <v>0</v>
      </c>
      <c r="N56" s="20" t="n">
        <v>0</v>
      </c>
      <c r="O56" s="18" t="n">
        <v>0</v>
      </c>
      <c r="P56" s="20" t="n">
        <v>0</v>
      </c>
      <c r="Q56" s="18" t="n">
        <v>0</v>
      </c>
      <c r="R56" s="20" t="n">
        <v>0</v>
      </c>
      <c r="S56" s="18" t="n">
        <v>7.83444654</v>
      </c>
      <c r="T56" s="20" t="n">
        <v>1.14731555</v>
      </c>
    </row>
    <row r="57" spans="1:20">
      <c r="A57" s="15" t="s">
        <v>480</v>
      </c>
      <c r="B57" s="17" t="n">
        <v>7267</v>
      </c>
      <c r="C57" s="18">
        <f>(6058.0/B57*100)</f>
        <v/>
      </c>
      <c r="D57" s="19" t="n">
        <v>1209</v>
      </c>
      <c r="E57" s="18" t="n">
        <v>18.78964027</v>
      </c>
      <c r="F57" s="20" t="n">
        <v>1.26495029</v>
      </c>
      <c r="G57" s="18" t="n">
        <v>34.51384858</v>
      </c>
      <c r="H57" s="20" t="n">
        <v>1.70780939</v>
      </c>
      <c r="I57" s="18" t="n">
        <v>25.62152903</v>
      </c>
      <c r="J57" s="20" t="n">
        <v>1.48329377</v>
      </c>
      <c r="K57" s="18" t="n">
        <v>0</v>
      </c>
      <c r="L57" s="20" t="n">
        <v>0</v>
      </c>
      <c r="M57" s="18" t="n">
        <v>0</v>
      </c>
      <c r="N57" s="20" t="n">
        <v>0</v>
      </c>
      <c r="O57" s="18" t="n">
        <v>0</v>
      </c>
      <c r="P57" s="20" t="n">
        <v>0</v>
      </c>
      <c r="Q57" s="18" t="n">
        <v>0</v>
      </c>
      <c r="R57" s="20" t="n">
        <v>0</v>
      </c>
      <c r="S57" s="18" t="n">
        <v>21.07498213</v>
      </c>
      <c r="T57" s="20" t="n">
        <v>1.81224359</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(4033.0/B59*100)</f>
        <v/>
      </c>
      <c r="D59" s="19" t="n">
        <v>793</v>
      </c>
      <c r="E59" s="18" t="n">
        <v>56.79942465</v>
      </c>
      <c r="F59" s="20" t="n">
        <v>2.18604195</v>
      </c>
      <c r="G59" s="18" t="n">
        <v>16.46220557</v>
      </c>
      <c r="H59" s="20" t="n">
        <v>1.82614231</v>
      </c>
      <c r="I59" s="18" t="n">
        <v>7.16836706</v>
      </c>
      <c r="J59" s="20" t="n">
        <v>1.25341537</v>
      </c>
      <c r="K59" s="18" t="n">
        <v>0</v>
      </c>
      <c r="L59" s="20" t="n">
        <v>0</v>
      </c>
      <c r="M59" s="18" t="n">
        <v>0</v>
      </c>
      <c r="N59" s="20" t="n">
        <v>0</v>
      </c>
      <c r="O59" s="18" t="n">
        <v>0</v>
      </c>
      <c r="P59" s="20" t="n">
        <v>0</v>
      </c>
      <c r="Q59" s="18" t="n">
        <v>0.05088307</v>
      </c>
      <c r="R59" s="20" t="n">
        <v>0.05105383</v>
      </c>
      <c r="S59" s="18" t="n">
        <v>19.51911965</v>
      </c>
      <c r="T59" s="20" t="n">
        <v>1.66795666</v>
      </c>
    </row>
    <row r="60" spans="1:20">
      <c r="A60" s="15" t="s">
        <v>484</v>
      </c>
      <c r="B60" s="17" t="n">
        <v>4546</v>
      </c>
      <c r="C60" s="18">
        <f>(3786.0/B60*100)</f>
        <v/>
      </c>
      <c r="D60" s="19" t="n">
        <v>760</v>
      </c>
      <c r="E60" s="18" t="n">
        <v>29.57615721</v>
      </c>
      <c r="F60" s="20" t="n">
        <v>2.09212293</v>
      </c>
      <c r="G60" s="18" t="n">
        <v>14.37458705</v>
      </c>
      <c r="H60" s="20" t="n">
        <v>1.40740426</v>
      </c>
      <c r="I60" s="18" t="n">
        <v>9.131516360000001</v>
      </c>
      <c r="J60" s="20" t="n">
        <v>0.89335566</v>
      </c>
      <c r="K60" s="18" t="n">
        <v>0</v>
      </c>
      <c r="L60" s="20" t="n">
        <v>0</v>
      </c>
      <c r="M60" s="18" t="n">
        <v>0</v>
      </c>
      <c r="N60" s="20" t="n">
        <v>0</v>
      </c>
      <c r="O60" s="18" t="n">
        <v>0</v>
      </c>
      <c r="P60" s="20" t="n">
        <v>0</v>
      </c>
      <c r="Q60" s="18" t="n">
        <v>0</v>
      </c>
      <c r="R60" s="20" t="n">
        <v>0</v>
      </c>
      <c r="S60" s="18" t="n">
        <v>46.91773938</v>
      </c>
      <c r="T60" s="20" t="n">
        <v>2.27071442</v>
      </c>
    </row>
    <row r="61" spans="1:20">
      <c r="A61" s="15" t="s">
        <v>485</v>
      </c>
      <c r="B61" s="17" t="n">
        <v>6525</v>
      </c>
      <c r="C61" s="18">
        <f>(5741.0/B61*100)</f>
        <v/>
      </c>
      <c r="D61" s="19" t="n">
        <v>784</v>
      </c>
      <c r="E61" s="18" t="n">
        <v>26.11596784</v>
      </c>
      <c r="F61" s="20" t="n">
        <v>1.89742991</v>
      </c>
      <c r="G61" s="18" t="n">
        <v>5.54184613</v>
      </c>
      <c r="H61" s="20" t="n">
        <v>0.97974843</v>
      </c>
      <c r="I61" s="18" t="n">
        <v>60.95275555</v>
      </c>
      <c r="J61" s="20" t="n">
        <v>1.85720926</v>
      </c>
      <c r="K61" s="18" t="n">
        <v>0</v>
      </c>
      <c r="L61" s="20" t="n">
        <v>0</v>
      </c>
      <c r="M61" s="18" t="n">
        <v>0.27568562</v>
      </c>
      <c r="N61" s="20" t="n">
        <v>0.17211168</v>
      </c>
      <c r="O61" s="18" t="n">
        <v>0</v>
      </c>
      <c r="P61" s="20" t="n">
        <v>0</v>
      </c>
      <c r="Q61" s="18" t="n">
        <v>0</v>
      </c>
      <c r="R61" s="20" t="n">
        <v>0</v>
      </c>
      <c r="S61" s="18" t="n">
        <v>7.11374486</v>
      </c>
      <c r="T61" s="20" t="n">
        <v>1.0148688</v>
      </c>
    </row>
    <row r="62" spans="1:20">
      <c r="A62" s="15" t="s">
        <v>486</v>
      </c>
      <c r="B62" s="17" t="n">
        <v>4476</v>
      </c>
      <c r="C62" s="18">
        <f>(3925.0/B62*100)</f>
        <v/>
      </c>
      <c r="D62" s="19" t="n">
        <v>551</v>
      </c>
      <c r="E62" s="18" t="n">
        <v>23.06562868</v>
      </c>
      <c r="F62" s="20" t="n">
        <v>1.78431955</v>
      </c>
      <c r="G62" s="18" t="n">
        <v>3.09132388</v>
      </c>
      <c r="H62" s="20" t="n">
        <v>0.80008233</v>
      </c>
      <c r="I62" s="18" t="n">
        <v>70.20418711000001</v>
      </c>
      <c r="J62" s="20" t="n">
        <v>1.87670162</v>
      </c>
      <c r="K62" s="18" t="n">
        <v>0</v>
      </c>
      <c r="L62" s="20" t="n">
        <v>0</v>
      </c>
      <c r="M62" s="18" t="n">
        <v>0</v>
      </c>
      <c r="N62" s="20" t="n">
        <v>0</v>
      </c>
      <c r="O62" s="18" t="n">
        <v>0</v>
      </c>
      <c r="P62" s="20" t="n">
        <v>0</v>
      </c>
      <c r="Q62" s="18" t="n">
        <v>0</v>
      </c>
      <c r="R62" s="20" t="n">
        <v>0</v>
      </c>
      <c r="S62" s="18" t="n">
        <v>3.63886033</v>
      </c>
      <c r="T62" s="20" t="n">
        <v>0.90556702</v>
      </c>
    </row>
    <row r="63" spans="1:20">
      <c r="A63" s="15" t="s">
        <v>487</v>
      </c>
      <c r="B63" s="17" t="n">
        <v>5324</v>
      </c>
      <c r="C63" s="18">
        <f>(4440.0/B63*100)</f>
        <v/>
      </c>
      <c r="D63" s="19" t="n">
        <v>884</v>
      </c>
      <c r="E63" s="18" t="n">
        <v>25.99267034</v>
      </c>
      <c r="F63" s="20" t="n">
        <v>1.57912799</v>
      </c>
      <c r="G63" s="18" t="n">
        <v>19.27207425</v>
      </c>
      <c r="H63" s="20" t="n">
        <v>1.42841944</v>
      </c>
      <c r="I63" s="18" t="n">
        <v>10.95411641</v>
      </c>
      <c r="J63" s="20" t="n">
        <v>1.26933619</v>
      </c>
      <c r="K63" s="18" t="n">
        <v>0</v>
      </c>
      <c r="L63" s="20" t="n">
        <v>0</v>
      </c>
      <c r="M63" s="18" t="n">
        <v>0</v>
      </c>
      <c r="N63" s="20" t="n">
        <v>0</v>
      </c>
      <c r="O63" s="18" t="n">
        <v>0</v>
      </c>
      <c r="P63" s="20" t="n">
        <v>0</v>
      </c>
      <c r="Q63" s="18" t="n">
        <v>0</v>
      </c>
      <c r="R63" s="20" t="n">
        <v>0</v>
      </c>
      <c r="S63" s="18" t="n">
        <v>43.781139</v>
      </c>
      <c r="T63" s="20" t="n">
        <v>1.67391451</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(3031.0/B65*100)</f>
        <v/>
      </c>
      <c r="D65" s="19" t="n">
        <v>603</v>
      </c>
      <c r="E65" s="18" t="n">
        <v>20.57573728</v>
      </c>
      <c r="F65" s="20" t="n">
        <v>1.52072329</v>
      </c>
      <c r="G65" s="18" t="n">
        <v>13.30407409</v>
      </c>
      <c r="H65" s="20" t="n">
        <v>1.18609035</v>
      </c>
      <c r="I65" s="18" t="n">
        <v>44.74384271</v>
      </c>
      <c r="J65" s="20" t="n">
        <v>1.85443777</v>
      </c>
      <c r="K65" s="18" t="n">
        <v>0</v>
      </c>
      <c r="L65" s="20" t="n">
        <v>0</v>
      </c>
      <c r="M65" s="18" t="n">
        <v>0</v>
      </c>
      <c r="N65" s="20" t="n">
        <v>0</v>
      </c>
      <c r="O65" s="18" t="n">
        <v>0</v>
      </c>
      <c r="P65" s="20" t="n">
        <v>0</v>
      </c>
      <c r="Q65" s="18" t="n">
        <v>0.36132024</v>
      </c>
      <c r="R65" s="20" t="n">
        <v>0.25402215</v>
      </c>
      <c r="S65" s="18" t="n">
        <v>21.01502567</v>
      </c>
      <c r="T65" s="20" t="n">
        <v>1.39766437</v>
      </c>
    </row>
    <row r="66" spans="1:20">
      <c r="A66" s="15" t="s">
        <v>490</v>
      </c>
      <c r="B66" s="17" t="n">
        <v>5325</v>
      </c>
      <c r="C66" s="18">
        <f>(4438.0/B66*100)</f>
        <v/>
      </c>
      <c r="D66" s="19" t="n">
        <v>887</v>
      </c>
      <c r="E66" s="18" t="n">
        <v>12.07007412</v>
      </c>
      <c r="F66" s="20" t="n">
        <v>1.09757318</v>
      </c>
      <c r="G66" s="18" t="n">
        <v>18.34336499</v>
      </c>
      <c r="H66" s="20" t="n">
        <v>1.2596102</v>
      </c>
      <c r="I66" s="18" t="n">
        <v>38.62344618</v>
      </c>
      <c r="J66" s="20" t="n">
        <v>1.55793115</v>
      </c>
      <c r="K66" s="18" t="n">
        <v>0</v>
      </c>
      <c r="L66" s="20" t="n">
        <v>0</v>
      </c>
      <c r="M66" s="18" t="n">
        <v>0</v>
      </c>
      <c r="N66" s="20" t="n">
        <v>0</v>
      </c>
      <c r="O66" s="18" t="n">
        <v>0.07354075</v>
      </c>
      <c r="P66" s="20" t="n">
        <v>0.07949383</v>
      </c>
      <c r="Q66" s="18" t="n">
        <v>0</v>
      </c>
      <c r="R66" s="20" t="n">
        <v>0</v>
      </c>
      <c r="S66" s="18" t="n">
        <v>30.88957397</v>
      </c>
      <c r="T66" s="20" t="n">
        <v>1.66141343</v>
      </c>
    </row>
    <row r="67" spans="1:20">
      <c r="A67" s="15" t="s">
        <v>491</v>
      </c>
      <c r="B67" s="17" t="n">
        <v>5665</v>
      </c>
      <c r="C67" s="18">
        <f>(4981.0/B67*100)</f>
        <v/>
      </c>
      <c r="D67" s="19" t="n">
        <v>684</v>
      </c>
      <c r="E67" s="18" t="n">
        <v>17.56119497</v>
      </c>
      <c r="F67" s="20" t="n">
        <v>1.5280982</v>
      </c>
      <c r="G67" s="18" t="n">
        <v>12.01192381</v>
      </c>
      <c r="H67" s="20" t="n">
        <v>1.22642759</v>
      </c>
      <c r="I67" s="18" t="n">
        <v>45.51404263</v>
      </c>
      <c r="J67" s="20" t="n">
        <v>1.92557148</v>
      </c>
      <c r="K67" s="18" t="n">
        <v>0</v>
      </c>
      <c r="L67" s="20" t="n">
        <v>0</v>
      </c>
      <c r="M67" s="18" t="n">
        <v>1.41202831</v>
      </c>
      <c r="N67" s="20" t="n">
        <v>0.45342322</v>
      </c>
      <c r="O67" s="18" t="n">
        <v>0.25767061</v>
      </c>
      <c r="P67" s="20" t="n">
        <v>0.1800844</v>
      </c>
      <c r="Q67" s="18" t="n">
        <v>0</v>
      </c>
      <c r="R67" s="20" t="n">
        <v>0</v>
      </c>
      <c r="S67" s="18" t="n">
        <v>23.24313966</v>
      </c>
      <c r="T67" s="20" t="n">
        <v>1.61056606</v>
      </c>
    </row>
    <row r="68" spans="1:20">
      <c r="A68" s="15" t="s">
        <v>492</v>
      </c>
      <c r="B68" s="17" t="n">
        <v>6971</v>
      </c>
      <c r="C68" s="18">
        <f>(6191.0/B68*100)</f>
        <v/>
      </c>
      <c r="D68" s="19" t="n">
        <v>780</v>
      </c>
      <c r="E68" s="18" t="n">
        <v>28.49051782</v>
      </c>
      <c r="F68" s="20" t="n">
        <v>1.45648416</v>
      </c>
      <c r="G68" s="18" t="n">
        <v>10.77162834</v>
      </c>
      <c r="H68" s="20" t="n">
        <v>1.15142124</v>
      </c>
      <c r="I68" s="18" t="n">
        <v>55.21893781</v>
      </c>
      <c r="J68" s="20" t="n">
        <v>1.76046964</v>
      </c>
      <c r="K68" s="18" t="n">
        <v>0</v>
      </c>
      <c r="L68" s="20" t="n">
        <v>0</v>
      </c>
      <c r="M68" s="18" t="n">
        <v>0.41337638</v>
      </c>
      <c r="N68" s="20" t="n">
        <v>0.24461204</v>
      </c>
      <c r="O68" s="18" t="n">
        <v>0.26915346</v>
      </c>
      <c r="P68" s="20" t="n">
        <v>0.1911588</v>
      </c>
      <c r="Q68" s="18" t="n">
        <v>0</v>
      </c>
      <c r="R68" s="20" t="n">
        <v>0</v>
      </c>
      <c r="S68" s="18" t="n">
        <v>4.83638619</v>
      </c>
      <c r="T68" s="20" t="n">
        <v>0.78767362</v>
      </c>
    </row>
    <row r="69" spans="1:20">
      <c r="A69" s="15" t="s">
        <v>493</v>
      </c>
      <c r="B69" s="17" t="n">
        <v>1398</v>
      </c>
      <c r="C69" s="18">
        <f>(1175.0/B69*100)</f>
        <v/>
      </c>
      <c r="D69" s="19" t="n">
        <v>223</v>
      </c>
      <c r="E69" s="18" t="n">
        <v>34.00392826</v>
      </c>
      <c r="F69" s="20" t="n">
        <v>3.07648003</v>
      </c>
      <c r="G69" s="18" t="n">
        <v>9.416710200000001</v>
      </c>
      <c r="H69" s="20" t="n">
        <v>1.77428345</v>
      </c>
      <c r="I69" s="18" t="n">
        <v>45.62543442</v>
      </c>
      <c r="J69" s="20" t="n">
        <v>3.04772862</v>
      </c>
      <c r="K69" s="18" t="n">
        <v>0</v>
      </c>
      <c r="L69" s="20" t="n">
        <v>0</v>
      </c>
      <c r="M69" s="18" t="n">
        <v>0</v>
      </c>
      <c r="N69" s="20" t="n">
        <v>0</v>
      </c>
      <c r="O69" s="18" t="n">
        <v>0</v>
      </c>
      <c r="P69" s="20" t="n">
        <v>0</v>
      </c>
      <c r="Q69" s="18" t="n">
        <v>0</v>
      </c>
      <c r="R69" s="20" t="n">
        <v>0</v>
      </c>
      <c r="S69" s="18" t="n">
        <v>10.95392712</v>
      </c>
      <c r="T69" s="20" t="n">
        <v>2.3419456</v>
      </c>
    </row>
    <row r="70" spans="1:20">
      <c r="A70" s="15" t="s">
        <v>494</v>
      </c>
      <c r="B70" s="17" t="n">
        <v>12083</v>
      </c>
      <c r="C70" s="18">
        <f>(10065.0/B70*100)</f>
        <v/>
      </c>
      <c r="D70" s="19" t="n">
        <v>2018</v>
      </c>
      <c r="E70" s="18" t="n">
        <v>38.36257441</v>
      </c>
      <c r="F70" s="20" t="n">
        <v>1.01801087</v>
      </c>
      <c r="G70" s="18" t="n">
        <v>10.34415183</v>
      </c>
      <c r="H70" s="20" t="n">
        <v>0.71408297</v>
      </c>
      <c r="I70" s="18" t="n">
        <v>38.44012949</v>
      </c>
      <c r="J70" s="20" t="n">
        <v>1.0010464</v>
      </c>
      <c r="K70" s="18" t="n">
        <v>0</v>
      </c>
      <c r="L70" s="20" t="n">
        <v>0</v>
      </c>
      <c r="M70" s="18" t="n">
        <v>2.49285301</v>
      </c>
      <c r="N70" s="20" t="n">
        <v>0.36630985</v>
      </c>
      <c r="O70" s="18" t="n">
        <v>0.04950039</v>
      </c>
      <c r="P70" s="20" t="n">
        <v>0.04941281</v>
      </c>
      <c r="Q70" s="18" t="n">
        <v>0</v>
      </c>
      <c r="R70" s="20" t="n">
        <v>0</v>
      </c>
      <c r="S70" s="18" t="n">
        <v>10.31079088</v>
      </c>
      <c r="T70" s="20" t="n">
        <v>0.68203397</v>
      </c>
    </row>
    <row r="71" spans="1:20">
      <c r="A71" s="15" t="s">
        <v>495</v>
      </c>
      <c r="B71" s="17" t="n">
        <v>4876</v>
      </c>
      <c r="C71" s="18">
        <f>(4073.0/B71*100)</f>
        <v/>
      </c>
      <c r="D71" s="19" t="n">
        <v>803</v>
      </c>
      <c r="E71" s="18" t="n">
        <v>26.43000147</v>
      </c>
      <c r="F71" s="20" t="n">
        <v>1.96226084</v>
      </c>
      <c r="G71" s="18" t="n">
        <v>27.76017274</v>
      </c>
      <c r="H71" s="20" t="n">
        <v>1.56906166</v>
      </c>
      <c r="I71" s="18" t="n">
        <v>42.93413901</v>
      </c>
      <c r="J71" s="20" t="n">
        <v>2.12138283</v>
      </c>
      <c r="K71" s="18" t="n">
        <v>0</v>
      </c>
      <c r="L71" s="20" t="n">
        <v>0</v>
      </c>
      <c r="M71" s="18" t="n">
        <v>0</v>
      </c>
      <c r="N71" s="20" t="n">
        <v>0</v>
      </c>
      <c r="O71" s="18" t="n">
        <v>0</v>
      </c>
      <c r="P71" s="20" t="n">
        <v>0</v>
      </c>
      <c r="Q71" s="18" t="n">
        <v>0</v>
      </c>
      <c r="R71" s="20" t="n">
        <v>0</v>
      </c>
      <c r="S71" s="18" t="n">
        <v>2.87568678</v>
      </c>
      <c r="T71" s="20" t="n">
        <v>0.75203924</v>
      </c>
    </row>
    <row r="72" spans="1:20">
      <c r="A72" s="15" t="s">
        <v>496</v>
      </c>
      <c r="B72" s="17" t="n">
        <v>6036</v>
      </c>
      <c r="C72" s="18">
        <f>(5307.0/B72*100)</f>
        <v/>
      </c>
      <c r="D72" s="19" t="n">
        <v>729</v>
      </c>
      <c r="E72" s="18" t="n">
        <v>21.64067384</v>
      </c>
      <c r="F72" s="20" t="n">
        <v>1.57854372</v>
      </c>
      <c r="G72" s="18" t="n">
        <v>4.97760369</v>
      </c>
      <c r="H72" s="20" t="n">
        <v>1.05122767</v>
      </c>
      <c r="I72" s="18" t="n">
        <v>66.44525861</v>
      </c>
      <c r="J72" s="20" t="n">
        <v>2.05091031</v>
      </c>
      <c r="K72" s="18" t="n">
        <v>0</v>
      </c>
      <c r="L72" s="20" t="n">
        <v>0</v>
      </c>
      <c r="M72" s="18" t="n">
        <v>0.07962513</v>
      </c>
      <c r="N72" s="20" t="n">
        <v>0.08163397999999999</v>
      </c>
      <c r="O72" s="18" t="n">
        <v>0.19147975</v>
      </c>
      <c r="P72" s="20" t="n">
        <v>0.13746475</v>
      </c>
      <c r="Q72" s="18" t="n">
        <v>0</v>
      </c>
      <c r="R72" s="20" t="n">
        <v>0</v>
      </c>
      <c r="S72" s="18" t="n">
        <v>6.66535898</v>
      </c>
      <c r="T72" s="20" t="n">
        <v>0.9354295500000001</v>
      </c>
    </row>
    <row r="73" spans="1:20">
      <c r="A73" s="15" t="s">
        <v>497</v>
      </c>
      <c r="B73" s="17" t="n">
        <v>6115</v>
      </c>
      <c r="C73" s="18">
        <f>(5356.0/B73*100)</f>
        <v/>
      </c>
      <c r="D73" s="19" t="n">
        <v>759</v>
      </c>
      <c r="E73" s="18" t="n">
        <v>18.72449052</v>
      </c>
      <c r="F73" s="20" t="n">
        <v>1.40165335</v>
      </c>
      <c r="G73" s="18" t="n">
        <v>8.889088429999999</v>
      </c>
      <c r="H73" s="20" t="n">
        <v>0.96523987</v>
      </c>
      <c r="I73" s="18" t="n">
        <v>69.73370438000001</v>
      </c>
      <c r="J73" s="20" t="n">
        <v>1.63062098</v>
      </c>
      <c r="K73" s="18" t="n">
        <v>0</v>
      </c>
      <c r="L73" s="20" t="n">
        <v>0</v>
      </c>
      <c r="M73" s="18" t="n">
        <v>0.12140006</v>
      </c>
      <c r="N73" s="20" t="n">
        <v>0.12139007</v>
      </c>
      <c r="O73" s="18" t="n">
        <v>0.06889099999999999</v>
      </c>
      <c r="P73" s="20" t="n">
        <v>0.06912153</v>
      </c>
      <c r="Q73" s="18" t="n">
        <v>0</v>
      </c>
      <c r="R73" s="20" t="n">
        <v>0</v>
      </c>
      <c r="S73" s="18" t="n">
        <v>2.46242562</v>
      </c>
      <c r="T73" s="20" t="n">
        <v>0.57687827</v>
      </c>
    </row>
    <row r="74" spans="1:20">
      <c r="A74" s="15" t="s">
        <v>498</v>
      </c>
      <c r="B74" s="17" t="n">
        <v>7708</v>
      </c>
      <c r="C74" s="18">
        <f>(6762.0/B74*100)</f>
        <v/>
      </c>
      <c r="D74" s="19" t="n">
        <v>946</v>
      </c>
      <c r="E74" s="18" t="n">
        <v>15.72630483</v>
      </c>
      <c r="F74" s="20" t="n">
        <v>1.14576059</v>
      </c>
      <c r="G74" s="18" t="n">
        <v>2.3619702</v>
      </c>
      <c r="H74" s="20" t="n">
        <v>0.49490681</v>
      </c>
      <c r="I74" s="18" t="n">
        <v>77.00092287</v>
      </c>
      <c r="J74" s="20" t="n">
        <v>1.43468262</v>
      </c>
      <c r="K74" s="18" t="n">
        <v>0</v>
      </c>
      <c r="L74" s="20" t="n">
        <v>0</v>
      </c>
      <c r="M74" s="18" t="n">
        <v>0.43542086</v>
      </c>
      <c r="N74" s="20" t="n">
        <v>0.22399355</v>
      </c>
      <c r="O74" s="18" t="n">
        <v>0</v>
      </c>
      <c r="P74" s="20" t="n">
        <v>0</v>
      </c>
      <c r="Q74" s="18" t="n">
        <v>0</v>
      </c>
      <c r="R74" s="20" t="n">
        <v>0</v>
      </c>
      <c r="S74" s="18" t="n">
        <v>4.47538124</v>
      </c>
      <c r="T74" s="20" t="n">
        <v>0.7356466699999999</v>
      </c>
    </row>
    <row r="75" spans="1:20">
      <c r="A75" s="15" t="s">
        <v>499</v>
      </c>
      <c r="B75" s="17" t="n">
        <v>8249</v>
      </c>
      <c r="C75" s="18">
        <f>(7266.0/B75*100)</f>
        <v/>
      </c>
      <c r="D75" s="19" t="n">
        <v>983</v>
      </c>
      <c r="E75" s="18" t="n">
        <v>28.22887482</v>
      </c>
      <c r="F75" s="20" t="n">
        <v>1.80375209</v>
      </c>
      <c r="G75" s="18" t="n">
        <v>5.09223909</v>
      </c>
      <c r="H75" s="20" t="n">
        <v>0.70996836</v>
      </c>
      <c r="I75" s="18" t="n">
        <v>63.68356723</v>
      </c>
      <c r="J75" s="20" t="n">
        <v>1.94347922</v>
      </c>
      <c r="K75" s="18" t="n">
        <v>0</v>
      </c>
      <c r="L75" s="20" t="n">
        <v>0</v>
      </c>
      <c r="M75" s="18" t="n">
        <v>0.00581482</v>
      </c>
      <c r="N75" s="20" t="n">
        <v>0.00585088</v>
      </c>
      <c r="O75" s="18" t="n">
        <v>0.34753759</v>
      </c>
      <c r="P75" s="20" t="n">
        <v>0.30309364</v>
      </c>
      <c r="Q75" s="18" t="n">
        <v>0</v>
      </c>
      <c r="R75" s="20" t="n">
        <v>0</v>
      </c>
      <c r="S75" s="18" t="n">
        <v>2.64196645</v>
      </c>
      <c r="T75" s="20" t="n">
        <v>0.56604374</v>
      </c>
    </row>
    <row r="76" spans="1:20">
      <c r="A76" s="15" t="s">
        <v>500</v>
      </c>
      <c r="B76" s="17" t="n">
        <v>4692</v>
      </c>
      <c r="C76" s="18">
        <f>(3892.0/B76*100)</f>
        <v/>
      </c>
      <c r="D76" s="19" t="n">
        <v>800</v>
      </c>
      <c r="E76" s="18" t="n">
        <v>27.8824774</v>
      </c>
      <c r="F76" s="20" t="n">
        <v>1.87411186</v>
      </c>
      <c r="G76" s="18" t="n">
        <v>13.50866209</v>
      </c>
      <c r="H76" s="20" t="n">
        <v>1.30065094</v>
      </c>
      <c r="I76" s="18" t="n">
        <v>24.98771086</v>
      </c>
      <c r="J76" s="20" t="n">
        <v>1.43263529</v>
      </c>
      <c r="K76" s="18" t="n">
        <v>0</v>
      </c>
      <c r="L76" s="20" t="n">
        <v>0</v>
      </c>
      <c r="M76" s="18" t="n">
        <v>0</v>
      </c>
      <c r="N76" s="20" t="n">
        <v>0</v>
      </c>
      <c r="O76" s="18" t="n">
        <v>0</v>
      </c>
      <c r="P76" s="20" t="n">
        <v>0</v>
      </c>
      <c r="Q76" s="18" t="n">
        <v>0</v>
      </c>
      <c r="R76" s="20" t="n">
        <v>0</v>
      </c>
      <c r="S76" s="18" t="n">
        <v>33.62114964</v>
      </c>
      <c r="T76" s="20" t="n">
        <v>1.81072164</v>
      </c>
    </row>
    <row r="77" spans="1:20">
      <c r="A77" s="15" t="s">
        <v>501</v>
      </c>
      <c r="B77" s="17" t="n">
        <v>5375</v>
      </c>
      <c r="C77" s="18">
        <f>(4783.0/B77*100)</f>
        <v/>
      </c>
      <c r="D77" s="19" t="n">
        <v>592</v>
      </c>
      <c r="E77" s="18" t="n">
        <v>47.35279611</v>
      </c>
      <c r="F77" s="20" t="n">
        <v>2.13124302</v>
      </c>
      <c r="G77" s="18" t="n">
        <v>7.65027295</v>
      </c>
      <c r="H77" s="20" t="n">
        <v>1.06744978</v>
      </c>
      <c r="I77" s="18" t="n">
        <v>21.01747861</v>
      </c>
      <c r="J77" s="20" t="n">
        <v>1.64648141</v>
      </c>
      <c r="K77" s="18" t="n">
        <v>0</v>
      </c>
      <c r="L77" s="20" t="n">
        <v>0</v>
      </c>
      <c r="M77" s="18" t="n">
        <v>2.79329184</v>
      </c>
      <c r="N77" s="20" t="n">
        <v>0.65511648</v>
      </c>
      <c r="O77" s="18" t="n">
        <v>0.64390038</v>
      </c>
      <c r="P77" s="20" t="n">
        <v>0.31994791</v>
      </c>
      <c r="Q77" s="18" t="n">
        <v>0</v>
      </c>
      <c r="R77" s="20" t="n">
        <v>0</v>
      </c>
      <c r="S77" s="18" t="n">
        <v>20.54226011</v>
      </c>
      <c r="T77" s="20" t="n">
        <v>1.93833507</v>
      </c>
    </row>
    <row r="78" spans="1:20">
      <c r="A78" s="15" t="s">
        <v>502</v>
      </c>
      <c r="B78" s="17" t="n">
        <v>14167</v>
      </c>
      <c r="C78" s="18">
        <f>(12442.0/B78*100)</f>
        <v/>
      </c>
      <c r="D78" s="19" t="n">
        <v>1725</v>
      </c>
      <c r="E78" s="18" t="n">
        <v>34.08186469</v>
      </c>
      <c r="F78" s="20" t="n">
        <v>1.39887324</v>
      </c>
      <c r="G78" s="18" t="n">
        <v>14.02931328</v>
      </c>
      <c r="H78" s="20" t="n">
        <v>1.10304156</v>
      </c>
      <c r="I78" s="18" t="n">
        <v>47.23253809</v>
      </c>
      <c r="J78" s="20" t="n">
        <v>1.41817113</v>
      </c>
      <c r="K78" s="18" t="n">
        <v>0</v>
      </c>
      <c r="L78" s="20" t="n">
        <v>0</v>
      </c>
      <c r="M78" s="18" t="n">
        <v>0.6343008</v>
      </c>
      <c r="N78" s="20" t="n">
        <v>0.22097378</v>
      </c>
      <c r="O78" s="18" t="n">
        <v>0.20417267</v>
      </c>
      <c r="P78" s="20" t="n">
        <v>0.11730913</v>
      </c>
      <c r="Q78" s="18" t="n">
        <v>0</v>
      </c>
      <c r="R78" s="20" t="n">
        <v>0</v>
      </c>
      <c r="S78" s="18" t="n">
        <v>3.81781049</v>
      </c>
      <c r="T78" s="20" t="n">
        <v>0.48494641</v>
      </c>
    </row>
    <row r="79" spans="1:20">
      <c r="A79" s="15" t="s">
        <v>503</v>
      </c>
      <c r="B79" s="17" t="n">
        <v>6062</v>
      </c>
      <c r="C79" s="18">
        <f>(5363.0/B79*100)</f>
        <v/>
      </c>
      <c r="D79" s="19" t="n">
        <v>699</v>
      </c>
      <c r="E79" s="18" t="n">
        <v>20.4702865</v>
      </c>
      <c r="F79" s="20" t="n">
        <v>1.5443339</v>
      </c>
      <c r="G79" s="18" t="n">
        <v>19.51453845</v>
      </c>
      <c r="H79" s="20" t="n">
        <v>1.46056798</v>
      </c>
      <c r="I79" s="18" t="n">
        <v>45.1747324</v>
      </c>
      <c r="J79" s="20" t="n">
        <v>1.85839839</v>
      </c>
      <c r="K79" s="18" t="n">
        <v>0</v>
      </c>
      <c r="L79" s="20" t="n">
        <v>0</v>
      </c>
      <c r="M79" s="18" t="n">
        <v>1.72809526</v>
      </c>
      <c r="N79" s="20" t="n">
        <v>0.53817457</v>
      </c>
      <c r="O79" s="18" t="n">
        <v>0.19924402</v>
      </c>
      <c r="P79" s="20" t="n">
        <v>0.19835256</v>
      </c>
      <c r="Q79" s="18" t="n">
        <v>0</v>
      </c>
      <c r="R79" s="20" t="n">
        <v>0</v>
      </c>
      <c r="S79" s="18" t="n">
        <v>12.91310336</v>
      </c>
      <c r="T79" s="20" t="n">
        <v>1.17150915</v>
      </c>
    </row>
    <row r="80" spans="1:20">
      <c r="A80" s="15" t="s">
        <v>504</v>
      </c>
      <c r="B80" s="17" t="n">
        <v>5826</v>
      </c>
      <c r="C80" s="18">
        <f>(4860.0/B80*100)</f>
        <v/>
      </c>
      <c r="D80" s="19" t="n">
        <v>966</v>
      </c>
      <c r="E80" s="18" t="n">
        <v>17.90826783</v>
      </c>
      <c r="F80" s="20" t="n">
        <v>1.58345947</v>
      </c>
      <c r="G80" s="18" t="n">
        <v>21.02194828</v>
      </c>
      <c r="H80" s="20" t="n">
        <v>1.54673314</v>
      </c>
      <c r="I80" s="18" t="n">
        <v>59.06311172</v>
      </c>
      <c r="J80" s="20" t="n">
        <v>2.16417996</v>
      </c>
      <c r="K80" s="18" t="n">
        <v>0</v>
      </c>
      <c r="L80" s="20" t="n">
        <v>0</v>
      </c>
      <c r="M80" s="18" t="n">
        <v>0</v>
      </c>
      <c r="N80" s="20" t="n">
        <v>0</v>
      </c>
      <c r="O80" s="18" t="n">
        <v>0</v>
      </c>
      <c r="P80" s="20" t="n">
        <v>0</v>
      </c>
      <c r="Q80" s="18" t="n">
        <v>0</v>
      </c>
      <c r="R80" s="20" t="n">
        <v>0</v>
      </c>
      <c r="S80" s="18" t="n">
        <v>2.00667216</v>
      </c>
      <c r="T80" s="20" t="n">
        <v>0.59582916</v>
      </c>
    </row>
    <row r="81" spans="1:20">
      <c r="A81" s="15" t="s">
        <v>505</v>
      </c>
      <c r="B81" s="17" t="n">
        <v>1657</v>
      </c>
      <c r="C81" s="18">
        <f>(1389.0/B81*100)</f>
        <v/>
      </c>
      <c r="D81" s="19" t="n">
        <v>268</v>
      </c>
      <c r="E81" s="18" t="n">
        <v>13.1726653</v>
      </c>
      <c r="F81" s="20" t="n">
        <v>2.59509058</v>
      </c>
      <c r="G81" s="18" t="n">
        <v>17.10538732</v>
      </c>
      <c r="H81" s="20" t="n">
        <v>1.88138033</v>
      </c>
      <c r="I81" s="18" t="n">
        <v>54.78387088</v>
      </c>
      <c r="J81" s="20" t="n">
        <v>3.11333165</v>
      </c>
      <c r="K81" s="18" t="n">
        <v>0</v>
      </c>
      <c r="L81" s="20" t="n">
        <v>0</v>
      </c>
      <c r="M81" s="18" t="n">
        <v>0</v>
      </c>
      <c r="N81" s="20" t="n">
        <v>0</v>
      </c>
      <c r="O81" s="18" t="n">
        <v>1.99526912</v>
      </c>
      <c r="P81" s="20" t="n">
        <v>0.74464076</v>
      </c>
      <c r="Q81" s="18" t="n">
        <v>0</v>
      </c>
      <c r="R81" s="20" t="n">
        <v>0</v>
      </c>
      <c r="S81" s="18" t="n">
        <v>12.94280738</v>
      </c>
      <c r="T81" s="20" t="n">
        <v>2.3484541</v>
      </c>
    </row>
    <row r="82" spans="1:20">
      <c r="A82" s="15" t="s">
        <v>506</v>
      </c>
      <c r="B82" s="17" t="n">
        <v>32330</v>
      </c>
      <c r="C82" s="18">
        <f>(28394.0/B82*100)</f>
        <v/>
      </c>
      <c r="D82" s="19" t="n">
        <v>3936</v>
      </c>
      <c r="E82" s="18" t="n">
        <v>16.84976858</v>
      </c>
      <c r="F82" s="20" t="n">
        <v>0.88747027</v>
      </c>
      <c r="G82" s="18" t="n">
        <v>22.39097288</v>
      </c>
      <c r="H82" s="20" t="n">
        <v>0.93778504</v>
      </c>
      <c r="I82" s="18" t="n">
        <v>56.40227751</v>
      </c>
      <c r="J82" s="20" t="n">
        <v>1.08889107</v>
      </c>
      <c r="K82" s="18" t="n">
        <v>0</v>
      </c>
      <c r="L82" s="20" t="n">
        <v>0</v>
      </c>
      <c r="M82" s="18" t="n">
        <v>0.33224457</v>
      </c>
      <c r="N82" s="20" t="n">
        <v>0.1399556</v>
      </c>
      <c r="O82" s="18" t="n">
        <v>0.17827486</v>
      </c>
      <c r="P82" s="20" t="n">
        <v>0.12516627</v>
      </c>
      <c r="Q82" s="18" t="n">
        <v>0</v>
      </c>
      <c r="R82" s="20" t="n">
        <v>0</v>
      </c>
      <c r="S82" s="18" t="n">
        <v>3.84646161</v>
      </c>
      <c r="T82" s="20" t="n">
        <v>0.56943588</v>
      </c>
    </row>
    <row r="83" spans="1:20">
      <c r="A83" s="15" t="s">
        <v>507</v>
      </c>
      <c r="B83" s="17" t="n">
        <v>1652</v>
      </c>
      <c r="C83" s="18">
        <f>(1458.0/B83*100)</f>
        <v/>
      </c>
      <c r="D83" s="19" t="n">
        <v>194</v>
      </c>
      <c r="E83" s="18" t="n">
        <v>12.66526297</v>
      </c>
      <c r="F83" s="20" t="n">
        <v>3.02527544</v>
      </c>
      <c r="G83" s="18" t="n">
        <v>11.33859998</v>
      </c>
      <c r="H83" s="20" t="n">
        <v>2.58390874</v>
      </c>
      <c r="I83" s="18" t="n">
        <v>75.99613705</v>
      </c>
      <c r="J83" s="20" t="n">
        <v>3.91339308</v>
      </c>
      <c r="K83" s="18" t="n">
        <v>0</v>
      </c>
      <c r="L83" s="20" t="n">
        <v>0</v>
      </c>
      <c r="M83" s="18" t="n">
        <v>0</v>
      </c>
      <c r="N83" s="20" t="n">
        <v>0</v>
      </c>
      <c r="O83" s="18" t="n">
        <v>0</v>
      </c>
      <c r="P83" s="20" t="n">
        <v>0</v>
      </c>
      <c r="Q83" s="18" t="n">
        <v>0</v>
      </c>
      <c r="R83" s="20" t="n">
        <v>0</v>
      </c>
      <c r="S83" s="18" t="n">
        <v>0</v>
      </c>
      <c r="T83" s="20" t="n">
        <v>0</v>
      </c>
    </row>
    <row r="84" spans="1:20">
      <c r="A84" s="23" t="s">
        <v>508</v>
      </c>
      <c r="B84" s="24" t="n">
        <v>1887</v>
      </c>
      <c r="C84" s="25">
        <f>(1652.0/B84*100)</f>
        <v/>
      </c>
      <c r="D84" s="19" t="n">
        <v>235</v>
      </c>
      <c r="E84" s="18" t="n">
        <v>20.73206505</v>
      </c>
      <c r="F84" s="20" t="n">
        <v>2.54124185</v>
      </c>
      <c r="G84" s="18" t="n">
        <v>11.70594087</v>
      </c>
      <c r="H84" s="20" t="n">
        <v>2.40993087</v>
      </c>
      <c r="I84" s="18" t="n">
        <v>66.74506470999999</v>
      </c>
      <c r="J84" s="20" t="n">
        <v>2.8436838</v>
      </c>
      <c r="K84" s="18" t="n">
        <v>0</v>
      </c>
      <c r="L84" s="20" t="n">
        <v>0</v>
      </c>
      <c r="M84" s="18" t="n">
        <v>0</v>
      </c>
      <c r="N84" s="20" t="n">
        <v>0</v>
      </c>
      <c r="O84" s="18" t="n">
        <v>0</v>
      </c>
      <c r="P84" s="20" t="n">
        <v>0</v>
      </c>
      <c r="Q84" s="18" t="n">
        <v>0</v>
      </c>
      <c r="R84" s="20" t="n">
        <v>0</v>
      </c>
      <c r="S84" s="18" t="n">
        <v>0.81692937</v>
      </c>
      <c r="T84" s="20" t="n">
        <v>0.5854503599999999</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(12730.0/B7*100)</f>
        <v/>
      </c>
      <c r="D7" s="19" t="n">
        <v>1800</v>
      </c>
      <c r="E7" s="18" t="n">
        <v>58.54650368</v>
      </c>
      <c r="F7" s="20" t="n">
        <v>1.36621906</v>
      </c>
      <c r="G7" s="18" t="n">
        <v>28.00520821</v>
      </c>
      <c r="H7" s="20" t="n">
        <v>1.2764773</v>
      </c>
      <c r="I7" s="18" t="n">
        <v>0</v>
      </c>
      <c r="J7" s="20" t="n">
        <v>0</v>
      </c>
      <c r="K7" s="18" t="n">
        <v>0.21912522</v>
      </c>
      <c r="L7" s="20" t="n">
        <v>0.12466193</v>
      </c>
      <c r="M7" s="18" t="n">
        <v>0.022281</v>
      </c>
      <c r="N7" s="20" t="n">
        <v>0.01307632</v>
      </c>
      <c r="O7" s="18" t="n">
        <v>0</v>
      </c>
      <c r="P7" s="20" t="n">
        <v>0</v>
      </c>
      <c r="Q7" s="18" t="n">
        <v>13.20688189</v>
      </c>
      <c r="R7" s="20" t="n">
        <v>0.9580908</v>
      </c>
    </row>
    <row r="8" spans="1:18">
      <c r="A8" s="15" t="s">
        <v>430</v>
      </c>
      <c r="B8" s="17" t="n">
        <v>7007</v>
      </c>
      <c r="C8" s="18">
        <f>(6164.0/B8*100)</f>
        <v/>
      </c>
      <c r="D8" s="19" t="n">
        <v>843</v>
      </c>
      <c r="E8" s="18" t="n">
        <v>47.91811872</v>
      </c>
      <c r="F8" s="20" t="n">
        <v>2.09573926</v>
      </c>
      <c r="G8" s="18" t="n">
        <v>31.57523484</v>
      </c>
      <c r="H8" s="20" t="n">
        <v>1.74363884</v>
      </c>
      <c r="I8" s="18" t="n">
        <v>0</v>
      </c>
      <c r="J8" s="20" t="n">
        <v>0</v>
      </c>
      <c r="K8" s="18" t="n">
        <v>0.13900354</v>
      </c>
      <c r="L8" s="20" t="n">
        <v>0.09803025</v>
      </c>
      <c r="M8" s="18" t="n">
        <v>0</v>
      </c>
      <c r="N8" s="20" t="n">
        <v>0</v>
      </c>
      <c r="O8" s="18" t="n">
        <v>0</v>
      </c>
      <c r="P8" s="20" t="n">
        <v>0</v>
      </c>
      <c r="Q8" s="18" t="n">
        <v>20.36764289</v>
      </c>
      <c r="R8" s="20" t="n">
        <v>1.56915911</v>
      </c>
    </row>
    <row r="9" spans="1:18">
      <c r="A9" s="15" t="s">
        <v>431</v>
      </c>
      <c r="B9" s="17" t="n">
        <v>9651</v>
      </c>
      <c r="C9" s="18">
        <f>(8513.0/B9*100)</f>
        <v/>
      </c>
      <c r="D9" s="19" t="n">
        <v>1138</v>
      </c>
      <c r="E9" s="18" t="n">
        <v>47.47045723</v>
      </c>
      <c r="F9" s="20" t="n">
        <v>1.62524118</v>
      </c>
      <c r="G9" s="18" t="n">
        <v>32.14361632</v>
      </c>
      <c r="H9" s="20" t="n">
        <v>1.67447966</v>
      </c>
      <c r="I9" s="18" t="n">
        <v>0</v>
      </c>
      <c r="J9" s="20" t="n">
        <v>0</v>
      </c>
      <c r="K9" s="18" t="n">
        <v>0.50869426</v>
      </c>
      <c r="L9" s="20" t="n">
        <v>0.2319779</v>
      </c>
      <c r="M9" s="18" t="n">
        <v>0.33906296</v>
      </c>
      <c r="N9" s="20" t="n">
        <v>0.15316326</v>
      </c>
      <c r="O9" s="18" t="n">
        <v>0</v>
      </c>
      <c r="P9" s="20" t="n">
        <v>0</v>
      </c>
      <c r="Q9" s="18" t="n">
        <v>19.53816922</v>
      </c>
      <c r="R9" s="20" t="n">
        <v>1.30021902</v>
      </c>
    </row>
    <row r="10" spans="1:18">
      <c r="A10" s="15" t="s">
        <v>432</v>
      </c>
      <c r="B10" s="17" t="n">
        <v>20058</v>
      </c>
      <c r="C10" s="18">
        <f>(17629.0/B10*100)</f>
        <v/>
      </c>
      <c r="D10" s="19" t="n">
        <v>2429</v>
      </c>
      <c r="E10" s="18" t="n">
        <v>64.75071246</v>
      </c>
      <c r="F10" s="20" t="n">
        <v>1.48103988</v>
      </c>
      <c r="G10" s="18" t="n">
        <v>23.92048351</v>
      </c>
      <c r="H10" s="20" t="n">
        <v>1.36606411</v>
      </c>
      <c r="I10" s="18" t="n">
        <v>0</v>
      </c>
      <c r="J10" s="20" t="n">
        <v>0</v>
      </c>
      <c r="K10" s="18" t="n">
        <v>0.35166498</v>
      </c>
      <c r="L10" s="20" t="n">
        <v>0.17291767</v>
      </c>
      <c r="M10" s="18" t="n">
        <v>0.08435961</v>
      </c>
      <c r="N10" s="20" t="n">
        <v>0.08554455</v>
      </c>
      <c r="O10" s="18" t="n">
        <v>0</v>
      </c>
      <c r="P10" s="20" t="n">
        <v>0</v>
      </c>
      <c r="Q10" s="18" t="n">
        <v>10.89277943</v>
      </c>
      <c r="R10" s="20" t="n">
        <v>0.94370831</v>
      </c>
    </row>
    <row r="11" spans="1:18">
      <c r="A11" s="15" t="s">
        <v>433</v>
      </c>
      <c r="B11" s="17" t="n">
        <v>7053</v>
      </c>
      <c r="C11" s="18">
        <f>(6208.0/B11*100)</f>
        <v/>
      </c>
      <c r="D11" s="19" t="n">
        <v>845</v>
      </c>
      <c r="E11" s="18" t="n">
        <v>56.88362229</v>
      </c>
      <c r="F11" s="20" t="n">
        <v>2.14547155</v>
      </c>
      <c r="G11" s="18" t="n">
        <v>18.75147932</v>
      </c>
      <c r="H11" s="20" t="n">
        <v>1.39749349</v>
      </c>
      <c r="I11" s="18" t="n">
        <v>0</v>
      </c>
      <c r="J11" s="20" t="n">
        <v>0</v>
      </c>
      <c r="K11" s="18" t="n">
        <v>0.97989214</v>
      </c>
      <c r="L11" s="20" t="n">
        <v>0.45434271</v>
      </c>
      <c r="M11" s="18" t="n">
        <v>0</v>
      </c>
      <c r="N11" s="20" t="n">
        <v>0</v>
      </c>
      <c r="O11" s="18" t="n">
        <v>0</v>
      </c>
      <c r="P11" s="20" t="n">
        <v>0</v>
      </c>
      <c r="Q11" s="18" t="n">
        <v>23.38500625</v>
      </c>
      <c r="R11" s="20" t="n">
        <v>1.76367886</v>
      </c>
    </row>
    <row r="12" spans="1:18">
      <c r="A12" s="15" t="s">
        <v>434</v>
      </c>
      <c r="B12" s="17" t="n">
        <v>6894</v>
      </c>
      <c r="C12" s="18">
        <f>(6063.0/B12*100)</f>
        <v/>
      </c>
      <c r="D12" s="19" t="n">
        <v>831</v>
      </c>
      <c r="E12" s="18" t="n">
        <v>44.87678645</v>
      </c>
      <c r="F12" s="20" t="n">
        <v>1.94838392</v>
      </c>
      <c r="G12" s="18" t="n">
        <v>32.19720426</v>
      </c>
      <c r="H12" s="20" t="n">
        <v>1.76161268</v>
      </c>
      <c r="I12" s="18" t="n">
        <v>0</v>
      </c>
      <c r="J12" s="20" t="n">
        <v>0</v>
      </c>
      <c r="K12" s="18" t="n">
        <v>0.24950195</v>
      </c>
      <c r="L12" s="20" t="n">
        <v>0.12736238</v>
      </c>
      <c r="M12" s="18" t="n">
        <v>0.07020476</v>
      </c>
      <c r="N12" s="20" t="n">
        <v>0.09459375</v>
      </c>
      <c r="O12" s="18" t="n">
        <v>0</v>
      </c>
      <c r="P12" s="20" t="n">
        <v>0</v>
      </c>
      <c r="Q12" s="18" t="n">
        <v>22.60630258</v>
      </c>
      <c r="R12" s="20" t="n">
        <v>1.61911608</v>
      </c>
    </row>
    <row r="13" spans="1:18">
      <c r="A13" s="15" t="s">
        <v>435</v>
      </c>
      <c r="B13" s="17" t="n">
        <v>7161</v>
      </c>
      <c r="C13" s="18">
        <f>(6340.0/B13*100)</f>
        <v/>
      </c>
      <c r="D13" s="19" t="n">
        <v>821</v>
      </c>
      <c r="E13" s="18" t="n">
        <v>54.62166744</v>
      </c>
      <c r="F13" s="20" t="n">
        <v>1.93154721</v>
      </c>
      <c r="G13" s="18" t="n">
        <v>31.05623948</v>
      </c>
      <c r="H13" s="20" t="n">
        <v>2.09928776</v>
      </c>
      <c r="I13" s="18" t="n">
        <v>0</v>
      </c>
      <c r="J13" s="20" t="n">
        <v>0</v>
      </c>
      <c r="K13" s="18" t="n">
        <v>0.35956816</v>
      </c>
      <c r="L13" s="20" t="n">
        <v>0.13640135</v>
      </c>
      <c r="M13" s="18" t="n">
        <v>0</v>
      </c>
      <c r="N13" s="20" t="n">
        <v>0</v>
      </c>
      <c r="O13" s="18" t="n">
        <v>0</v>
      </c>
      <c r="P13" s="20" t="n">
        <v>0</v>
      </c>
      <c r="Q13" s="18" t="n">
        <v>13.96252491</v>
      </c>
      <c r="R13" s="20" t="n">
        <v>1.5250568</v>
      </c>
    </row>
    <row r="14" spans="1:18">
      <c r="A14" s="15" t="s">
        <v>436</v>
      </c>
      <c r="B14" s="17" t="n">
        <v>5587</v>
      </c>
      <c r="C14" s="18">
        <f>(4915.0/B14*100)</f>
        <v/>
      </c>
      <c r="D14" s="19" t="n">
        <v>672</v>
      </c>
      <c r="E14" s="18" t="n">
        <v>61.21127068</v>
      </c>
      <c r="F14" s="20" t="n">
        <v>2.08199112</v>
      </c>
      <c r="G14" s="18" t="n">
        <v>31.34207271</v>
      </c>
      <c r="H14" s="20" t="n">
        <v>1.83191664</v>
      </c>
      <c r="I14" s="18" t="n">
        <v>0</v>
      </c>
      <c r="J14" s="20" t="n">
        <v>0</v>
      </c>
      <c r="K14" s="18" t="n">
        <v>0.23052437</v>
      </c>
      <c r="L14" s="20" t="n">
        <v>0.16309479</v>
      </c>
      <c r="M14" s="18" t="n">
        <v>0</v>
      </c>
      <c r="N14" s="20" t="n">
        <v>0</v>
      </c>
      <c r="O14" s="18" t="n">
        <v>0</v>
      </c>
      <c r="P14" s="20" t="n">
        <v>0</v>
      </c>
      <c r="Q14" s="18" t="n">
        <v>7.21613224</v>
      </c>
      <c r="R14" s="20" t="n">
        <v>0.97614955</v>
      </c>
    </row>
    <row r="15" spans="1:18">
      <c r="A15" s="15" t="s">
        <v>437</v>
      </c>
      <c r="B15" s="17" t="n">
        <v>5882</v>
      </c>
      <c r="C15" s="18">
        <f>(5164.0/B15*100)</f>
        <v/>
      </c>
      <c r="D15" s="19" t="n">
        <v>718</v>
      </c>
      <c r="E15" s="18" t="n">
        <v>32.61921837</v>
      </c>
      <c r="F15" s="20" t="n">
        <v>1.9048064</v>
      </c>
      <c r="G15" s="18" t="n">
        <v>57.58476198</v>
      </c>
      <c r="H15" s="20" t="n">
        <v>2.03944893</v>
      </c>
      <c r="I15" s="18" t="n">
        <v>0</v>
      </c>
      <c r="J15" s="20" t="n">
        <v>0</v>
      </c>
      <c r="K15" s="18" t="n">
        <v>0</v>
      </c>
      <c r="L15" s="20" t="n">
        <v>0</v>
      </c>
      <c r="M15" s="18" t="n">
        <v>0</v>
      </c>
      <c r="N15" s="20" t="n">
        <v>0</v>
      </c>
      <c r="O15" s="18" t="n">
        <v>0</v>
      </c>
      <c r="P15" s="20" t="n">
        <v>0</v>
      </c>
      <c r="Q15" s="18" t="n">
        <v>9.79601965</v>
      </c>
      <c r="R15" s="20" t="n">
        <v>1.12164646</v>
      </c>
    </row>
    <row r="16" spans="1:18">
      <c r="A16" s="15" t="s">
        <v>438</v>
      </c>
      <c r="B16" s="17" t="n">
        <v>6108</v>
      </c>
      <c r="C16" s="18">
        <f>(5354.0/B16*100)</f>
        <v/>
      </c>
      <c r="D16" s="19" t="n">
        <v>754</v>
      </c>
      <c r="E16" s="18" t="n">
        <v>46.59511325</v>
      </c>
      <c r="F16" s="20" t="n">
        <v>1.88240863</v>
      </c>
      <c r="G16" s="18" t="n">
        <v>15.34298336</v>
      </c>
      <c r="H16" s="20" t="n">
        <v>1.35152012</v>
      </c>
      <c r="I16" s="18" t="n">
        <v>0</v>
      </c>
      <c r="J16" s="20" t="n">
        <v>0</v>
      </c>
      <c r="K16" s="18" t="n">
        <v>1.97372454</v>
      </c>
      <c r="L16" s="20" t="n">
        <v>0.76583103</v>
      </c>
      <c r="M16" s="18" t="n">
        <v>0</v>
      </c>
      <c r="N16" s="20" t="n">
        <v>0</v>
      </c>
      <c r="O16" s="18" t="n">
        <v>0</v>
      </c>
      <c r="P16" s="20" t="n">
        <v>0</v>
      </c>
      <c r="Q16" s="18" t="n">
        <v>36.08817885</v>
      </c>
      <c r="R16" s="20" t="n">
        <v>1.6375293</v>
      </c>
    </row>
    <row r="17" spans="1:18">
      <c r="A17" s="15" t="s">
        <v>439</v>
      </c>
      <c r="B17" s="17" t="n">
        <v>6504</v>
      </c>
      <c r="C17" s="18">
        <f>(5722.0/B17*100)</f>
        <v/>
      </c>
      <c r="D17" s="19" t="n">
        <v>782</v>
      </c>
      <c r="E17" s="18" t="n">
        <v>40.79289512</v>
      </c>
      <c r="F17" s="20" t="n">
        <v>1.76178237</v>
      </c>
      <c r="G17" s="18" t="n">
        <v>38.95503841</v>
      </c>
      <c r="H17" s="20" t="n">
        <v>1.7918609</v>
      </c>
      <c r="I17" s="18" t="n">
        <v>0</v>
      </c>
      <c r="J17" s="20" t="n">
        <v>0</v>
      </c>
      <c r="K17" s="18" t="n">
        <v>0.60230073</v>
      </c>
      <c r="L17" s="20" t="n">
        <v>0.279993</v>
      </c>
      <c r="M17" s="18" t="n">
        <v>0</v>
      </c>
      <c r="N17" s="20" t="n">
        <v>0</v>
      </c>
      <c r="O17" s="18" t="n">
        <v>0</v>
      </c>
      <c r="P17" s="20" t="n">
        <v>0</v>
      </c>
      <c r="Q17" s="18" t="n">
        <v>19.64976574</v>
      </c>
      <c r="R17" s="20" t="n">
        <v>1.40402343</v>
      </c>
    </row>
    <row r="18" spans="1:18">
      <c r="A18" s="15" t="s">
        <v>440</v>
      </c>
      <c r="B18" s="17" t="n">
        <v>5532</v>
      </c>
      <c r="C18" s="18">
        <f>(4852.0/B18*100)</f>
        <v/>
      </c>
      <c r="D18" s="19" t="n">
        <v>680</v>
      </c>
      <c r="E18" s="18" t="n">
        <v>62.06747838</v>
      </c>
      <c r="F18" s="20" t="n">
        <v>1.99498345</v>
      </c>
      <c r="G18" s="18" t="n">
        <v>16.68313834</v>
      </c>
      <c r="H18" s="20" t="n">
        <v>1.52970094</v>
      </c>
      <c r="I18" s="18" t="n">
        <v>0</v>
      </c>
      <c r="J18" s="20" t="n">
        <v>0</v>
      </c>
      <c r="K18" s="18" t="n">
        <v>0.72353211</v>
      </c>
      <c r="L18" s="20" t="n">
        <v>0.35436097</v>
      </c>
      <c r="M18" s="18" t="n">
        <v>0</v>
      </c>
      <c r="N18" s="20" t="n">
        <v>0</v>
      </c>
      <c r="O18" s="18" t="n">
        <v>0</v>
      </c>
      <c r="P18" s="20" t="n">
        <v>0</v>
      </c>
      <c r="Q18" s="18" t="n">
        <v>20.52585117</v>
      </c>
      <c r="R18" s="20" t="n">
        <v>1.65036973</v>
      </c>
    </row>
    <row r="19" spans="1:18">
      <c r="A19" s="15" t="s">
        <v>441</v>
      </c>
      <c r="B19" s="17" t="n">
        <v>5658</v>
      </c>
      <c r="C19" s="18">
        <f>(4972.0/B19*100)</f>
        <v/>
      </c>
      <c r="D19" s="19" t="n">
        <v>686</v>
      </c>
      <c r="E19" s="18" t="n">
        <v>46.63111921</v>
      </c>
      <c r="F19" s="20" t="n">
        <v>2.11539966</v>
      </c>
      <c r="G19" s="18" t="n">
        <v>30.0759045</v>
      </c>
      <c r="H19" s="20" t="n">
        <v>1.87998472</v>
      </c>
      <c r="I19" s="18" t="n">
        <v>0</v>
      </c>
      <c r="J19" s="20" t="n">
        <v>0</v>
      </c>
      <c r="K19" s="18" t="n">
        <v>0.12717415</v>
      </c>
      <c r="L19" s="20" t="n">
        <v>0.13538827</v>
      </c>
      <c r="M19" s="18" t="n">
        <v>0</v>
      </c>
      <c r="N19" s="20" t="n">
        <v>0</v>
      </c>
      <c r="O19" s="18" t="n">
        <v>0</v>
      </c>
      <c r="P19" s="20" t="n">
        <v>0</v>
      </c>
      <c r="Q19" s="18" t="n">
        <v>23.16580214</v>
      </c>
      <c r="R19" s="20" t="n">
        <v>1.7012626</v>
      </c>
    </row>
    <row r="20" spans="1:18">
      <c r="A20" s="15" t="s">
        <v>442</v>
      </c>
      <c r="B20" s="17" t="n">
        <v>3371</v>
      </c>
      <c r="C20" s="18">
        <f>(2958.0/B20*100)</f>
        <v/>
      </c>
      <c r="D20" s="19" t="n">
        <v>413</v>
      </c>
      <c r="E20" s="18" t="n">
        <v>56.54409428</v>
      </c>
      <c r="F20" s="20" t="n">
        <v>2.20122634</v>
      </c>
      <c r="G20" s="18" t="n">
        <v>29.03001557</v>
      </c>
      <c r="H20" s="20" t="n">
        <v>2.0970752</v>
      </c>
      <c r="I20" s="18" t="n">
        <v>0</v>
      </c>
      <c r="J20" s="20" t="n">
        <v>0</v>
      </c>
      <c r="K20" s="18" t="n">
        <v>0.20570277</v>
      </c>
      <c r="L20" s="20" t="n">
        <v>0.2050311</v>
      </c>
      <c r="M20" s="18" t="n">
        <v>0.74437662</v>
      </c>
      <c r="N20" s="20" t="n">
        <v>0.51297203</v>
      </c>
      <c r="O20" s="18" t="n">
        <v>0</v>
      </c>
      <c r="P20" s="20" t="n">
        <v>0</v>
      </c>
      <c r="Q20" s="18" t="n">
        <v>13.47581075</v>
      </c>
      <c r="R20" s="20" t="n">
        <v>1.6818751</v>
      </c>
    </row>
    <row r="21" spans="1:18">
      <c r="A21" s="15" t="s">
        <v>443</v>
      </c>
      <c r="B21" s="17" t="n">
        <v>5741</v>
      </c>
      <c r="C21" s="18">
        <f>(4800.0/B21*100)</f>
        <v/>
      </c>
      <c r="D21" s="19" t="n">
        <v>941</v>
      </c>
      <c r="E21" s="18" t="n">
        <v>62.07721983</v>
      </c>
      <c r="F21" s="20" t="n">
        <v>1.57714037</v>
      </c>
      <c r="G21" s="18" t="n">
        <v>25.72460859</v>
      </c>
      <c r="H21" s="20" t="n">
        <v>1.6644349</v>
      </c>
      <c r="I21" s="18" t="n">
        <v>0</v>
      </c>
      <c r="J21" s="20" t="n">
        <v>0</v>
      </c>
      <c r="K21" s="18" t="n">
        <v>0.20486437</v>
      </c>
      <c r="L21" s="20" t="n">
        <v>0.13038205</v>
      </c>
      <c r="M21" s="18" t="n">
        <v>0</v>
      </c>
      <c r="N21" s="20" t="n">
        <v>0</v>
      </c>
      <c r="O21" s="18" t="n">
        <v>0</v>
      </c>
      <c r="P21" s="20" t="n">
        <v>0</v>
      </c>
      <c r="Q21" s="18" t="n">
        <v>11.99330721</v>
      </c>
      <c r="R21" s="20" t="n">
        <v>0.97654863</v>
      </c>
    </row>
    <row r="22" spans="1:18">
      <c r="A22" s="15" t="s">
        <v>444</v>
      </c>
      <c r="B22" s="17" t="n">
        <v>6598</v>
      </c>
      <c r="C22" s="18">
        <f>(5877.0/B22*100)</f>
        <v/>
      </c>
      <c r="D22" s="19" t="n">
        <v>721</v>
      </c>
      <c r="E22" s="18" t="n">
        <v>66.07598151000001</v>
      </c>
      <c r="F22" s="20" t="n">
        <v>1.78248274</v>
      </c>
      <c r="G22" s="18" t="n">
        <v>12.24229154</v>
      </c>
      <c r="H22" s="20" t="n">
        <v>1.20374741</v>
      </c>
      <c r="I22" s="18" t="n">
        <v>0</v>
      </c>
      <c r="J22" s="20" t="n">
        <v>0</v>
      </c>
      <c r="K22" s="18" t="n">
        <v>0.87205612</v>
      </c>
      <c r="L22" s="20" t="n">
        <v>0.40878685</v>
      </c>
      <c r="M22" s="18" t="n">
        <v>0</v>
      </c>
      <c r="N22" s="20" t="n">
        <v>0</v>
      </c>
      <c r="O22" s="18" t="n">
        <v>0</v>
      </c>
      <c r="P22" s="20" t="n">
        <v>0</v>
      </c>
      <c r="Q22" s="18" t="n">
        <v>20.80967083</v>
      </c>
      <c r="R22" s="20" t="n">
        <v>1.58253115</v>
      </c>
    </row>
    <row r="23" spans="1:18">
      <c r="A23" s="15" t="s">
        <v>445</v>
      </c>
      <c r="B23" s="17" t="n">
        <v>11583</v>
      </c>
      <c r="C23" s="18">
        <f>(10184.0/B23*100)</f>
        <v/>
      </c>
      <c r="D23" s="19" t="n">
        <v>1399</v>
      </c>
      <c r="E23" s="18" t="n">
        <v>60.63568257</v>
      </c>
      <c r="F23" s="20" t="n">
        <v>2.08494551</v>
      </c>
      <c r="G23" s="18" t="n">
        <v>16.58756761</v>
      </c>
      <c r="H23" s="20" t="n">
        <v>1.3716885</v>
      </c>
      <c r="I23" s="18" t="n">
        <v>0</v>
      </c>
      <c r="J23" s="20" t="n">
        <v>0</v>
      </c>
      <c r="K23" s="18" t="n">
        <v>0.74838754</v>
      </c>
      <c r="L23" s="20" t="n">
        <v>0.39452878</v>
      </c>
      <c r="M23" s="18" t="n">
        <v>1.35618193</v>
      </c>
      <c r="N23" s="20" t="n">
        <v>0.85391963</v>
      </c>
      <c r="O23" s="18" t="n">
        <v>0</v>
      </c>
      <c r="P23" s="20" t="n">
        <v>0</v>
      </c>
      <c r="Q23" s="18" t="n">
        <v>20.67218035</v>
      </c>
      <c r="R23" s="20" t="n">
        <v>1.68654442</v>
      </c>
    </row>
    <row r="24" spans="1:18">
      <c r="A24" s="15" t="s">
        <v>446</v>
      </c>
      <c r="B24" s="17" t="n">
        <v>6647</v>
      </c>
      <c r="C24" s="18">
        <f>(5823.0/B24*100)</f>
        <v/>
      </c>
      <c r="D24" s="19" t="n">
        <v>824</v>
      </c>
      <c r="E24" s="18" t="n">
        <v>39.80619535</v>
      </c>
      <c r="F24" s="20" t="n">
        <v>1.91182338</v>
      </c>
      <c r="G24" s="18" t="n">
        <v>46.17156431</v>
      </c>
      <c r="H24" s="20" t="n">
        <v>2.11275705</v>
      </c>
      <c r="I24" s="18" t="n">
        <v>0</v>
      </c>
      <c r="J24" s="20" t="n">
        <v>0</v>
      </c>
      <c r="K24" s="18" t="n">
        <v>0.44255527</v>
      </c>
      <c r="L24" s="20" t="n">
        <v>0.22120491</v>
      </c>
      <c r="M24" s="18" t="n">
        <v>0</v>
      </c>
      <c r="N24" s="20" t="n">
        <v>0</v>
      </c>
      <c r="O24" s="18" t="n">
        <v>0</v>
      </c>
      <c r="P24" s="20" t="n">
        <v>0</v>
      </c>
      <c r="Q24" s="18" t="n">
        <v>13.57968508</v>
      </c>
      <c r="R24" s="20" t="n">
        <v>1.40564431</v>
      </c>
    </row>
    <row r="25" spans="1:18">
      <c r="A25" s="15" t="s">
        <v>447</v>
      </c>
      <c r="B25" s="17" t="n">
        <v>5581</v>
      </c>
      <c r="C25" s="18">
        <f>(4884.0/B25*100)</f>
        <v/>
      </c>
      <c r="D25" s="19" t="n">
        <v>697</v>
      </c>
      <c r="E25" s="18" t="n">
        <v>73.61433968999999</v>
      </c>
      <c r="F25" s="20" t="n">
        <v>1.59265363</v>
      </c>
      <c r="G25" s="18" t="n">
        <v>17.11441324</v>
      </c>
      <c r="H25" s="20" t="n">
        <v>1.5613276</v>
      </c>
      <c r="I25" s="18" t="n">
        <v>0</v>
      </c>
      <c r="J25" s="20" t="n">
        <v>0</v>
      </c>
      <c r="K25" s="18" t="n">
        <v>0.14401451</v>
      </c>
      <c r="L25" s="20" t="n">
        <v>0.14400394</v>
      </c>
      <c r="M25" s="18" t="n">
        <v>0.14738414</v>
      </c>
      <c r="N25" s="20" t="n">
        <v>0.14757813</v>
      </c>
      <c r="O25" s="18" t="n">
        <v>0</v>
      </c>
      <c r="P25" s="20" t="n">
        <v>0</v>
      </c>
      <c r="Q25" s="18" t="n">
        <v>8.97984842</v>
      </c>
      <c r="R25" s="20" t="n">
        <v>0.97333621</v>
      </c>
    </row>
    <row r="26" spans="1:18">
      <c r="A26" s="15" t="s">
        <v>448</v>
      </c>
      <c r="B26" s="17" t="n">
        <v>4869</v>
      </c>
      <c r="C26" s="18">
        <f>(4280.0/B26*100)</f>
        <v/>
      </c>
      <c r="D26" s="19" t="n">
        <v>589</v>
      </c>
      <c r="E26" s="18" t="n">
        <v>66.99965007</v>
      </c>
      <c r="F26" s="20" t="n">
        <v>1.85532069</v>
      </c>
      <c r="G26" s="18" t="n">
        <v>19.32654492</v>
      </c>
      <c r="H26" s="20" t="n">
        <v>1.71662439</v>
      </c>
      <c r="I26" s="18" t="n">
        <v>0</v>
      </c>
      <c r="J26" s="20" t="n">
        <v>0</v>
      </c>
      <c r="K26" s="18" t="n">
        <v>0.30140569</v>
      </c>
      <c r="L26" s="20" t="n">
        <v>0.21633709</v>
      </c>
      <c r="M26" s="18" t="n">
        <v>0.13392686</v>
      </c>
      <c r="N26" s="20" t="n">
        <v>0.11951097</v>
      </c>
      <c r="O26" s="18" t="n">
        <v>0</v>
      </c>
      <c r="P26" s="20" t="n">
        <v>0</v>
      </c>
      <c r="Q26" s="18" t="n">
        <v>13.23847247</v>
      </c>
      <c r="R26" s="20" t="n">
        <v>1.39265805</v>
      </c>
    </row>
    <row r="27" spans="1:18">
      <c r="A27" s="15" t="s">
        <v>449</v>
      </c>
      <c r="B27" s="17" t="n">
        <v>5299</v>
      </c>
      <c r="C27" s="18">
        <f>(4650.0/B27*100)</f>
        <v/>
      </c>
      <c r="D27" s="19" t="n">
        <v>649</v>
      </c>
      <c r="E27" s="18" t="n">
        <v>45.05836883</v>
      </c>
      <c r="F27" s="20" t="n">
        <v>1.71482461</v>
      </c>
      <c r="G27" s="18" t="n">
        <v>25.91780042</v>
      </c>
      <c r="H27" s="20" t="n">
        <v>1.73531504</v>
      </c>
      <c r="I27" s="18" t="n">
        <v>0</v>
      </c>
      <c r="J27" s="20" t="n">
        <v>0</v>
      </c>
      <c r="K27" s="18" t="n">
        <v>0.78684033</v>
      </c>
      <c r="L27" s="20" t="n">
        <v>0.35157984</v>
      </c>
      <c r="M27" s="18" t="n">
        <v>0</v>
      </c>
      <c r="N27" s="20" t="n">
        <v>0</v>
      </c>
      <c r="O27" s="18" t="n">
        <v>0</v>
      </c>
      <c r="P27" s="20" t="n">
        <v>0</v>
      </c>
      <c r="Q27" s="18" t="n">
        <v>28.23699041</v>
      </c>
      <c r="R27" s="20" t="n">
        <v>1.75746531</v>
      </c>
    </row>
    <row r="28" spans="1:18">
      <c r="A28" s="15" t="s">
        <v>450</v>
      </c>
      <c r="B28" s="17" t="n">
        <v>7568</v>
      </c>
      <c r="C28" s="18">
        <f>(6724.0/B28*100)</f>
        <v/>
      </c>
      <c r="D28" s="19" t="n">
        <v>844</v>
      </c>
      <c r="E28" s="18" t="n">
        <v>87.09772725000001</v>
      </c>
      <c r="F28" s="20" t="n">
        <v>1.41513497</v>
      </c>
      <c r="G28" s="18" t="n">
        <v>7.04338297</v>
      </c>
      <c r="H28" s="20" t="n">
        <v>1.08644555</v>
      </c>
      <c r="I28" s="18" t="n">
        <v>0</v>
      </c>
      <c r="J28" s="20" t="n">
        <v>0</v>
      </c>
      <c r="K28" s="18" t="n">
        <v>0.3558374</v>
      </c>
      <c r="L28" s="20" t="n">
        <v>0.18767765</v>
      </c>
      <c r="M28" s="18" t="n">
        <v>0</v>
      </c>
      <c r="N28" s="20" t="n">
        <v>0</v>
      </c>
      <c r="O28" s="18" t="n">
        <v>0</v>
      </c>
      <c r="P28" s="20" t="n">
        <v>0</v>
      </c>
      <c r="Q28" s="18" t="n">
        <v>5.50305238</v>
      </c>
      <c r="R28" s="20" t="n">
        <v>0.70185686</v>
      </c>
    </row>
    <row r="29" spans="1:18">
      <c r="A29" s="15" t="s">
        <v>451</v>
      </c>
      <c r="B29" s="17" t="n">
        <v>5385</v>
      </c>
      <c r="C29" s="18">
        <f>(4727.0/B29*100)</f>
        <v/>
      </c>
      <c r="D29" s="19" t="n">
        <v>658</v>
      </c>
      <c r="E29" s="18" t="n">
        <v>62.5974416</v>
      </c>
      <c r="F29" s="20" t="n">
        <v>1.91870607</v>
      </c>
      <c r="G29" s="18" t="n">
        <v>33.43467905</v>
      </c>
      <c r="H29" s="20" t="n">
        <v>1.78784019</v>
      </c>
      <c r="I29" s="18" t="n">
        <v>0</v>
      </c>
      <c r="J29" s="20" t="n">
        <v>0</v>
      </c>
      <c r="K29" s="18" t="n">
        <v>0</v>
      </c>
      <c r="L29" s="20" t="n">
        <v>0</v>
      </c>
      <c r="M29" s="18" t="n">
        <v>0</v>
      </c>
      <c r="N29" s="20" t="n">
        <v>0</v>
      </c>
      <c r="O29" s="18" t="n">
        <v>0</v>
      </c>
      <c r="P29" s="20" t="n">
        <v>0</v>
      </c>
      <c r="Q29" s="18" t="n">
        <v>3.96787935</v>
      </c>
      <c r="R29" s="20" t="n">
        <v>0.84913938</v>
      </c>
    </row>
    <row r="30" spans="1:18">
      <c r="A30" s="15" t="s">
        <v>452</v>
      </c>
      <c r="B30" s="17" t="n">
        <v>4520</v>
      </c>
      <c r="C30" s="18">
        <f>(3971.0/B30*100)</f>
        <v/>
      </c>
      <c r="D30" s="19" t="n">
        <v>549</v>
      </c>
      <c r="E30" s="18" t="n">
        <v>53.84445192</v>
      </c>
      <c r="F30" s="20" t="n">
        <v>2.42747924</v>
      </c>
      <c r="G30" s="18" t="n">
        <v>28.10765666</v>
      </c>
      <c r="H30" s="20" t="n">
        <v>1.81687476</v>
      </c>
      <c r="I30" s="18" t="n">
        <v>0</v>
      </c>
      <c r="J30" s="20" t="n">
        <v>0</v>
      </c>
      <c r="K30" s="18" t="n">
        <v>1.81564306</v>
      </c>
      <c r="L30" s="20" t="n">
        <v>0.83449182</v>
      </c>
      <c r="M30" s="18" t="n">
        <v>0</v>
      </c>
      <c r="N30" s="20" t="n">
        <v>0</v>
      </c>
      <c r="O30" s="18" t="n">
        <v>0</v>
      </c>
      <c r="P30" s="20" t="n">
        <v>0</v>
      </c>
      <c r="Q30" s="18" t="n">
        <v>16.23224836</v>
      </c>
      <c r="R30" s="20" t="n">
        <v>1.59405832</v>
      </c>
    </row>
    <row r="31" spans="1:18">
      <c r="A31" s="15" t="s">
        <v>453</v>
      </c>
      <c r="B31" s="17" t="n">
        <v>5456</v>
      </c>
      <c r="C31" s="18">
        <f>(4773.0/B31*100)</f>
        <v/>
      </c>
      <c r="D31" s="19" t="n">
        <v>683</v>
      </c>
      <c r="E31" s="18" t="n">
        <v>46.26507833</v>
      </c>
      <c r="F31" s="20" t="n">
        <v>1.68973325</v>
      </c>
      <c r="G31" s="18" t="n">
        <v>36.46535906</v>
      </c>
      <c r="H31" s="20" t="n">
        <v>1.9329999</v>
      </c>
      <c r="I31" s="18" t="n">
        <v>0</v>
      </c>
      <c r="J31" s="20" t="n">
        <v>0</v>
      </c>
      <c r="K31" s="18" t="n">
        <v>0.80586356</v>
      </c>
      <c r="L31" s="20" t="n">
        <v>0.32600483</v>
      </c>
      <c r="M31" s="18" t="n">
        <v>0</v>
      </c>
      <c r="N31" s="20" t="n">
        <v>0</v>
      </c>
      <c r="O31" s="18" t="n">
        <v>0</v>
      </c>
      <c r="P31" s="20" t="n">
        <v>0</v>
      </c>
      <c r="Q31" s="18" t="n">
        <v>16.46369905</v>
      </c>
      <c r="R31" s="20" t="n">
        <v>1.69937784</v>
      </c>
    </row>
    <row r="32" spans="1:18">
      <c r="A32" s="15" t="s">
        <v>454</v>
      </c>
      <c r="B32" s="17" t="n">
        <v>4478</v>
      </c>
      <c r="C32" s="18">
        <f>(3739.0/B32*100)</f>
        <v/>
      </c>
      <c r="D32" s="19" t="n">
        <v>739</v>
      </c>
      <c r="E32" s="18" t="n">
        <v>52.62781954</v>
      </c>
      <c r="F32" s="20" t="n">
        <v>1.81722655</v>
      </c>
      <c r="G32" s="18" t="n">
        <v>32.29163395</v>
      </c>
      <c r="H32" s="20" t="n">
        <v>1.72354212</v>
      </c>
      <c r="I32" s="18" t="n">
        <v>0</v>
      </c>
      <c r="J32" s="20" t="n">
        <v>0</v>
      </c>
      <c r="K32" s="18" t="n">
        <v>0.24631042</v>
      </c>
      <c r="L32" s="20" t="n">
        <v>0.1735207</v>
      </c>
      <c r="M32" s="18" t="n">
        <v>0.15355899</v>
      </c>
      <c r="N32" s="20" t="n">
        <v>0.14739472</v>
      </c>
      <c r="O32" s="18" t="n">
        <v>0</v>
      </c>
      <c r="P32" s="20" t="n">
        <v>0</v>
      </c>
      <c r="Q32" s="18" t="n">
        <v>14.6806771</v>
      </c>
      <c r="R32" s="20" t="n">
        <v>1.40579255</v>
      </c>
    </row>
    <row r="33" spans="1:18">
      <c r="A33" s="15" t="s">
        <v>455</v>
      </c>
      <c r="B33" s="17" t="n">
        <v>7325</v>
      </c>
      <c r="C33" s="18">
        <f>(6439.0/B33*100)</f>
        <v/>
      </c>
      <c r="D33" s="19" t="n">
        <v>886</v>
      </c>
      <c r="E33" s="18" t="n">
        <v>54.67691158</v>
      </c>
      <c r="F33" s="20" t="n">
        <v>1.95939009</v>
      </c>
      <c r="G33" s="18" t="n">
        <v>25.87495185</v>
      </c>
      <c r="H33" s="20" t="n">
        <v>1.51417484</v>
      </c>
      <c r="I33" s="18" t="n">
        <v>0</v>
      </c>
      <c r="J33" s="20" t="n">
        <v>0</v>
      </c>
      <c r="K33" s="18" t="n">
        <v>0.54646343</v>
      </c>
      <c r="L33" s="20" t="n">
        <v>0.38233188</v>
      </c>
      <c r="M33" s="18" t="n">
        <v>0</v>
      </c>
      <c r="N33" s="20" t="n">
        <v>0</v>
      </c>
      <c r="O33" s="18" t="n">
        <v>0</v>
      </c>
      <c r="P33" s="20" t="n">
        <v>0</v>
      </c>
      <c r="Q33" s="18" t="n">
        <v>18.90167315</v>
      </c>
      <c r="R33" s="20" t="n">
        <v>1.39528116</v>
      </c>
    </row>
    <row r="34" spans="1:18">
      <c r="A34" s="15" t="s">
        <v>456</v>
      </c>
      <c r="B34" s="17" t="n">
        <v>6350</v>
      </c>
      <c r="C34" s="18">
        <f>(5589.0/B34*100)</f>
        <v/>
      </c>
      <c r="D34" s="19" t="n">
        <v>761</v>
      </c>
      <c r="E34" s="18" t="n">
        <v>53.12114488</v>
      </c>
      <c r="F34" s="20" t="n">
        <v>1.90958207</v>
      </c>
      <c r="G34" s="18" t="n">
        <v>28.16055823</v>
      </c>
      <c r="H34" s="20" t="n">
        <v>1.61584982</v>
      </c>
      <c r="I34" s="18" t="n">
        <v>0</v>
      </c>
      <c r="J34" s="20" t="n">
        <v>0</v>
      </c>
      <c r="K34" s="18" t="n">
        <v>0.18041667</v>
      </c>
      <c r="L34" s="20" t="n">
        <v>0.10141046</v>
      </c>
      <c r="M34" s="18" t="n">
        <v>0.12732842</v>
      </c>
      <c r="N34" s="20" t="n">
        <v>0.12579852</v>
      </c>
      <c r="O34" s="18" t="n">
        <v>0</v>
      </c>
      <c r="P34" s="20" t="n">
        <v>0</v>
      </c>
      <c r="Q34" s="18" t="n">
        <v>18.4105518</v>
      </c>
      <c r="R34" s="20" t="n">
        <v>1.34725809</v>
      </c>
    </row>
    <row r="35" spans="1:18">
      <c r="A35" s="15" t="s">
        <v>457</v>
      </c>
      <c r="B35" s="17" t="n">
        <v>6406</v>
      </c>
      <c r="C35" s="18">
        <f>(5620.0/B35*100)</f>
        <v/>
      </c>
      <c r="D35" s="19" t="n">
        <v>786</v>
      </c>
      <c r="E35" s="18" t="n">
        <v>57.42929497</v>
      </c>
      <c r="F35" s="20" t="n">
        <v>2.12570259</v>
      </c>
      <c r="G35" s="18" t="n">
        <v>29.47723757</v>
      </c>
      <c r="H35" s="20" t="n">
        <v>2.14001902</v>
      </c>
      <c r="I35" s="18" t="n">
        <v>0</v>
      </c>
      <c r="J35" s="20" t="n">
        <v>0</v>
      </c>
      <c r="K35" s="18" t="n">
        <v>0.05514159</v>
      </c>
      <c r="L35" s="20" t="n">
        <v>0.05757244</v>
      </c>
      <c r="M35" s="18" t="n">
        <v>0</v>
      </c>
      <c r="N35" s="20" t="n">
        <v>0</v>
      </c>
      <c r="O35" s="18" t="n">
        <v>0</v>
      </c>
      <c r="P35" s="20" t="n">
        <v>0</v>
      </c>
      <c r="Q35" s="18" t="n">
        <v>13.03832587</v>
      </c>
      <c r="R35" s="20" t="n">
        <v>1.27401541</v>
      </c>
    </row>
    <row r="36" spans="1:18">
      <c r="A36" s="15" t="s">
        <v>458</v>
      </c>
      <c r="B36" s="17" t="n">
        <v>6736</v>
      </c>
      <c r="C36" s="18">
        <f>(5913.0/B36*100)</f>
        <v/>
      </c>
      <c r="D36" s="19" t="n">
        <v>823</v>
      </c>
      <c r="E36" s="18" t="n">
        <v>73.86693412</v>
      </c>
      <c r="F36" s="20" t="n">
        <v>1.52377919</v>
      </c>
      <c r="G36" s="18" t="n">
        <v>11.07110095</v>
      </c>
      <c r="H36" s="20" t="n">
        <v>1.1588287</v>
      </c>
      <c r="I36" s="18" t="n">
        <v>0</v>
      </c>
      <c r="J36" s="20" t="n">
        <v>0</v>
      </c>
      <c r="K36" s="18" t="n">
        <v>0.40909576</v>
      </c>
      <c r="L36" s="20" t="n">
        <v>0.20716</v>
      </c>
      <c r="M36" s="18" t="n">
        <v>0.13843862</v>
      </c>
      <c r="N36" s="20" t="n">
        <v>0.1460571</v>
      </c>
      <c r="O36" s="18" t="n">
        <v>0</v>
      </c>
      <c r="P36" s="20" t="n">
        <v>0</v>
      </c>
      <c r="Q36" s="18" t="n">
        <v>14.51443056</v>
      </c>
      <c r="R36" s="20" t="n">
        <v>1.29338354</v>
      </c>
    </row>
    <row r="37" spans="1:18">
      <c r="A37" s="15" t="s">
        <v>459</v>
      </c>
      <c r="B37" s="17" t="n">
        <v>5458</v>
      </c>
      <c r="C37" s="18">
        <f>(4810.0/B37*100)</f>
        <v/>
      </c>
      <c r="D37" s="19" t="n">
        <v>648</v>
      </c>
      <c r="E37" s="18" t="n">
        <v>42.83261138</v>
      </c>
      <c r="F37" s="20" t="n">
        <v>1.8543016</v>
      </c>
      <c r="G37" s="18" t="n">
        <v>33.72726045</v>
      </c>
      <c r="H37" s="20" t="n">
        <v>2.16142522</v>
      </c>
      <c r="I37" s="18" t="n">
        <v>0</v>
      </c>
      <c r="J37" s="20" t="n">
        <v>0</v>
      </c>
      <c r="K37" s="18" t="n">
        <v>1.22359184</v>
      </c>
      <c r="L37" s="20" t="n">
        <v>0.42597294</v>
      </c>
      <c r="M37" s="18" t="n">
        <v>0</v>
      </c>
      <c r="N37" s="20" t="n">
        <v>0</v>
      </c>
      <c r="O37" s="18" t="n">
        <v>0</v>
      </c>
      <c r="P37" s="20" t="n">
        <v>0</v>
      </c>
      <c r="Q37" s="18" t="n">
        <v>22.21653634</v>
      </c>
      <c r="R37" s="20" t="n">
        <v>1.71681034</v>
      </c>
    </row>
    <row r="38" spans="1:18">
      <c r="A38" s="15" t="s">
        <v>460</v>
      </c>
      <c r="B38" s="17" t="n">
        <v>5860</v>
      </c>
      <c r="C38" s="18">
        <f>(4902.0/B38*100)</f>
        <v/>
      </c>
      <c r="D38" s="19" t="n">
        <v>958</v>
      </c>
      <c r="E38" s="18" t="n">
        <v>50.70039579</v>
      </c>
      <c r="F38" s="20" t="n">
        <v>1.83825697</v>
      </c>
      <c r="G38" s="18" t="n">
        <v>27.81443412</v>
      </c>
      <c r="H38" s="20" t="n">
        <v>1.48290824</v>
      </c>
      <c r="I38" s="18" t="n">
        <v>0</v>
      </c>
      <c r="J38" s="20" t="n">
        <v>0</v>
      </c>
      <c r="K38" s="18" t="n">
        <v>1.11329346</v>
      </c>
      <c r="L38" s="20" t="n">
        <v>0.34192748</v>
      </c>
      <c r="M38" s="18" t="n">
        <v>0.30673456</v>
      </c>
      <c r="N38" s="20" t="n">
        <v>0.18167005</v>
      </c>
      <c r="O38" s="18" t="n">
        <v>0</v>
      </c>
      <c r="P38" s="20" t="n">
        <v>0</v>
      </c>
      <c r="Q38" s="18" t="n">
        <v>20.06514207</v>
      </c>
      <c r="R38" s="20" t="n">
        <v>1.6957816</v>
      </c>
    </row>
    <row r="39" spans="1:18">
      <c r="A39" s="15" t="s">
        <v>461</v>
      </c>
      <c r="B39" s="17" t="n">
        <v>5895</v>
      </c>
      <c r="C39" s="18">
        <f>(5169.0/B39*100)</f>
        <v/>
      </c>
      <c r="D39" s="19" t="n">
        <v>726</v>
      </c>
      <c r="E39" s="18" t="n">
        <v>67.39125507</v>
      </c>
      <c r="F39" s="20" t="n">
        <v>2.11971111</v>
      </c>
      <c r="G39" s="18" t="n">
        <v>13.15729438</v>
      </c>
      <c r="H39" s="20" t="n">
        <v>1.62668983</v>
      </c>
      <c r="I39" s="18" t="n">
        <v>0</v>
      </c>
      <c r="J39" s="20" t="n">
        <v>0</v>
      </c>
      <c r="K39" s="18" t="n">
        <v>0.27539974</v>
      </c>
      <c r="L39" s="20" t="n">
        <v>0.19281364</v>
      </c>
      <c r="M39" s="18" t="n">
        <v>0.12230302</v>
      </c>
      <c r="N39" s="20" t="n">
        <v>0.1257731</v>
      </c>
      <c r="O39" s="18" t="n">
        <v>0</v>
      </c>
      <c r="P39" s="20" t="n">
        <v>0</v>
      </c>
      <c r="Q39" s="18" t="n">
        <v>19.05374778</v>
      </c>
      <c r="R39" s="20" t="n">
        <v>1.77294117</v>
      </c>
    </row>
    <row r="40" spans="1:18">
      <c r="A40" s="15" t="s">
        <v>462</v>
      </c>
      <c r="B40" s="17" t="n">
        <v>14157</v>
      </c>
      <c r="C40" s="18">
        <f>(12436.0/B40*100)</f>
        <v/>
      </c>
      <c r="D40" s="19" t="n">
        <v>1721</v>
      </c>
      <c r="E40" s="18" t="n">
        <v>56.85061601</v>
      </c>
      <c r="F40" s="20" t="n">
        <v>1.83538027</v>
      </c>
      <c r="G40" s="18" t="n">
        <v>24.49668367</v>
      </c>
      <c r="H40" s="20" t="n">
        <v>1.55930587</v>
      </c>
      <c r="I40" s="18" t="n">
        <v>0</v>
      </c>
      <c r="J40" s="20" t="n">
        <v>0</v>
      </c>
      <c r="K40" s="18" t="n">
        <v>0.4906801</v>
      </c>
      <c r="L40" s="20" t="n">
        <v>0.18934192</v>
      </c>
      <c r="M40" s="18" t="n">
        <v>0.15573113</v>
      </c>
      <c r="N40" s="20" t="n">
        <v>0.15400993</v>
      </c>
      <c r="O40" s="18" t="n">
        <v>0</v>
      </c>
      <c r="P40" s="20" t="n">
        <v>0</v>
      </c>
      <c r="Q40" s="18" t="n">
        <v>18.00628909</v>
      </c>
      <c r="R40" s="20" t="n">
        <v>1.43385081</v>
      </c>
    </row>
    <row r="41" spans="1:18">
      <c r="A41" s="15" t="s">
        <v>463</v>
      </c>
      <c r="B41" s="17" t="n">
        <v>5712</v>
      </c>
      <c r="C41" s="18">
        <f>(5041.0/B41*100)</f>
        <v/>
      </c>
      <c r="D41" s="19" t="n">
        <v>671</v>
      </c>
      <c r="E41" s="18" t="n">
        <v>69.2542718</v>
      </c>
      <c r="F41" s="20" t="n">
        <v>1.88365345</v>
      </c>
      <c r="G41" s="18" t="n">
        <v>23.22890462</v>
      </c>
      <c r="H41" s="20" t="n">
        <v>1.91223363</v>
      </c>
      <c r="I41" s="18" t="n">
        <v>0</v>
      </c>
      <c r="J41" s="20" t="n">
        <v>0</v>
      </c>
      <c r="K41" s="18" t="n">
        <v>0.82593028</v>
      </c>
      <c r="L41" s="20" t="n">
        <v>0.33052688</v>
      </c>
      <c r="M41" s="18" t="n">
        <v>0</v>
      </c>
      <c r="N41" s="20" t="n">
        <v>0</v>
      </c>
      <c r="O41" s="18" t="n">
        <v>0</v>
      </c>
      <c r="P41" s="20" t="n">
        <v>0</v>
      </c>
      <c r="Q41" s="18" t="n">
        <v>6.6908933</v>
      </c>
      <c r="R41" s="20" t="n">
        <v>1.03149029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(20771.0/B46*100)</f>
        <v/>
      </c>
      <c r="D46" s="19" t="n">
        <v>2370</v>
      </c>
      <c r="E46" s="18" t="n">
        <v>69.16114071</v>
      </c>
      <c r="F46" s="20" t="n">
        <v>1.24613349</v>
      </c>
      <c r="G46" s="18" t="n">
        <v>7.41713083</v>
      </c>
      <c r="H46" s="20" t="n">
        <v>0.66533538</v>
      </c>
      <c r="I46" s="18" t="n">
        <v>0</v>
      </c>
      <c r="J46" s="20" t="n">
        <v>0</v>
      </c>
      <c r="K46" s="18" t="n">
        <v>1.04266511</v>
      </c>
      <c r="L46" s="20" t="n">
        <v>0.31726792</v>
      </c>
      <c r="M46" s="18" t="n">
        <v>0.13333746</v>
      </c>
      <c r="N46" s="20" t="n">
        <v>0.06663885</v>
      </c>
      <c r="O46" s="18" t="n">
        <v>0</v>
      </c>
      <c r="P46" s="20" t="n">
        <v>0</v>
      </c>
      <c r="Q46" s="18" t="n">
        <v>22.24572589</v>
      </c>
      <c r="R46" s="20" t="n">
        <v>1.08050685</v>
      </c>
    </row>
    <row r="47" spans="1:18">
      <c r="A47" s="15" t="s">
        <v>470</v>
      </c>
      <c r="B47" s="17" t="n">
        <v>5928</v>
      </c>
      <c r="C47" s="18">
        <f>(5226.0/B47*100)</f>
        <v/>
      </c>
      <c r="D47" s="19" t="n">
        <v>702</v>
      </c>
      <c r="E47" s="18" t="n">
        <v>52.63952183</v>
      </c>
      <c r="F47" s="20" t="n">
        <v>1.94098356</v>
      </c>
      <c r="G47" s="18" t="n">
        <v>18.66465923</v>
      </c>
      <c r="H47" s="20" t="n">
        <v>1.73411276</v>
      </c>
      <c r="I47" s="18" t="n">
        <v>0</v>
      </c>
      <c r="J47" s="20" t="n">
        <v>0</v>
      </c>
      <c r="K47" s="18" t="n">
        <v>0.9843790100000001</v>
      </c>
      <c r="L47" s="20" t="n">
        <v>0.42473714</v>
      </c>
      <c r="M47" s="18" t="n">
        <v>0</v>
      </c>
      <c r="N47" s="20" t="n">
        <v>0</v>
      </c>
      <c r="O47" s="18" t="n">
        <v>0</v>
      </c>
      <c r="P47" s="20" t="n">
        <v>0</v>
      </c>
      <c r="Q47" s="18" t="n">
        <v>27.71143992</v>
      </c>
      <c r="R47" s="20" t="n">
        <v>1.84495549</v>
      </c>
    </row>
    <row r="48" spans="1:18">
      <c r="A48" s="15" t="s">
        <v>471</v>
      </c>
      <c r="B48" s="17" t="n">
        <v>9841</v>
      </c>
      <c r="C48" s="18">
        <f>(8595.0/B48*100)</f>
        <v/>
      </c>
      <c r="D48" s="19" t="n">
        <v>1246</v>
      </c>
      <c r="E48" s="18" t="n">
        <v>78.04893371</v>
      </c>
      <c r="F48" s="20" t="n">
        <v>1.68655394</v>
      </c>
      <c r="G48" s="18" t="n">
        <v>12.94584995</v>
      </c>
      <c r="H48" s="20" t="n">
        <v>1.51015967</v>
      </c>
      <c r="I48" s="18" t="n">
        <v>0</v>
      </c>
      <c r="J48" s="20" t="n">
        <v>0</v>
      </c>
      <c r="K48" s="18" t="n">
        <v>0.38735838</v>
      </c>
      <c r="L48" s="20" t="n">
        <v>0.23496582</v>
      </c>
      <c r="M48" s="18" t="n">
        <v>0</v>
      </c>
      <c r="N48" s="20" t="n">
        <v>0</v>
      </c>
      <c r="O48" s="18" t="n">
        <v>0</v>
      </c>
      <c r="P48" s="20" t="n">
        <v>0</v>
      </c>
      <c r="Q48" s="18" t="n">
        <v>8.61785796</v>
      </c>
      <c r="R48" s="20" t="n">
        <v>1.19565152</v>
      </c>
    </row>
    <row r="49" spans="1:18">
      <c r="A49" s="15" t="s">
        <v>472</v>
      </c>
      <c r="B49" s="17" t="n">
        <v>11795</v>
      </c>
      <c r="C49" s="18">
        <f>(10406.0/B49*100)</f>
        <v/>
      </c>
      <c r="D49" s="19" t="n">
        <v>1389</v>
      </c>
      <c r="E49" s="18" t="n">
        <v>75.13907205</v>
      </c>
      <c r="F49" s="20" t="n">
        <v>1.57616727</v>
      </c>
      <c r="G49" s="18" t="n">
        <v>10.49719931</v>
      </c>
      <c r="H49" s="20" t="n">
        <v>1.09666078</v>
      </c>
      <c r="I49" s="18" t="n">
        <v>0</v>
      </c>
      <c r="J49" s="20" t="n">
        <v>0</v>
      </c>
      <c r="K49" s="18" t="n">
        <v>1.86370453</v>
      </c>
      <c r="L49" s="20" t="n">
        <v>0.56256746</v>
      </c>
      <c r="M49" s="18" t="n">
        <v>0.05889858</v>
      </c>
      <c r="N49" s="20" t="n">
        <v>0.05855427</v>
      </c>
      <c r="O49" s="18" t="n">
        <v>0</v>
      </c>
      <c r="P49" s="20" t="n">
        <v>0</v>
      </c>
      <c r="Q49" s="18" t="n">
        <v>12.44112553</v>
      </c>
      <c r="R49" s="20" t="n">
        <v>1.13338784</v>
      </c>
    </row>
    <row r="50" spans="1:18">
      <c r="A50" s="15" t="s">
        <v>473</v>
      </c>
      <c r="B50" s="17" t="n">
        <v>6866</v>
      </c>
      <c r="C50" s="18">
        <f>(6169.0/B50*100)</f>
        <v/>
      </c>
      <c r="D50" s="19" t="n">
        <v>697</v>
      </c>
      <c r="E50" s="18" t="n">
        <v>74.44231625</v>
      </c>
      <c r="F50" s="20" t="n">
        <v>1.78313034</v>
      </c>
      <c r="G50" s="18" t="n">
        <v>10.02432521</v>
      </c>
      <c r="H50" s="20" t="n">
        <v>1.09410665</v>
      </c>
      <c r="I50" s="18" t="n">
        <v>0</v>
      </c>
      <c r="J50" s="20" t="n">
        <v>0</v>
      </c>
      <c r="K50" s="18" t="n">
        <v>0.5480918</v>
      </c>
      <c r="L50" s="20" t="n">
        <v>0.31160734</v>
      </c>
      <c r="M50" s="18" t="n">
        <v>0</v>
      </c>
      <c r="N50" s="20" t="n">
        <v>0</v>
      </c>
      <c r="O50" s="18" t="n">
        <v>0</v>
      </c>
      <c r="P50" s="20" t="n">
        <v>0</v>
      </c>
      <c r="Q50" s="18" t="n">
        <v>14.98526674</v>
      </c>
      <c r="R50" s="20" t="n">
        <v>1.65045612</v>
      </c>
    </row>
    <row r="51" spans="1:18">
      <c r="A51" s="15" t="s">
        <v>474</v>
      </c>
      <c r="B51" s="17" t="n">
        <v>5809</v>
      </c>
      <c r="C51" s="18">
        <f>(5090.0/B51*100)</f>
        <v/>
      </c>
      <c r="D51" s="19" t="n">
        <v>719</v>
      </c>
      <c r="E51" s="18" t="n">
        <v>58.85360844</v>
      </c>
      <c r="F51" s="20" t="n">
        <v>1.9367959</v>
      </c>
      <c r="G51" s="18" t="n">
        <v>24.56006674</v>
      </c>
      <c r="H51" s="20" t="n">
        <v>1.7798241</v>
      </c>
      <c r="I51" s="18" t="n">
        <v>0</v>
      </c>
      <c r="J51" s="20" t="n">
        <v>0</v>
      </c>
      <c r="K51" s="18" t="n">
        <v>0.15300346</v>
      </c>
      <c r="L51" s="20" t="n">
        <v>0.15272475</v>
      </c>
      <c r="M51" s="18" t="n">
        <v>0</v>
      </c>
      <c r="N51" s="20" t="n">
        <v>0</v>
      </c>
      <c r="O51" s="18" t="n">
        <v>0</v>
      </c>
      <c r="P51" s="20" t="n">
        <v>0</v>
      </c>
      <c r="Q51" s="18" t="n">
        <v>16.43332137</v>
      </c>
      <c r="R51" s="20" t="n">
        <v>1.43917151</v>
      </c>
    </row>
    <row r="52" spans="1:18">
      <c r="A52" s="15" t="s">
        <v>475</v>
      </c>
      <c r="B52" s="17" t="n">
        <v>5571</v>
      </c>
      <c r="C52" s="18">
        <f>(4898.0/B52*100)</f>
        <v/>
      </c>
      <c r="D52" s="19" t="n">
        <v>673</v>
      </c>
      <c r="E52" s="18" t="n">
        <v>62.0243655</v>
      </c>
      <c r="F52" s="20" t="n">
        <v>1.87021148</v>
      </c>
      <c r="G52" s="18" t="n">
        <v>11.51721352</v>
      </c>
      <c r="H52" s="20" t="n">
        <v>1.37038909</v>
      </c>
      <c r="I52" s="18" t="n">
        <v>0</v>
      </c>
      <c r="J52" s="20" t="n">
        <v>0</v>
      </c>
      <c r="K52" s="18" t="n">
        <v>1.37123279</v>
      </c>
      <c r="L52" s="20" t="n">
        <v>0.43624575</v>
      </c>
      <c r="M52" s="18" t="n">
        <v>0</v>
      </c>
      <c r="N52" s="20" t="n">
        <v>0</v>
      </c>
      <c r="O52" s="18" t="n">
        <v>0</v>
      </c>
      <c r="P52" s="20" t="n">
        <v>0</v>
      </c>
      <c r="Q52" s="18" t="n">
        <v>25.08718819</v>
      </c>
      <c r="R52" s="20" t="n">
        <v>1.84856274</v>
      </c>
    </row>
    <row r="53" spans="1:18">
      <c r="A53" s="15" t="s">
        <v>476</v>
      </c>
      <c r="B53" s="17" t="n">
        <v>4740</v>
      </c>
      <c r="C53" s="18">
        <f>(3945.0/B53*100)</f>
        <v/>
      </c>
      <c r="D53" s="19" t="n">
        <v>795</v>
      </c>
      <c r="E53" s="18" t="n">
        <v>56.01828281</v>
      </c>
      <c r="F53" s="20" t="n">
        <v>2.0501428</v>
      </c>
      <c r="G53" s="18" t="n">
        <v>3.69596567</v>
      </c>
      <c r="H53" s="20" t="n">
        <v>0.6438474199999999</v>
      </c>
      <c r="I53" s="18" t="n">
        <v>0</v>
      </c>
      <c r="J53" s="20" t="n">
        <v>0</v>
      </c>
      <c r="K53" s="18" t="n">
        <v>14.04085735</v>
      </c>
      <c r="L53" s="20" t="n">
        <v>1.38635762</v>
      </c>
      <c r="M53" s="18" t="n">
        <v>0.26220602</v>
      </c>
      <c r="N53" s="20" t="n">
        <v>0.26835783</v>
      </c>
      <c r="O53" s="18" t="n">
        <v>0</v>
      </c>
      <c r="P53" s="20" t="n">
        <v>0</v>
      </c>
      <c r="Q53" s="18" t="n">
        <v>25.98268816</v>
      </c>
      <c r="R53" s="20" t="n">
        <v>1.79159662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(4691.0/B55*100)</f>
        <v/>
      </c>
      <c r="D55" s="19" t="n">
        <v>668</v>
      </c>
      <c r="E55" s="18" t="n">
        <v>66.25407316</v>
      </c>
      <c r="F55" s="20" t="n">
        <v>1.96211215</v>
      </c>
      <c r="G55" s="18" t="n">
        <v>26.4176128</v>
      </c>
      <c r="H55" s="20" t="n">
        <v>1.7319215</v>
      </c>
      <c r="I55" s="18" t="n">
        <v>0</v>
      </c>
      <c r="J55" s="20" t="n">
        <v>0</v>
      </c>
      <c r="K55" s="18" t="n">
        <v>0.21444336</v>
      </c>
      <c r="L55" s="20" t="n">
        <v>0.20996966</v>
      </c>
      <c r="M55" s="18" t="n">
        <v>0</v>
      </c>
      <c r="N55" s="20" t="n">
        <v>0</v>
      </c>
      <c r="O55" s="18" t="n">
        <v>0</v>
      </c>
      <c r="P55" s="20" t="n">
        <v>0</v>
      </c>
      <c r="Q55" s="18" t="n">
        <v>7.11387068</v>
      </c>
      <c r="R55" s="20" t="n">
        <v>1.10078968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60.78138628</v>
      </c>
      <c r="F61" s="20" t="n">
        <v>1.82996811</v>
      </c>
      <c r="G61" s="18" t="n">
        <v>26.99418333</v>
      </c>
      <c r="H61" s="20" t="n">
        <v>1.80176979</v>
      </c>
      <c r="I61" s="18" t="n">
        <v>0</v>
      </c>
      <c r="J61" s="20" t="n">
        <v>0</v>
      </c>
      <c r="K61" s="18" t="n">
        <v>0.43071794</v>
      </c>
      <c r="L61" s="20" t="n">
        <v>0.2304485</v>
      </c>
      <c r="M61" s="18" t="n">
        <v>0</v>
      </c>
      <c r="N61" s="20" t="n">
        <v>0</v>
      </c>
      <c r="O61" s="18" t="n">
        <v>0</v>
      </c>
      <c r="P61" s="20" t="n">
        <v>0</v>
      </c>
      <c r="Q61" s="18" t="n">
        <v>11.79371245</v>
      </c>
      <c r="R61" s="20" t="n">
        <v>1.48772334</v>
      </c>
    </row>
    <row r="62" spans="1:18">
      <c r="A62" s="15" t="s">
        <v>486</v>
      </c>
      <c r="B62" s="17" t="n">
        <v>4476</v>
      </c>
      <c r="C62" s="18">
        <f>(3935.0/B62*100)</f>
        <v/>
      </c>
      <c r="D62" s="19" t="n">
        <v>541</v>
      </c>
      <c r="E62" s="18" t="n">
        <v>75.0719722</v>
      </c>
      <c r="F62" s="20" t="n">
        <v>1.99453473</v>
      </c>
      <c r="G62" s="18" t="n">
        <v>20.48055423</v>
      </c>
      <c r="H62" s="20" t="n">
        <v>1.79781226</v>
      </c>
      <c r="I62" s="18" t="n">
        <v>0</v>
      </c>
      <c r="J62" s="20" t="n">
        <v>0</v>
      </c>
      <c r="K62" s="18" t="n">
        <v>0</v>
      </c>
      <c r="L62" s="20" t="n">
        <v>0</v>
      </c>
      <c r="M62" s="18" t="n">
        <v>0</v>
      </c>
      <c r="N62" s="20" t="n">
        <v>0</v>
      </c>
      <c r="O62" s="18" t="n">
        <v>0</v>
      </c>
      <c r="P62" s="20" t="n">
        <v>0</v>
      </c>
      <c r="Q62" s="18" t="n">
        <v>4.44747357</v>
      </c>
      <c r="R62" s="20" t="n">
        <v>0.93331155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(4992.0/B67*100)</f>
        <v/>
      </c>
      <c r="D67" s="19" t="n">
        <v>673</v>
      </c>
      <c r="E67" s="18" t="n">
        <v>46.00065142</v>
      </c>
      <c r="F67" s="20" t="n">
        <v>1.69851504</v>
      </c>
      <c r="G67" s="18" t="n">
        <v>16.96144161</v>
      </c>
      <c r="H67" s="20" t="n">
        <v>1.61287498</v>
      </c>
      <c r="I67" s="18" t="n">
        <v>0</v>
      </c>
      <c r="J67" s="20" t="n">
        <v>0</v>
      </c>
      <c r="K67" s="18" t="n">
        <v>1.70199651</v>
      </c>
      <c r="L67" s="20" t="n">
        <v>0.49539609</v>
      </c>
      <c r="M67" s="18" t="n">
        <v>0.26173023</v>
      </c>
      <c r="N67" s="20" t="n">
        <v>0.1825702</v>
      </c>
      <c r="O67" s="18" t="n">
        <v>0</v>
      </c>
      <c r="P67" s="20" t="n">
        <v>0</v>
      </c>
      <c r="Q67" s="18" t="n">
        <v>35.07418023</v>
      </c>
      <c r="R67" s="20" t="n">
        <v>1.93549363</v>
      </c>
    </row>
    <row r="68" spans="1:18">
      <c r="A68" s="15" t="s">
        <v>492</v>
      </c>
      <c r="B68" s="17" t="n">
        <v>6971</v>
      </c>
      <c r="C68" s="18">
        <f>(6236.0/B68*100)</f>
        <v/>
      </c>
      <c r="D68" s="19" t="n">
        <v>735</v>
      </c>
      <c r="E68" s="18" t="n">
        <v>73.27135953</v>
      </c>
      <c r="F68" s="20" t="n">
        <v>1.42519299</v>
      </c>
      <c r="G68" s="18" t="n">
        <v>9.63562915</v>
      </c>
      <c r="H68" s="20" t="n">
        <v>1.01554817</v>
      </c>
      <c r="I68" s="18" t="n">
        <v>0</v>
      </c>
      <c r="J68" s="20" t="n">
        <v>0</v>
      </c>
      <c r="K68" s="18" t="n">
        <v>0.43828436</v>
      </c>
      <c r="L68" s="20" t="n">
        <v>0.25951667</v>
      </c>
      <c r="M68" s="18" t="n">
        <v>0.28537129</v>
      </c>
      <c r="N68" s="20" t="n">
        <v>0.20280164</v>
      </c>
      <c r="O68" s="18" t="n">
        <v>0</v>
      </c>
      <c r="P68" s="20" t="n">
        <v>0</v>
      </c>
      <c r="Q68" s="18" t="n">
        <v>16.36935567</v>
      </c>
      <c r="R68" s="20" t="n">
        <v>1.14139871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68.63739031</v>
      </c>
      <c r="F70" s="20" t="n">
        <v>0.93075243</v>
      </c>
      <c r="G70" s="18" t="n">
        <v>7.26984906</v>
      </c>
      <c r="H70" s="20" t="n">
        <v>0.61112793</v>
      </c>
      <c r="I70" s="18" t="n">
        <v>0</v>
      </c>
      <c r="J70" s="20" t="n">
        <v>0</v>
      </c>
      <c r="K70" s="18" t="n">
        <v>3.24740725</v>
      </c>
      <c r="L70" s="20" t="n">
        <v>0.3876176</v>
      </c>
      <c r="M70" s="18" t="n">
        <v>0</v>
      </c>
      <c r="N70" s="20" t="n">
        <v>0</v>
      </c>
      <c r="O70" s="18" t="n">
        <v>0</v>
      </c>
      <c r="P70" s="20" t="n">
        <v>0</v>
      </c>
      <c r="Q70" s="18" t="n">
        <v>20.84535338</v>
      </c>
      <c r="R70" s="20" t="n">
        <v>0.92782876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(5325.0/B72*100)</f>
        <v/>
      </c>
      <c r="D72" s="19" t="n">
        <v>711</v>
      </c>
      <c r="E72" s="18" t="n">
        <v>67.3144532</v>
      </c>
      <c r="F72" s="20" t="n">
        <v>2.28606335</v>
      </c>
      <c r="G72" s="18" t="n">
        <v>17.17159945</v>
      </c>
      <c r="H72" s="20" t="n">
        <v>1.63011264</v>
      </c>
      <c r="I72" s="18" t="n">
        <v>0</v>
      </c>
      <c r="J72" s="20" t="n">
        <v>0</v>
      </c>
      <c r="K72" s="18" t="n">
        <v>0.48029606</v>
      </c>
      <c r="L72" s="20" t="n">
        <v>0.24432248</v>
      </c>
      <c r="M72" s="18" t="n">
        <v>0.10544051</v>
      </c>
      <c r="N72" s="20" t="n">
        <v>0.10683838</v>
      </c>
      <c r="O72" s="18" t="n">
        <v>0</v>
      </c>
      <c r="P72" s="20" t="n">
        <v>0</v>
      </c>
      <c r="Q72" s="18" t="n">
        <v>14.92821078</v>
      </c>
      <c r="R72" s="20" t="n">
        <v>1.81475164</v>
      </c>
    </row>
    <row r="73" spans="1:18">
      <c r="A73" s="15" t="s">
        <v>497</v>
      </c>
      <c r="B73" s="17" t="n">
        <v>6115</v>
      </c>
      <c r="C73" s="18">
        <f>(5356.0/B73*100)</f>
        <v/>
      </c>
      <c r="D73" s="19" t="n">
        <v>759</v>
      </c>
      <c r="E73" s="18" t="n">
        <v>69.14407162000001</v>
      </c>
      <c r="F73" s="20" t="n">
        <v>1.61720405</v>
      </c>
      <c r="G73" s="18" t="n">
        <v>25.00349489</v>
      </c>
      <c r="H73" s="20" t="n">
        <v>1.78893976</v>
      </c>
      <c r="I73" s="18" t="n">
        <v>0</v>
      </c>
      <c r="J73" s="20" t="n">
        <v>0</v>
      </c>
      <c r="K73" s="18" t="n">
        <v>0.12138335</v>
      </c>
      <c r="L73" s="20" t="n">
        <v>0.12151119</v>
      </c>
      <c r="M73" s="18" t="n">
        <v>0.06888151000000001</v>
      </c>
      <c r="N73" s="20" t="n">
        <v>0.06911086</v>
      </c>
      <c r="O73" s="18" t="n">
        <v>0</v>
      </c>
      <c r="P73" s="20" t="n">
        <v>0</v>
      </c>
      <c r="Q73" s="18" t="n">
        <v>5.66216863</v>
      </c>
      <c r="R73" s="20" t="n">
        <v>0.79618225</v>
      </c>
    </row>
    <row r="74" spans="1:18">
      <c r="A74" s="15" t="s">
        <v>498</v>
      </c>
      <c r="B74" s="17" t="n">
        <v>7708</v>
      </c>
      <c r="C74" s="18">
        <f>(6764.0/B74*100)</f>
        <v/>
      </c>
      <c r="D74" s="19" t="n">
        <v>944</v>
      </c>
      <c r="E74" s="18" t="n">
        <v>76.20456679999999</v>
      </c>
      <c r="F74" s="20" t="n">
        <v>1.54959914</v>
      </c>
      <c r="G74" s="18" t="n">
        <v>14.77369775</v>
      </c>
      <c r="H74" s="20" t="n">
        <v>1.26701128</v>
      </c>
      <c r="I74" s="18" t="n">
        <v>0</v>
      </c>
      <c r="J74" s="20" t="n">
        <v>0</v>
      </c>
      <c r="K74" s="18" t="n">
        <v>0.43623119</v>
      </c>
      <c r="L74" s="20" t="n">
        <v>0.22441115</v>
      </c>
      <c r="M74" s="18" t="n">
        <v>0</v>
      </c>
      <c r="N74" s="20" t="n">
        <v>0</v>
      </c>
      <c r="O74" s="18" t="n">
        <v>0</v>
      </c>
      <c r="P74" s="20" t="n">
        <v>0</v>
      </c>
      <c r="Q74" s="18" t="n">
        <v>8.58550425</v>
      </c>
      <c r="R74" s="20" t="n">
        <v>0.92050614</v>
      </c>
    </row>
    <row r="75" spans="1:18">
      <c r="A75" s="15" t="s">
        <v>499</v>
      </c>
      <c r="B75" s="17" t="n">
        <v>8249</v>
      </c>
      <c r="C75" s="18">
        <f>(7288.0/B75*100)</f>
        <v/>
      </c>
      <c r="D75" s="19" t="n">
        <v>961</v>
      </c>
      <c r="E75" s="18" t="n">
        <v>90.23218604</v>
      </c>
      <c r="F75" s="20" t="n">
        <v>1.16150988</v>
      </c>
      <c r="G75" s="18" t="n">
        <v>5.81650549</v>
      </c>
      <c r="H75" s="20" t="n">
        <v>0.92282614</v>
      </c>
      <c r="I75" s="18" t="n">
        <v>0</v>
      </c>
      <c r="J75" s="20" t="n">
        <v>0</v>
      </c>
      <c r="K75" s="18" t="n">
        <v>0.00596084</v>
      </c>
      <c r="L75" s="20" t="n">
        <v>0.00598072</v>
      </c>
      <c r="M75" s="18" t="n">
        <v>0.35626454</v>
      </c>
      <c r="N75" s="20" t="n">
        <v>0.31050132</v>
      </c>
      <c r="O75" s="18" t="n">
        <v>0</v>
      </c>
      <c r="P75" s="20" t="n">
        <v>0</v>
      </c>
      <c r="Q75" s="18" t="n">
        <v>3.58908309</v>
      </c>
      <c r="R75" s="20" t="n">
        <v>0.62622371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(4795.0/B77*100)</f>
        <v/>
      </c>
      <c r="D77" s="19" t="n">
        <v>580</v>
      </c>
      <c r="E77" s="18" t="n">
        <v>52.89136364</v>
      </c>
      <c r="F77" s="20" t="n">
        <v>2.36800852</v>
      </c>
      <c r="G77" s="18" t="n">
        <v>1.88904007</v>
      </c>
      <c r="H77" s="20" t="n">
        <v>0.5861680500000001</v>
      </c>
      <c r="I77" s="18" t="n">
        <v>0</v>
      </c>
      <c r="J77" s="20" t="n">
        <v>0</v>
      </c>
      <c r="K77" s="18" t="n">
        <v>4.18553583</v>
      </c>
      <c r="L77" s="20" t="n">
        <v>0.90583345</v>
      </c>
      <c r="M77" s="18" t="n">
        <v>0.48493821</v>
      </c>
      <c r="N77" s="20" t="n">
        <v>0.27825355</v>
      </c>
      <c r="O77" s="18" t="n">
        <v>0</v>
      </c>
      <c r="P77" s="20" t="n">
        <v>0</v>
      </c>
      <c r="Q77" s="18" t="n">
        <v>40.54912224</v>
      </c>
      <c r="R77" s="20" t="n">
        <v>2.20970866</v>
      </c>
    </row>
    <row r="78" spans="1:18">
      <c r="A78" s="15" t="s">
        <v>502</v>
      </c>
      <c r="B78" s="17" t="n">
        <v>14167</v>
      </c>
      <c r="C78" s="18">
        <f>(12447.0/B78*100)</f>
        <v/>
      </c>
      <c r="D78" s="19" t="n">
        <v>1720</v>
      </c>
      <c r="E78" s="18" t="n">
        <v>76.13424792000001</v>
      </c>
      <c r="F78" s="20" t="n">
        <v>1.07320601</v>
      </c>
      <c r="G78" s="18" t="n">
        <v>11.72257319</v>
      </c>
      <c r="H78" s="20" t="n">
        <v>0.9972598</v>
      </c>
      <c r="I78" s="18" t="n">
        <v>0</v>
      </c>
      <c r="J78" s="20" t="n">
        <v>0</v>
      </c>
      <c r="K78" s="18" t="n">
        <v>0.83076409</v>
      </c>
      <c r="L78" s="20" t="n">
        <v>0.2391547</v>
      </c>
      <c r="M78" s="18" t="n">
        <v>0.20483406</v>
      </c>
      <c r="N78" s="20" t="n">
        <v>0.11767982</v>
      </c>
      <c r="O78" s="18" t="n">
        <v>0</v>
      </c>
      <c r="P78" s="20" t="n">
        <v>0</v>
      </c>
      <c r="Q78" s="18" t="n">
        <v>11.10758074</v>
      </c>
      <c r="R78" s="20" t="n">
        <v>0.83946048</v>
      </c>
    </row>
    <row r="79" spans="1:18">
      <c r="A79" s="15" t="s">
        <v>503</v>
      </c>
      <c r="B79" s="17" t="n">
        <v>6062</v>
      </c>
      <c r="C79" s="18">
        <f>(5385.0/B79*100)</f>
        <v/>
      </c>
      <c r="D79" s="19" t="n">
        <v>677</v>
      </c>
      <c r="E79" s="18" t="n">
        <v>46.52829369</v>
      </c>
      <c r="F79" s="20" t="n">
        <v>1.77664765</v>
      </c>
      <c r="G79" s="18" t="n">
        <v>13.41600827</v>
      </c>
      <c r="H79" s="20" t="n">
        <v>1.45948572</v>
      </c>
      <c r="I79" s="18" t="n">
        <v>0</v>
      </c>
      <c r="J79" s="20" t="n">
        <v>0</v>
      </c>
      <c r="K79" s="18" t="n">
        <v>2.65217789</v>
      </c>
      <c r="L79" s="20" t="n">
        <v>0.6898330499999999</v>
      </c>
      <c r="M79" s="18" t="n">
        <v>0.20620381</v>
      </c>
      <c r="N79" s="20" t="n">
        <v>0.20526254</v>
      </c>
      <c r="O79" s="18" t="n">
        <v>0</v>
      </c>
      <c r="P79" s="20" t="n">
        <v>0</v>
      </c>
      <c r="Q79" s="18" t="n">
        <v>37.19731634</v>
      </c>
      <c r="R79" s="20" t="n">
        <v>1.7345291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(28438.0/B82*100)</f>
        <v/>
      </c>
      <c r="D82" s="19" t="n">
        <v>3892</v>
      </c>
      <c r="E82" s="18" t="n">
        <v>73.29666634</v>
      </c>
      <c r="F82" s="20" t="n">
        <v>0.95834473</v>
      </c>
      <c r="G82" s="18" t="n">
        <v>12.63422549</v>
      </c>
      <c r="H82" s="20" t="n">
        <v>0.62341122</v>
      </c>
      <c r="I82" s="18" t="n">
        <v>0</v>
      </c>
      <c r="J82" s="20" t="n">
        <v>0</v>
      </c>
      <c r="K82" s="18" t="n">
        <v>0.41930922</v>
      </c>
      <c r="L82" s="20" t="n">
        <v>0.15236333</v>
      </c>
      <c r="M82" s="18" t="n">
        <v>0.17306498</v>
      </c>
      <c r="N82" s="20" t="n">
        <v>0.12630015</v>
      </c>
      <c r="O82" s="18" t="n">
        <v>0</v>
      </c>
      <c r="P82" s="20" t="n">
        <v>0</v>
      </c>
      <c r="Q82" s="18" t="n">
        <v>13.47673397</v>
      </c>
      <c r="R82" s="20" t="n">
        <v>0.87845868</v>
      </c>
    </row>
    <row r="83" spans="1:18">
      <c r="A83" s="15" t="s">
        <v>507</v>
      </c>
      <c r="B83" s="17" t="n">
        <v>1652</v>
      </c>
      <c r="C83" s="18">
        <f>(1458.0/B83*100)</f>
        <v/>
      </c>
      <c r="D83" s="19" t="n">
        <v>194</v>
      </c>
      <c r="E83" s="18" t="n">
        <v>67.71944519</v>
      </c>
      <c r="F83" s="20" t="n">
        <v>3.93703788</v>
      </c>
      <c r="G83" s="18" t="n">
        <v>28.27176005</v>
      </c>
      <c r="H83" s="20" t="n">
        <v>4.23668441</v>
      </c>
      <c r="I83" s="18" t="n">
        <v>0</v>
      </c>
      <c r="J83" s="20" t="n">
        <v>0</v>
      </c>
      <c r="K83" s="18" t="n">
        <v>0</v>
      </c>
      <c r="L83" s="20" t="n">
        <v>0</v>
      </c>
      <c r="M83" s="18" t="n">
        <v>0</v>
      </c>
      <c r="N83" s="20" t="n">
        <v>0</v>
      </c>
      <c r="O83" s="18" t="n">
        <v>0</v>
      </c>
      <c r="P83" s="20" t="n">
        <v>0</v>
      </c>
      <c r="Q83" s="18" t="n">
        <v>4.00879477</v>
      </c>
      <c r="R83" s="20" t="n">
        <v>1.28251</v>
      </c>
    </row>
    <row r="84" spans="1:18">
      <c r="A84" s="23" t="s">
        <v>508</v>
      </c>
      <c r="B84" s="24" t="n">
        <v>1887</v>
      </c>
      <c r="C84" s="25">
        <f>(1654.0/B84*100)</f>
        <v/>
      </c>
      <c r="D84" s="19" t="n">
        <v>233</v>
      </c>
      <c r="E84" s="18" t="n">
        <v>69.14779148</v>
      </c>
      <c r="F84" s="20" t="n">
        <v>3.11413384</v>
      </c>
      <c r="G84" s="18" t="n">
        <v>24.37556738</v>
      </c>
      <c r="H84" s="20" t="n">
        <v>3.00035767</v>
      </c>
      <c r="I84" s="18" t="n">
        <v>0</v>
      </c>
      <c r="J84" s="20" t="n">
        <v>0</v>
      </c>
      <c r="K84" s="18" t="n">
        <v>0</v>
      </c>
      <c r="L84" s="20" t="n">
        <v>0</v>
      </c>
      <c r="M84" s="18" t="n">
        <v>0</v>
      </c>
      <c r="N84" s="20" t="n">
        <v>0</v>
      </c>
      <c r="O84" s="18" t="n">
        <v>0</v>
      </c>
      <c r="P84" s="20" t="n">
        <v>0</v>
      </c>
      <c r="Q84" s="18" t="n">
        <v>6.47664114</v>
      </c>
      <c r="R84" s="20" t="n">
        <v>1.38270113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(12730.0/B7*100)</f>
        <v/>
      </c>
      <c r="D7" s="19" t="n">
        <v>1800</v>
      </c>
      <c r="E7" s="18" t="n">
        <v>45.23817218</v>
      </c>
      <c r="F7" s="20" t="n">
        <v>1.59533467</v>
      </c>
      <c r="G7" s="18" t="n">
        <v>48.69504407</v>
      </c>
      <c r="H7" s="20" t="n">
        <v>1.46397415</v>
      </c>
      <c r="I7" s="18" t="n">
        <v>0</v>
      </c>
      <c r="J7" s="20" t="n">
        <v>0</v>
      </c>
      <c r="K7" s="18" t="n">
        <v>0.27370733</v>
      </c>
      <c r="L7" s="20" t="n">
        <v>0.08704402</v>
      </c>
      <c r="M7" s="18" t="n">
        <v>0.022281</v>
      </c>
      <c r="N7" s="20" t="n">
        <v>0.01307632</v>
      </c>
      <c r="O7" s="18" t="n">
        <v>0</v>
      </c>
      <c r="P7" s="20" t="n">
        <v>0</v>
      </c>
      <c r="Q7" s="18" t="n">
        <v>5.77079543</v>
      </c>
      <c r="R7" s="20" t="n">
        <v>0.59186001</v>
      </c>
    </row>
    <row r="8" spans="1:18">
      <c r="A8" s="15" t="s">
        <v>430</v>
      </c>
      <c r="B8" s="17" t="n">
        <v>7007</v>
      </c>
      <c r="C8" s="18">
        <f>(6164.0/B8*100)</f>
        <v/>
      </c>
      <c r="D8" s="19" t="n">
        <v>843</v>
      </c>
      <c r="E8" s="18" t="n">
        <v>61.58532836</v>
      </c>
      <c r="F8" s="20" t="n">
        <v>1.95549043</v>
      </c>
      <c r="G8" s="18" t="n">
        <v>31.40996998</v>
      </c>
      <c r="H8" s="20" t="n">
        <v>1.91242278</v>
      </c>
      <c r="I8" s="18" t="n">
        <v>0</v>
      </c>
      <c r="J8" s="20" t="n">
        <v>0</v>
      </c>
      <c r="K8" s="18" t="n">
        <v>0.13900354</v>
      </c>
      <c r="L8" s="20" t="n">
        <v>0.09803025</v>
      </c>
      <c r="M8" s="18" t="n">
        <v>0</v>
      </c>
      <c r="N8" s="20" t="n">
        <v>0</v>
      </c>
      <c r="O8" s="18" t="n">
        <v>0</v>
      </c>
      <c r="P8" s="20" t="n">
        <v>0</v>
      </c>
      <c r="Q8" s="18" t="n">
        <v>6.86569812</v>
      </c>
      <c r="R8" s="20" t="n">
        <v>0.94404234</v>
      </c>
    </row>
    <row r="9" spans="1:18">
      <c r="A9" s="15" t="s">
        <v>431</v>
      </c>
      <c r="B9" s="17" t="n">
        <v>9651</v>
      </c>
      <c r="C9" s="18">
        <f>(8513.0/B9*100)</f>
        <v/>
      </c>
      <c r="D9" s="19" t="n">
        <v>1138</v>
      </c>
      <c r="E9" s="18" t="n">
        <v>55.37294764</v>
      </c>
      <c r="F9" s="20" t="n">
        <v>1.36467554</v>
      </c>
      <c r="G9" s="18" t="n">
        <v>37.56720285</v>
      </c>
      <c r="H9" s="20" t="n">
        <v>1.22424437</v>
      </c>
      <c r="I9" s="18" t="n">
        <v>0</v>
      </c>
      <c r="J9" s="20" t="n">
        <v>0</v>
      </c>
      <c r="K9" s="18" t="n">
        <v>0.50869426</v>
      </c>
      <c r="L9" s="20" t="n">
        <v>0.2319779</v>
      </c>
      <c r="M9" s="18" t="n">
        <v>0.33906296</v>
      </c>
      <c r="N9" s="20" t="n">
        <v>0.15316326</v>
      </c>
      <c r="O9" s="18" t="n">
        <v>0</v>
      </c>
      <c r="P9" s="20" t="n">
        <v>0</v>
      </c>
      <c r="Q9" s="18" t="n">
        <v>6.21209228</v>
      </c>
      <c r="R9" s="20" t="n">
        <v>0.7269631</v>
      </c>
    </row>
    <row r="10" spans="1:18">
      <c r="A10" s="15" t="s">
        <v>432</v>
      </c>
      <c r="B10" s="17" t="n">
        <v>20058</v>
      </c>
      <c r="C10" s="18">
        <f>(17629.0/B10*100)</f>
        <v/>
      </c>
      <c r="D10" s="19" t="n">
        <v>2429</v>
      </c>
      <c r="E10" s="18" t="n">
        <v>51.59985772</v>
      </c>
      <c r="F10" s="20" t="n">
        <v>1.4004751</v>
      </c>
      <c r="G10" s="18" t="n">
        <v>45.09702783</v>
      </c>
      <c r="H10" s="20" t="n">
        <v>1.43531159</v>
      </c>
      <c r="I10" s="18" t="n">
        <v>0</v>
      </c>
      <c r="J10" s="20" t="n">
        <v>0</v>
      </c>
      <c r="K10" s="18" t="n">
        <v>0.39515414</v>
      </c>
      <c r="L10" s="20" t="n">
        <v>0.17823834</v>
      </c>
      <c r="M10" s="18" t="n">
        <v>0.08435961</v>
      </c>
      <c r="N10" s="20" t="n">
        <v>0.08554455</v>
      </c>
      <c r="O10" s="18" t="n">
        <v>0</v>
      </c>
      <c r="P10" s="20" t="n">
        <v>0</v>
      </c>
      <c r="Q10" s="18" t="n">
        <v>2.82360071</v>
      </c>
      <c r="R10" s="20" t="n">
        <v>0.42721423</v>
      </c>
    </row>
    <row r="11" spans="1:18">
      <c r="A11" s="15" t="s">
        <v>433</v>
      </c>
      <c r="B11" s="17" t="n">
        <v>7053</v>
      </c>
      <c r="C11" s="18">
        <f>(6208.0/B11*100)</f>
        <v/>
      </c>
      <c r="D11" s="19" t="n">
        <v>845</v>
      </c>
      <c r="E11" s="18" t="n">
        <v>78.46352855000001</v>
      </c>
      <c r="F11" s="20" t="n">
        <v>1.58550292</v>
      </c>
      <c r="G11" s="18" t="n">
        <v>11.5622028</v>
      </c>
      <c r="H11" s="20" t="n">
        <v>1.1289155</v>
      </c>
      <c r="I11" s="18" t="n">
        <v>0</v>
      </c>
      <c r="J11" s="20" t="n">
        <v>0</v>
      </c>
      <c r="K11" s="18" t="n">
        <v>1.11163172</v>
      </c>
      <c r="L11" s="20" t="n">
        <v>0.42954741</v>
      </c>
      <c r="M11" s="18" t="n">
        <v>0</v>
      </c>
      <c r="N11" s="20" t="n">
        <v>0</v>
      </c>
      <c r="O11" s="18" t="n">
        <v>0</v>
      </c>
      <c r="P11" s="20" t="n">
        <v>0</v>
      </c>
      <c r="Q11" s="18" t="n">
        <v>8.862636930000001</v>
      </c>
      <c r="R11" s="20" t="n">
        <v>1.38486027</v>
      </c>
    </row>
    <row r="12" spans="1:18">
      <c r="A12" s="15" t="s">
        <v>434</v>
      </c>
      <c r="B12" s="17" t="n">
        <v>6894</v>
      </c>
      <c r="C12" s="18">
        <f>(6063.0/B12*100)</f>
        <v/>
      </c>
      <c r="D12" s="19" t="n">
        <v>831</v>
      </c>
      <c r="E12" s="18" t="n">
        <v>60.72427987</v>
      </c>
      <c r="F12" s="20" t="n">
        <v>2.08159632</v>
      </c>
      <c r="G12" s="18" t="n">
        <v>30.83211778</v>
      </c>
      <c r="H12" s="20" t="n">
        <v>1.86228785</v>
      </c>
      <c r="I12" s="18" t="n">
        <v>0</v>
      </c>
      <c r="J12" s="20" t="n">
        <v>0</v>
      </c>
      <c r="K12" s="18" t="n">
        <v>0.24950195</v>
      </c>
      <c r="L12" s="20" t="n">
        <v>0.12736238</v>
      </c>
      <c r="M12" s="18" t="n">
        <v>0.07020476</v>
      </c>
      <c r="N12" s="20" t="n">
        <v>0.09459375</v>
      </c>
      <c r="O12" s="18" t="n">
        <v>0</v>
      </c>
      <c r="P12" s="20" t="n">
        <v>0</v>
      </c>
      <c r="Q12" s="18" t="n">
        <v>8.123895640000001</v>
      </c>
      <c r="R12" s="20" t="n">
        <v>1.1061943</v>
      </c>
    </row>
    <row r="13" spans="1:18">
      <c r="A13" s="15" t="s">
        <v>435</v>
      </c>
      <c r="B13" s="17" t="n">
        <v>7161</v>
      </c>
      <c r="C13" s="18">
        <f>(6340.0/B13*100)</f>
        <v/>
      </c>
      <c r="D13" s="19" t="n">
        <v>821</v>
      </c>
      <c r="E13" s="18" t="n">
        <v>48.40275954</v>
      </c>
      <c r="F13" s="20" t="n">
        <v>1.92795687</v>
      </c>
      <c r="G13" s="18" t="n">
        <v>47.71578439</v>
      </c>
      <c r="H13" s="20" t="n">
        <v>2.19039976</v>
      </c>
      <c r="I13" s="18" t="n">
        <v>0</v>
      </c>
      <c r="J13" s="20" t="n">
        <v>0</v>
      </c>
      <c r="K13" s="18" t="n">
        <v>0.41805777</v>
      </c>
      <c r="L13" s="20" t="n">
        <v>0.14940229</v>
      </c>
      <c r="M13" s="18" t="n">
        <v>0</v>
      </c>
      <c r="N13" s="20" t="n">
        <v>0</v>
      </c>
      <c r="O13" s="18" t="n">
        <v>0</v>
      </c>
      <c r="P13" s="20" t="n">
        <v>0</v>
      </c>
      <c r="Q13" s="18" t="n">
        <v>3.4633983</v>
      </c>
      <c r="R13" s="20" t="n">
        <v>0.98386692</v>
      </c>
    </row>
    <row r="14" spans="1:18">
      <c r="A14" s="15" t="s">
        <v>436</v>
      </c>
      <c r="B14" s="17" t="n">
        <v>5587</v>
      </c>
      <c r="C14" s="18">
        <f>(4915.0/B14*100)</f>
        <v/>
      </c>
      <c r="D14" s="19" t="n">
        <v>672</v>
      </c>
      <c r="E14" s="18" t="n">
        <v>58.60886481</v>
      </c>
      <c r="F14" s="20" t="n">
        <v>2.07518454</v>
      </c>
      <c r="G14" s="18" t="n">
        <v>38.45003212</v>
      </c>
      <c r="H14" s="20" t="n">
        <v>2.14316962</v>
      </c>
      <c r="I14" s="18" t="n">
        <v>0</v>
      </c>
      <c r="J14" s="20" t="n">
        <v>0</v>
      </c>
      <c r="K14" s="18" t="n">
        <v>0.34103325</v>
      </c>
      <c r="L14" s="20" t="n">
        <v>0.19547473</v>
      </c>
      <c r="M14" s="18" t="n">
        <v>0</v>
      </c>
      <c r="N14" s="20" t="n">
        <v>0</v>
      </c>
      <c r="O14" s="18" t="n">
        <v>0</v>
      </c>
      <c r="P14" s="20" t="n">
        <v>0</v>
      </c>
      <c r="Q14" s="18" t="n">
        <v>2.60006982</v>
      </c>
      <c r="R14" s="20" t="n">
        <v>0.6426988</v>
      </c>
    </row>
    <row r="15" spans="1:18">
      <c r="A15" s="15" t="s">
        <v>437</v>
      </c>
      <c r="B15" s="17" t="n">
        <v>5882</v>
      </c>
      <c r="C15" s="18">
        <f>(5164.0/B15*100)</f>
        <v/>
      </c>
      <c r="D15" s="19" t="n">
        <v>718</v>
      </c>
      <c r="E15" s="18" t="n">
        <v>57.36404261</v>
      </c>
      <c r="F15" s="20" t="n">
        <v>2.11916524</v>
      </c>
      <c r="G15" s="18" t="n">
        <v>38.72733787</v>
      </c>
      <c r="H15" s="20" t="n">
        <v>2.09567814</v>
      </c>
      <c r="I15" s="18" t="n">
        <v>0</v>
      </c>
      <c r="J15" s="20" t="n">
        <v>0</v>
      </c>
      <c r="K15" s="18" t="n">
        <v>0</v>
      </c>
      <c r="L15" s="20" t="n">
        <v>0</v>
      </c>
      <c r="M15" s="18" t="n">
        <v>0</v>
      </c>
      <c r="N15" s="20" t="n">
        <v>0</v>
      </c>
      <c r="O15" s="18" t="n">
        <v>0</v>
      </c>
      <c r="P15" s="20" t="n">
        <v>0</v>
      </c>
      <c r="Q15" s="18" t="n">
        <v>3.90861953</v>
      </c>
      <c r="R15" s="20" t="n">
        <v>0.6718565399999999</v>
      </c>
    </row>
    <row r="16" spans="1:18">
      <c r="A16" s="15" t="s">
        <v>438</v>
      </c>
      <c r="B16" s="17" t="n">
        <v>6108</v>
      </c>
      <c r="C16" s="18">
        <f>(5354.0/B16*100)</f>
        <v/>
      </c>
      <c r="D16" s="19" t="n">
        <v>754</v>
      </c>
      <c r="E16" s="18" t="n">
        <v>55.34553722</v>
      </c>
      <c r="F16" s="20" t="n">
        <v>1.99688579</v>
      </c>
      <c r="G16" s="18" t="n">
        <v>32.63328713</v>
      </c>
      <c r="H16" s="20" t="n">
        <v>1.59959901</v>
      </c>
      <c r="I16" s="18" t="n">
        <v>0</v>
      </c>
      <c r="J16" s="20" t="n">
        <v>0</v>
      </c>
      <c r="K16" s="18" t="n">
        <v>1.97372454</v>
      </c>
      <c r="L16" s="20" t="n">
        <v>0.76583103</v>
      </c>
      <c r="M16" s="18" t="n">
        <v>0</v>
      </c>
      <c r="N16" s="20" t="n">
        <v>0</v>
      </c>
      <c r="O16" s="18" t="n">
        <v>0</v>
      </c>
      <c r="P16" s="20" t="n">
        <v>0</v>
      </c>
      <c r="Q16" s="18" t="n">
        <v>10.04745111</v>
      </c>
      <c r="R16" s="20" t="n">
        <v>1.2892477</v>
      </c>
    </row>
    <row r="17" spans="1:18">
      <c r="A17" s="15" t="s">
        <v>439</v>
      </c>
      <c r="B17" s="17" t="n">
        <v>6504</v>
      </c>
      <c r="C17" s="18">
        <f>(5722.0/B17*100)</f>
        <v/>
      </c>
      <c r="D17" s="19" t="n">
        <v>782</v>
      </c>
      <c r="E17" s="18" t="n">
        <v>58.70043415</v>
      </c>
      <c r="F17" s="20" t="n">
        <v>1.96592349</v>
      </c>
      <c r="G17" s="18" t="n">
        <v>34.7811656</v>
      </c>
      <c r="H17" s="20" t="n">
        <v>1.93632892</v>
      </c>
      <c r="I17" s="18" t="n">
        <v>0</v>
      </c>
      <c r="J17" s="20" t="n">
        <v>0</v>
      </c>
      <c r="K17" s="18" t="n">
        <v>0.60230073</v>
      </c>
      <c r="L17" s="20" t="n">
        <v>0.279993</v>
      </c>
      <c r="M17" s="18" t="n">
        <v>0</v>
      </c>
      <c r="N17" s="20" t="n">
        <v>0</v>
      </c>
      <c r="O17" s="18" t="n">
        <v>0</v>
      </c>
      <c r="P17" s="20" t="n">
        <v>0</v>
      </c>
      <c r="Q17" s="18" t="n">
        <v>5.91609952</v>
      </c>
      <c r="R17" s="20" t="n">
        <v>0.88418277</v>
      </c>
    </row>
    <row r="18" spans="1:18">
      <c r="A18" s="15" t="s">
        <v>440</v>
      </c>
      <c r="B18" s="17" t="n">
        <v>5532</v>
      </c>
      <c r="C18" s="18">
        <f>(4852.0/B18*100)</f>
        <v/>
      </c>
      <c r="D18" s="19" t="n">
        <v>680</v>
      </c>
      <c r="E18" s="18" t="n">
        <v>57.93484022</v>
      </c>
      <c r="F18" s="20" t="n">
        <v>2.08084668</v>
      </c>
      <c r="G18" s="18" t="n">
        <v>27.24499194</v>
      </c>
      <c r="H18" s="20" t="n">
        <v>2.01649049</v>
      </c>
      <c r="I18" s="18" t="n">
        <v>0</v>
      </c>
      <c r="J18" s="20" t="n">
        <v>0</v>
      </c>
      <c r="K18" s="18" t="n">
        <v>0.91788107</v>
      </c>
      <c r="L18" s="20" t="n">
        <v>0.36824919</v>
      </c>
      <c r="M18" s="18" t="n">
        <v>0</v>
      </c>
      <c r="N18" s="20" t="n">
        <v>0</v>
      </c>
      <c r="O18" s="18" t="n">
        <v>0</v>
      </c>
      <c r="P18" s="20" t="n">
        <v>0</v>
      </c>
      <c r="Q18" s="18" t="n">
        <v>13.90228678</v>
      </c>
      <c r="R18" s="20" t="n">
        <v>1.72358515</v>
      </c>
    </row>
    <row r="19" spans="1:18">
      <c r="A19" s="15" t="s">
        <v>441</v>
      </c>
      <c r="B19" s="17" t="n">
        <v>5658</v>
      </c>
      <c r="C19" s="18">
        <f>(4972.0/B19*100)</f>
        <v/>
      </c>
      <c r="D19" s="19" t="n">
        <v>686</v>
      </c>
      <c r="E19" s="18" t="n">
        <v>65.63036443999999</v>
      </c>
      <c r="F19" s="20" t="n">
        <v>2.34226485</v>
      </c>
      <c r="G19" s="18" t="n">
        <v>25.27158376</v>
      </c>
      <c r="H19" s="20" t="n">
        <v>1.91877333</v>
      </c>
      <c r="I19" s="18" t="n">
        <v>0</v>
      </c>
      <c r="J19" s="20" t="n">
        <v>0</v>
      </c>
      <c r="K19" s="18" t="n">
        <v>0.12717415</v>
      </c>
      <c r="L19" s="20" t="n">
        <v>0.13538827</v>
      </c>
      <c r="M19" s="18" t="n">
        <v>0</v>
      </c>
      <c r="N19" s="20" t="n">
        <v>0</v>
      </c>
      <c r="O19" s="18" t="n">
        <v>0</v>
      </c>
      <c r="P19" s="20" t="n">
        <v>0</v>
      </c>
      <c r="Q19" s="18" t="n">
        <v>8.97087765</v>
      </c>
      <c r="R19" s="20" t="n">
        <v>1.43339136</v>
      </c>
    </row>
    <row r="20" spans="1:18">
      <c r="A20" s="15" t="s">
        <v>442</v>
      </c>
      <c r="B20" s="17" t="n">
        <v>3371</v>
      </c>
      <c r="C20" s="18">
        <f>(2958.0/B20*100)</f>
        <v/>
      </c>
      <c r="D20" s="19" t="n">
        <v>413</v>
      </c>
      <c r="E20" s="18" t="n">
        <v>54.03399386</v>
      </c>
      <c r="F20" s="20" t="n">
        <v>2.38220121</v>
      </c>
      <c r="G20" s="18" t="n">
        <v>38.85631151</v>
      </c>
      <c r="H20" s="20" t="n">
        <v>2.19545813</v>
      </c>
      <c r="I20" s="18" t="n">
        <v>0</v>
      </c>
      <c r="J20" s="20" t="n">
        <v>0</v>
      </c>
      <c r="K20" s="18" t="n">
        <v>0.20570277</v>
      </c>
      <c r="L20" s="20" t="n">
        <v>0.2050311</v>
      </c>
      <c r="M20" s="18" t="n">
        <v>0.74437662</v>
      </c>
      <c r="N20" s="20" t="n">
        <v>0.51297203</v>
      </c>
      <c r="O20" s="18" t="n">
        <v>0</v>
      </c>
      <c r="P20" s="20" t="n">
        <v>0</v>
      </c>
      <c r="Q20" s="18" t="n">
        <v>6.15961523</v>
      </c>
      <c r="R20" s="20" t="n">
        <v>1.13133118</v>
      </c>
    </row>
    <row r="21" spans="1:18">
      <c r="A21" s="15" t="s">
        <v>443</v>
      </c>
      <c r="B21" s="17" t="n">
        <v>5741</v>
      </c>
      <c r="C21" s="18">
        <f>(4800.0/B21*100)</f>
        <v/>
      </c>
      <c r="D21" s="19" t="n">
        <v>941</v>
      </c>
      <c r="E21" s="18" t="n">
        <v>47.1280493</v>
      </c>
      <c r="F21" s="20" t="n">
        <v>1.57800565</v>
      </c>
      <c r="G21" s="18" t="n">
        <v>49.64145504</v>
      </c>
      <c r="H21" s="20" t="n">
        <v>1.68272464</v>
      </c>
      <c r="I21" s="18" t="n">
        <v>0</v>
      </c>
      <c r="J21" s="20" t="n">
        <v>0</v>
      </c>
      <c r="K21" s="18" t="n">
        <v>0.20486437</v>
      </c>
      <c r="L21" s="20" t="n">
        <v>0.13038205</v>
      </c>
      <c r="M21" s="18" t="n">
        <v>0</v>
      </c>
      <c r="N21" s="20" t="n">
        <v>0</v>
      </c>
      <c r="O21" s="18" t="n">
        <v>0</v>
      </c>
      <c r="P21" s="20" t="n">
        <v>0</v>
      </c>
      <c r="Q21" s="18" t="n">
        <v>3.02563129</v>
      </c>
      <c r="R21" s="20" t="n">
        <v>0.54410536</v>
      </c>
    </row>
    <row r="22" spans="1:18">
      <c r="A22" s="15" t="s">
        <v>444</v>
      </c>
      <c r="B22" s="17" t="n">
        <v>6598</v>
      </c>
      <c r="C22" s="18">
        <f>(5877.0/B22*100)</f>
        <v/>
      </c>
      <c r="D22" s="19" t="n">
        <v>721</v>
      </c>
      <c r="E22" s="18" t="n">
        <v>54.47405766</v>
      </c>
      <c r="F22" s="20" t="n">
        <v>2.27691945</v>
      </c>
      <c r="G22" s="18" t="n">
        <v>33.71287054</v>
      </c>
      <c r="H22" s="20" t="n">
        <v>2.07145751</v>
      </c>
      <c r="I22" s="18" t="n">
        <v>0</v>
      </c>
      <c r="J22" s="20" t="n">
        <v>0</v>
      </c>
      <c r="K22" s="18" t="n">
        <v>0.99827279</v>
      </c>
      <c r="L22" s="20" t="n">
        <v>0.42927924</v>
      </c>
      <c r="M22" s="18" t="n">
        <v>0</v>
      </c>
      <c r="N22" s="20" t="n">
        <v>0</v>
      </c>
      <c r="O22" s="18" t="n">
        <v>0</v>
      </c>
      <c r="P22" s="20" t="n">
        <v>0</v>
      </c>
      <c r="Q22" s="18" t="n">
        <v>10.81479901</v>
      </c>
      <c r="R22" s="20" t="n">
        <v>1.17832893</v>
      </c>
    </row>
    <row r="23" spans="1:18">
      <c r="A23" s="15" t="s">
        <v>445</v>
      </c>
      <c r="B23" s="17" t="n">
        <v>11583</v>
      </c>
      <c r="C23" s="18">
        <f>(10184.0/B23*100)</f>
        <v/>
      </c>
      <c r="D23" s="19" t="n">
        <v>1399</v>
      </c>
      <c r="E23" s="18" t="n">
        <v>63.65905144</v>
      </c>
      <c r="F23" s="20" t="n">
        <v>2.22731655</v>
      </c>
      <c r="G23" s="18" t="n">
        <v>26.85883753</v>
      </c>
      <c r="H23" s="20" t="n">
        <v>2.02309992</v>
      </c>
      <c r="I23" s="18" t="n">
        <v>0</v>
      </c>
      <c r="J23" s="20" t="n">
        <v>0</v>
      </c>
      <c r="K23" s="18" t="n">
        <v>0.75138238</v>
      </c>
      <c r="L23" s="20" t="n">
        <v>0.39454275</v>
      </c>
      <c r="M23" s="18" t="n">
        <v>1.35618193</v>
      </c>
      <c r="N23" s="20" t="n">
        <v>0.85391963</v>
      </c>
      <c r="O23" s="18" t="n">
        <v>0</v>
      </c>
      <c r="P23" s="20" t="n">
        <v>0</v>
      </c>
      <c r="Q23" s="18" t="n">
        <v>7.37454671</v>
      </c>
      <c r="R23" s="20" t="n">
        <v>1.09989544</v>
      </c>
    </row>
    <row r="24" spans="1:18">
      <c r="A24" s="15" t="s">
        <v>446</v>
      </c>
      <c r="B24" s="17" t="n">
        <v>6647</v>
      </c>
      <c r="C24" s="18">
        <f>(5823.0/B24*100)</f>
        <v/>
      </c>
      <c r="D24" s="19" t="n">
        <v>824</v>
      </c>
      <c r="E24" s="18" t="n">
        <v>54.51011059</v>
      </c>
      <c r="F24" s="20" t="n">
        <v>1.94861833</v>
      </c>
      <c r="G24" s="18" t="n">
        <v>37.57097299</v>
      </c>
      <c r="H24" s="20" t="n">
        <v>1.97925527</v>
      </c>
      <c r="I24" s="18" t="n">
        <v>0</v>
      </c>
      <c r="J24" s="20" t="n">
        <v>0</v>
      </c>
      <c r="K24" s="18" t="n">
        <v>0.44255527</v>
      </c>
      <c r="L24" s="20" t="n">
        <v>0.22120491</v>
      </c>
      <c r="M24" s="18" t="n">
        <v>0</v>
      </c>
      <c r="N24" s="20" t="n">
        <v>0</v>
      </c>
      <c r="O24" s="18" t="n">
        <v>0</v>
      </c>
      <c r="P24" s="20" t="n">
        <v>0</v>
      </c>
      <c r="Q24" s="18" t="n">
        <v>7.47636115</v>
      </c>
      <c r="R24" s="20" t="n">
        <v>1.02141011</v>
      </c>
    </row>
    <row r="25" spans="1:18">
      <c r="A25" s="15" t="s">
        <v>447</v>
      </c>
      <c r="B25" s="17" t="n">
        <v>5581</v>
      </c>
      <c r="C25" s="18">
        <f>(4884.0/B25*100)</f>
        <v/>
      </c>
      <c r="D25" s="19" t="n">
        <v>697</v>
      </c>
      <c r="E25" s="18" t="n">
        <v>61.12212652</v>
      </c>
      <c r="F25" s="20" t="n">
        <v>2.09259446</v>
      </c>
      <c r="G25" s="18" t="n">
        <v>33.37070597</v>
      </c>
      <c r="H25" s="20" t="n">
        <v>1.97770695</v>
      </c>
      <c r="I25" s="18" t="n">
        <v>0</v>
      </c>
      <c r="J25" s="20" t="n">
        <v>0</v>
      </c>
      <c r="K25" s="18" t="n">
        <v>0.14401451</v>
      </c>
      <c r="L25" s="20" t="n">
        <v>0.14400394</v>
      </c>
      <c r="M25" s="18" t="n">
        <v>0.14738414</v>
      </c>
      <c r="N25" s="20" t="n">
        <v>0.14757813</v>
      </c>
      <c r="O25" s="18" t="n">
        <v>0</v>
      </c>
      <c r="P25" s="20" t="n">
        <v>0</v>
      </c>
      <c r="Q25" s="18" t="n">
        <v>5.21576886</v>
      </c>
      <c r="R25" s="20" t="n">
        <v>0.90239177</v>
      </c>
    </row>
    <row r="26" spans="1:18">
      <c r="A26" s="15" t="s">
        <v>448</v>
      </c>
      <c r="B26" s="17" t="n">
        <v>4869</v>
      </c>
      <c r="C26" s="18">
        <f>(4280.0/B26*100)</f>
        <v/>
      </c>
      <c r="D26" s="19" t="n">
        <v>589</v>
      </c>
      <c r="E26" s="18" t="n">
        <v>60.5224592</v>
      </c>
      <c r="F26" s="20" t="n">
        <v>2.10088185</v>
      </c>
      <c r="G26" s="18" t="n">
        <v>35.1257948</v>
      </c>
      <c r="H26" s="20" t="n">
        <v>1.99098686</v>
      </c>
      <c r="I26" s="18" t="n">
        <v>0</v>
      </c>
      <c r="J26" s="20" t="n">
        <v>0</v>
      </c>
      <c r="K26" s="18" t="n">
        <v>0.30140569</v>
      </c>
      <c r="L26" s="20" t="n">
        <v>0.21633709</v>
      </c>
      <c r="M26" s="18" t="n">
        <v>0.13392686</v>
      </c>
      <c r="N26" s="20" t="n">
        <v>0.11951097</v>
      </c>
      <c r="O26" s="18" t="n">
        <v>0</v>
      </c>
      <c r="P26" s="20" t="n">
        <v>0</v>
      </c>
      <c r="Q26" s="18" t="n">
        <v>3.91641344</v>
      </c>
      <c r="R26" s="20" t="n">
        <v>0.78742116</v>
      </c>
    </row>
    <row r="27" spans="1:18">
      <c r="A27" s="15" t="s">
        <v>449</v>
      </c>
      <c r="B27" s="17" t="n">
        <v>5299</v>
      </c>
      <c r="C27" s="18">
        <f>(4650.0/B27*100)</f>
        <v/>
      </c>
      <c r="D27" s="19" t="n">
        <v>649</v>
      </c>
      <c r="E27" s="18" t="n">
        <v>59.06251251</v>
      </c>
      <c r="F27" s="20" t="n">
        <v>2.09776334</v>
      </c>
      <c r="G27" s="18" t="n">
        <v>29.76257113</v>
      </c>
      <c r="H27" s="20" t="n">
        <v>1.81229876</v>
      </c>
      <c r="I27" s="18" t="n">
        <v>0</v>
      </c>
      <c r="J27" s="20" t="n">
        <v>0</v>
      </c>
      <c r="K27" s="18" t="n">
        <v>0.78684033</v>
      </c>
      <c r="L27" s="20" t="n">
        <v>0.35157984</v>
      </c>
      <c r="M27" s="18" t="n">
        <v>0</v>
      </c>
      <c r="N27" s="20" t="n">
        <v>0</v>
      </c>
      <c r="O27" s="18" t="n">
        <v>0</v>
      </c>
      <c r="P27" s="20" t="n">
        <v>0</v>
      </c>
      <c r="Q27" s="18" t="n">
        <v>10.38807602</v>
      </c>
      <c r="R27" s="20" t="n">
        <v>1.18859559</v>
      </c>
    </row>
    <row r="28" spans="1:18">
      <c r="A28" s="15" t="s">
        <v>450</v>
      </c>
      <c r="B28" s="17" t="n">
        <v>7568</v>
      </c>
      <c r="C28" s="18">
        <f>(6724.0/B28*100)</f>
        <v/>
      </c>
      <c r="D28" s="19" t="n">
        <v>844</v>
      </c>
      <c r="E28" s="18" t="n">
        <v>78.91749846</v>
      </c>
      <c r="F28" s="20" t="n">
        <v>1.42287428</v>
      </c>
      <c r="G28" s="18" t="n">
        <v>19.04146581</v>
      </c>
      <c r="H28" s="20" t="n">
        <v>1.50582693</v>
      </c>
      <c r="I28" s="18" t="n">
        <v>0</v>
      </c>
      <c r="J28" s="20" t="n">
        <v>0</v>
      </c>
      <c r="K28" s="18" t="n">
        <v>0.3558374</v>
      </c>
      <c r="L28" s="20" t="n">
        <v>0.18767765</v>
      </c>
      <c r="M28" s="18" t="n">
        <v>0</v>
      </c>
      <c r="N28" s="20" t="n">
        <v>0</v>
      </c>
      <c r="O28" s="18" t="n">
        <v>0</v>
      </c>
      <c r="P28" s="20" t="n">
        <v>0</v>
      </c>
      <c r="Q28" s="18" t="n">
        <v>1.68519833</v>
      </c>
      <c r="R28" s="20" t="n">
        <v>0.41585574</v>
      </c>
    </row>
    <row r="29" spans="1:18">
      <c r="A29" s="15" t="s">
        <v>451</v>
      </c>
      <c r="B29" s="17" t="n">
        <v>5385</v>
      </c>
      <c r="C29" s="18">
        <f>(4727.0/B29*100)</f>
        <v/>
      </c>
      <c r="D29" s="19" t="n">
        <v>658</v>
      </c>
      <c r="E29" s="18" t="n">
        <v>49.90822707</v>
      </c>
      <c r="F29" s="20" t="n">
        <v>2.15072058</v>
      </c>
      <c r="G29" s="18" t="n">
        <v>48.46236036</v>
      </c>
      <c r="H29" s="20" t="n">
        <v>2.11410081</v>
      </c>
      <c r="I29" s="18" t="n">
        <v>0</v>
      </c>
      <c r="J29" s="20" t="n">
        <v>0</v>
      </c>
      <c r="K29" s="18" t="n">
        <v>0</v>
      </c>
      <c r="L29" s="20" t="n">
        <v>0</v>
      </c>
      <c r="M29" s="18" t="n">
        <v>0</v>
      </c>
      <c r="N29" s="20" t="n">
        <v>0</v>
      </c>
      <c r="O29" s="18" t="n">
        <v>0</v>
      </c>
      <c r="P29" s="20" t="n">
        <v>0</v>
      </c>
      <c r="Q29" s="18" t="n">
        <v>1.62941258</v>
      </c>
      <c r="R29" s="20" t="n">
        <v>0.53617708</v>
      </c>
    </row>
    <row r="30" spans="1:18">
      <c r="A30" s="15" t="s">
        <v>452</v>
      </c>
      <c r="B30" s="17" t="n">
        <v>4520</v>
      </c>
      <c r="C30" s="18">
        <f>(3971.0/B30*100)</f>
        <v/>
      </c>
      <c r="D30" s="19" t="n">
        <v>549</v>
      </c>
      <c r="E30" s="18" t="n">
        <v>43.42065353</v>
      </c>
      <c r="F30" s="20" t="n">
        <v>2.13120862</v>
      </c>
      <c r="G30" s="18" t="n">
        <v>47.67457224</v>
      </c>
      <c r="H30" s="20" t="n">
        <v>1.94272946</v>
      </c>
      <c r="I30" s="18" t="n">
        <v>0</v>
      </c>
      <c r="J30" s="20" t="n">
        <v>0</v>
      </c>
      <c r="K30" s="18" t="n">
        <v>1.98042387</v>
      </c>
      <c r="L30" s="20" t="n">
        <v>0.8532829199999999</v>
      </c>
      <c r="M30" s="18" t="n">
        <v>0</v>
      </c>
      <c r="N30" s="20" t="n">
        <v>0</v>
      </c>
      <c r="O30" s="18" t="n">
        <v>0</v>
      </c>
      <c r="P30" s="20" t="n">
        <v>0</v>
      </c>
      <c r="Q30" s="18" t="n">
        <v>6.92435037</v>
      </c>
      <c r="R30" s="20" t="n">
        <v>1.05358334</v>
      </c>
    </row>
    <row r="31" spans="1:18">
      <c r="A31" s="15" t="s">
        <v>453</v>
      </c>
      <c r="B31" s="17" t="n">
        <v>5456</v>
      </c>
      <c r="C31" s="18">
        <f>(4773.0/B31*100)</f>
        <v/>
      </c>
      <c r="D31" s="19" t="n">
        <v>683</v>
      </c>
      <c r="E31" s="18" t="n">
        <v>50.89207683</v>
      </c>
      <c r="F31" s="20" t="n">
        <v>1.67041447</v>
      </c>
      <c r="G31" s="18" t="n">
        <v>40.74238725</v>
      </c>
      <c r="H31" s="20" t="n">
        <v>1.79717404</v>
      </c>
      <c r="I31" s="18" t="n">
        <v>0</v>
      </c>
      <c r="J31" s="20" t="n">
        <v>0</v>
      </c>
      <c r="K31" s="18" t="n">
        <v>0.80586356</v>
      </c>
      <c r="L31" s="20" t="n">
        <v>0.32600483</v>
      </c>
      <c r="M31" s="18" t="n">
        <v>0</v>
      </c>
      <c r="N31" s="20" t="n">
        <v>0</v>
      </c>
      <c r="O31" s="18" t="n">
        <v>0</v>
      </c>
      <c r="P31" s="20" t="n">
        <v>0</v>
      </c>
      <c r="Q31" s="18" t="n">
        <v>7.55967237</v>
      </c>
      <c r="R31" s="20" t="n">
        <v>0.96469681</v>
      </c>
    </row>
    <row r="32" spans="1:18">
      <c r="A32" s="15" t="s">
        <v>454</v>
      </c>
      <c r="B32" s="17" t="n">
        <v>4478</v>
      </c>
      <c r="C32" s="18">
        <f>(3739.0/B32*100)</f>
        <v/>
      </c>
      <c r="D32" s="19" t="n">
        <v>739</v>
      </c>
      <c r="E32" s="18" t="n">
        <v>42.47196932</v>
      </c>
      <c r="F32" s="20" t="n">
        <v>1.90962413</v>
      </c>
      <c r="G32" s="18" t="n">
        <v>52.01645809</v>
      </c>
      <c r="H32" s="20" t="n">
        <v>1.86819341</v>
      </c>
      <c r="I32" s="18" t="n">
        <v>0</v>
      </c>
      <c r="J32" s="20" t="n">
        <v>0</v>
      </c>
      <c r="K32" s="18" t="n">
        <v>0.24631042</v>
      </c>
      <c r="L32" s="20" t="n">
        <v>0.1735207</v>
      </c>
      <c r="M32" s="18" t="n">
        <v>0.30437842</v>
      </c>
      <c r="N32" s="20" t="n">
        <v>0.20617482</v>
      </c>
      <c r="O32" s="18" t="n">
        <v>0</v>
      </c>
      <c r="P32" s="20" t="n">
        <v>0</v>
      </c>
      <c r="Q32" s="18" t="n">
        <v>4.96088375</v>
      </c>
      <c r="R32" s="20" t="n">
        <v>0.90429567</v>
      </c>
    </row>
    <row r="33" spans="1:18">
      <c r="A33" s="15" t="s">
        <v>455</v>
      </c>
      <c r="B33" s="17" t="n">
        <v>7325</v>
      </c>
      <c r="C33" s="18">
        <f>(6439.0/B33*100)</f>
        <v/>
      </c>
      <c r="D33" s="19" t="n">
        <v>886</v>
      </c>
      <c r="E33" s="18" t="n">
        <v>63.159447</v>
      </c>
      <c r="F33" s="20" t="n">
        <v>1.76380982</v>
      </c>
      <c r="G33" s="18" t="n">
        <v>32.39649207</v>
      </c>
      <c r="H33" s="20" t="n">
        <v>1.68605109</v>
      </c>
      <c r="I33" s="18" t="n">
        <v>0</v>
      </c>
      <c r="J33" s="20" t="n">
        <v>0</v>
      </c>
      <c r="K33" s="18" t="n">
        <v>0.5558737500000001</v>
      </c>
      <c r="L33" s="20" t="n">
        <v>0.38243959</v>
      </c>
      <c r="M33" s="18" t="n">
        <v>0</v>
      </c>
      <c r="N33" s="20" t="n">
        <v>0</v>
      </c>
      <c r="O33" s="18" t="n">
        <v>0</v>
      </c>
      <c r="P33" s="20" t="n">
        <v>0</v>
      </c>
      <c r="Q33" s="18" t="n">
        <v>3.88818719</v>
      </c>
      <c r="R33" s="20" t="n">
        <v>0.79820541</v>
      </c>
    </row>
    <row r="34" spans="1:18">
      <c r="A34" s="15" t="s">
        <v>456</v>
      </c>
      <c r="B34" s="17" t="n">
        <v>6350</v>
      </c>
      <c r="C34" s="18">
        <f>(5590.0/B34*100)</f>
        <v/>
      </c>
      <c r="D34" s="19" t="n">
        <v>760</v>
      </c>
      <c r="E34" s="18" t="n">
        <v>68.29627117</v>
      </c>
      <c r="F34" s="20" t="n">
        <v>1.63115899</v>
      </c>
      <c r="G34" s="18" t="n">
        <v>25.19936041</v>
      </c>
      <c r="H34" s="20" t="n">
        <v>1.46578997</v>
      </c>
      <c r="I34" s="18" t="n">
        <v>0</v>
      </c>
      <c r="J34" s="20" t="n">
        <v>0</v>
      </c>
      <c r="K34" s="18" t="n">
        <v>0.18061007</v>
      </c>
      <c r="L34" s="20" t="n">
        <v>0.10152151</v>
      </c>
      <c r="M34" s="18" t="n">
        <v>0</v>
      </c>
      <c r="N34" s="20" t="n">
        <v>0</v>
      </c>
      <c r="O34" s="18" t="n">
        <v>0</v>
      </c>
      <c r="P34" s="20" t="n">
        <v>0</v>
      </c>
      <c r="Q34" s="18" t="n">
        <v>6.32375834</v>
      </c>
      <c r="R34" s="20" t="n">
        <v>0.9560540199999999</v>
      </c>
    </row>
    <row r="35" spans="1:18">
      <c r="A35" s="15" t="s">
        <v>457</v>
      </c>
      <c r="B35" s="17" t="n">
        <v>6406</v>
      </c>
      <c r="C35" s="18">
        <f>(5620.0/B35*100)</f>
        <v/>
      </c>
      <c r="D35" s="19" t="n">
        <v>786</v>
      </c>
      <c r="E35" s="18" t="n">
        <v>57.0529261</v>
      </c>
      <c r="F35" s="20" t="n">
        <v>2.24029584</v>
      </c>
      <c r="G35" s="18" t="n">
        <v>39.13235221</v>
      </c>
      <c r="H35" s="20" t="n">
        <v>2.21963159</v>
      </c>
      <c r="I35" s="18" t="n">
        <v>0</v>
      </c>
      <c r="J35" s="20" t="n">
        <v>0</v>
      </c>
      <c r="K35" s="18" t="n">
        <v>0.05514159</v>
      </c>
      <c r="L35" s="20" t="n">
        <v>0.05757244</v>
      </c>
      <c r="M35" s="18" t="n">
        <v>0</v>
      </c>
      <c r="N35" s="20" t="n">
        <v>0</v>
      </c>
      <c r="O35" s="18" t="n">
        <v>0</v>
      </c>
      <c r="P35" s="20" t="n">
        <v>0</v>
      </c>
      <c r="Q35" s="18" t="n">
        <v>3.7595801</v>
      </c>
      <c r="R35" s="20" t="n">
        <v>0.70082667</v>
      </c>
    </row>
    <row r="36" spans="1:18">
      <c r="A36" s="15" t="s">
        <v>458</v>
      </c>
      <c r="B36" s="17" t="n">
        <v>6736</v>
      </c>
      <c r="C36" s="18">
        <f>(5913.0/B36*100)</f>
        <v/>
      </c>
      <c r="D36" s="19" t="n">
        <v>823</v>
      </c>
      <c r="E36" s="18" t="n">
        <v>64.0607167</v>
      </c>
      <c r="F36" s="20" t="n">
        <v>1.78754035</v>
      </c>
      <c r="G36" s="18" t="n">
        <v>28.50915661</v>
      </c>
      <c r="H36" s="20" t="n">
        <v>1.55399894</v>
      </c>
      <c r="I36" s="18" t="n">
        <v>0</v>
      </c>
      <c r="J36" s="20" t="n">
        <v>0</v>
      </c>
      <c r="K36" s="18" t="n">
        <v>0.40909576</v>
      </c>
      <c r="L36" s="20" t="n">
        <v>0.20716</v>
      </c>
      <c r="M36" s="18" t="n">
        <v>0.13843862</v>
      </c>
      <c r="N36" s="20" t="n">
        <v>0.1460571</v>
      </c>
      <c r="O36" s="18" t="n">
        <v>0</v>
      </c>
      <c r="P36" s="20" t="n">
        <v>0</v>
      </c>
      <c r="Q36" s="18" t="n">
        <v>6.88259232</v>
      </c>
      <c r="R36" s="20" t="n">
        <v>1.01476221</v>
      </c>
    </row>
    <row r="37" spans="1:18">
      <c r="A37" s="15" t="s">
        <v>459</v>
      </c>
      <c r="B37" s="17" t="n">
        <v>5458</v>
      </c>
      <c r="C37" s="18">
        <f>(4810.0/B37*100)</f>
        <v/>
      </c>
      <c r="D37" s="19" t="n">
        <v>648</v>
      </c>
      <c r="E37" s="18" t="n">
        <v>46.326932</v>
      </c>
      <c r="F37" s="20" t="n">
        <v>2.10366536</v>
      </c>
      <c r="G37" s="18" t="n">
        <v>43.66981536</v>
      </c>
      <c r="H37" s="20" t="n">
        <v>2.06360389</v>
      </c>
      <c r="I37" s="18" t="n">
        <v>0</v>
      </c>
      <c r="J37" s="20" t="n">
        <v>0</v>
      </c>
      <c r="K37" s="18" t="n">
        <v>1.22359184</v>
      </c>
      <c r="L37" s="20" t="n">
        <v>0.42597294</v>
      </c>
      <c r="M37" s="18" t="n">
        <v>0</v>
      </c>
      <c r="N37" s="20" t="n">
        <v>0</v>
      </c>
      <c r="O37" s="18" t="n">
        <v>0</v>
      </c>
      <c r="P37" s="20" t="n">
        <v>0</v>
      </c>
      <c r="Q37" s="18" t="n">
        <v>8.779660809999999</v>
      </c>
      <c r="R37" s="20" t="n">
        <v>1.2348296</v>
      </c>
    </row>
    <row r="38" spans="1:18">
      <c r="A38" s="15" t="s">
        <v>460</v>
      </c>
      <c r="B38" s="17" t="n">
        <v>5860</v>
      </c>
      <c r="C38" s="18">
        <f>(4902.0/B38*100)</f>
        <v/>
      </c>
      <c r="D38" s="19" t="n">
        <v>958</v>
      </c>
      <c r="E38" s="18" t="n">
        <v>63.30569938</v>
      </c>
      <c r="F38" s="20" t="n">
        <v>1.79609906</v>
      </c>
      <c r="G38" s="18" t="n">
        <v>27.91671418</v>
      </c>
      <c r="H38" s="20" t="n">
        <v>1.69092618</v>
      </c>
      <c r="I38" s="18" t="n">
        <v>0</v>
      </c>
      <c r="J38" s="20" t="n">
        <v>0</v>
      </c>
      <c r="K38" s="18" t="n">
        <v>1.23237694</v>
      </c>
      <c r="L38" s="20" t="n">
        <v>0.40665903</v>
      </c>
      <c r="M38" s="18" t="n">
        <v>0.30673456</v>
      </c>
      <c r="N38" s="20" t="n">
        <v>0.18167005</v>
      </c>
      <c r="O38" s="18" t="n">
        <v>0</v>
      </c>
      <c r="P38" s="20" t="n">
        <v>0</v>
      </c>
      <c r="Q38" s="18" t="n">
        <v>7.23847494</v>
      </c>
      <c r="R38" s="20" t="n">
        <v>1.21350768</v>
      </c>
    </row>
    <row r="39" spans="1:18">
      <c r="A39" s="15" t="s">
        <v>461</v>
      </c>
      <c r="B39" s="17" t="n">
        <v>5895</v>
      </c>
      <c r="C39" s="18">
        <f>(5169.0/B39*100)</f>
        <v/>
      </c>
      <c r="D39" s="19" t="n">
        <v>726</v>
      </c>
      <c r="E39" s="18" t="n">
        <v>76.47793584</v>
      </c>
      <c r="F39" s="20" t="n">
        <v>1.99560781</v>
      </c>
      <c r="G39" s="18" t="n">
        <v>15.04649707</v>
      </c>
      <c r="H39" s="20" t="n">
        <v>1.87304539</v>
      </c>
      <c r="I39" s="18" t="n">
        <v>0</v>
      </c>
      <c r="J39" s="20" t="n">
        <v>0</v>
      </c>
      <c r="K39" s="18" t="n">
        <v>0.27539974</v>
      </c>
      <c r="L39" s="20" t="n">
        <v>0.19281364</v>
      </c>
      <c r="M39" s="18" t="n">
        <v>0.12230302</v>
      </c>
      <c r="N39" s="20" t="n">
        <v>0.1257731</v>
      </c>
      <c r="O39" s="18" t="n">
        <v>0</v>
      </c>
      <c r="P39" s="20" t="n">
        <v>0</v>
      </c>
      <c r="Q39" s="18" t="n">
        <v>8.077864330000001</v>
      </c>
      <c r="R39" s="20" t="n">
        <v>1.15518002</v>
      </c>
    </row>
    <row r="40" spans="1:18">
      <c r="A40" s="15" t="s">
        <v>462</v>
      </c>
      <c r="B40" s="17" t="n">
        <v>14157</v>
      </c>
      <c r="C40" s="18">
        <f>(12436.0/B40*100)</f>
        <v/>
      </c>
      <c r="D40" s="19" t="n">
        <v>1721</v>
      </c>
      <c r="E40" s="18" t="n">
        <v>45.98386186</v>
      </c>
      <c r="F40" s="20" t="n">
        <v>1.98823037</v>
      </c>
      <c r="G40" s="18" t="n">
        <v>47.14787313</v>
      </c>
      <c r="H40" s="20" t="n">
        <v>1.77770382</v>
      </c>
      <c r="I40" s="18" t="n">
        <v>0</v>
      </c>
      <c r="J40" s="20" t="n">
        <v>0</v>
      </c>
      <c r="K40" s="18" t="n">
        <v>0.51016943</v>
      </c>
      <c r="L40" s="20" t="n">
        <v>0.19044436</v>
      </c>
      <c r="M40" s="18" t="n">
        <v>0.15573113</v>
      </c>
      <c r="N40" s="20" t="n">
        <v>0.15400993</v>
      </c>
      <c r="O40" s="18" t="n">
        <v>0</v>
      </c>
      <c r="P40" s="20" t="n">
        <v>0</v>
      </c>
      <c r="Q40" s="18" t="n">
        <v>6.20236445</v>
      </c>
      <c r="R40" s="20" t="n">
        <v>0.92385963</v>
      </c>
    </row>
    <row r="41" spans="1:18">
      <c r="A41" s="15" t="s">
        <v>463</v>
      </c>
      <c r="B41" s="17" t="n">
        <v>5712</v>
      </c>
      <c r="C41" s="18">
        <f>(5041.0/B41*100)</f>
        <v/>
      </c>
      <c r="D41" s="19" t="n">
        <v>671</v>
      </c>
      <c r="E41" s="18" t="n">
        <v>51.13851611</v>
      </c>
      <c r="F41" s="20" t="n">
        <v>1.84482882</v>
      </c>
      <c r="G41" s="18" t="n">
        <v>46.14118769</v>
      </c>
      <c r="H41" s="20" t="n">
        <v>1.93822651</v>
      </c>
      <c r="I41" s="18" t="n">
        <v>0</v>
      </c>
      <c r="J41" s="20" t="n">
        <v>0</v>
      </c>
      <c r="K41" s="18" t="n">
        <v>0.82593028</v>
      </c>
      <c r="L41" s="20" t="n">
        <v>0.33052688</v>
      </c>
      <c r="M41" s="18" t="n">
        <v>0</v>
      </c>
      <c r="N41" s="20" t="n">
        <v>0</v>
      </c>
      <c r="O41" s="18" t="n">
        <v>0</v>
      </c>
      <c r="P41" s="20" t="n">
        <v>0</v>
      </c>
      <c r="Q41" s="18" t="n">
        <v>1.89436592</v>
      </c>
      <c r="R41" s="20" t="n">
        <v>0.42526807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(20772.0/B46*100)</f>
        <v/>
      </c>
      <c r="D46" s="19" t="n">
        <v>2369</v>
      </c>
      <c r="E46" s="18" t="n">
        <v>74.06863589</v>
      </c>
      <c r="F46" s="20" t="n">
        <v>1.28100668</v>
      </c>
      <c r="G46" s="18" t="n">
        <v>13.80576828</v>
      </c>
      <c r="H46" s="20" t="n">
        <v>1.16369854</v>
      </c>
      <c r="I46" s="18" t="n">
        <v>0</v>
      </c>
      <c r="J46" s="20" t="n">
        <v>0</v>
      </c>
      <c r="K46" s="18" t="n">
        <v>1.18481699</v>
      </c>
      <c r="L46" s="20" t="n">
        <v>0.35034681</v>
      </c>
      <c r="M46" s="18" t="n">
        <v>0.13338486</v>
      </c>
      <c r="N46" s="20" t="n">
        <v>0.06666231</v>
      </c>
      <c r="O46" s="18" t="n">
        <v>0</v>
      </c>
      <c r="P46" s="20" t="n">
        <v>0</v>
      </c>
      <c r="Q46" s="18" t="n">
        <v>10.80739398</v>
      </c>
      <c r="R46" s="20" t="n">
        <v>0.89030867</v>
      </c>
    </row>
    <row r="47" spans="1:18">
      <c r="A47" s="15" t="s">
        <v>470</v>
      </c>
      <c r="B47" s="17" t="n">
        <v>5928</v>
      </c>
      <c r="C47" s="18">
        <f>(5225.0/B47*100)</f>
        <v/>
      </c>
      <c r="D47" s="19" t="n">
        <v>703</v>
      </c>
      <c r="E47" s="18" t="n">
        <v>64.52893177999999</v>
      </c>
      <c r="F47" s="20" t="n">
        <v>1.92267506</v>
      </c>
      <c r="G47" s="18" t="n">
        <v>20.2266338</v>
      </c>
      <c r="H47" s="20" t="n">
        <v>1.72200866</v>
      </c>
      <c r="I47" s="18" t="n">
        <v>0</v>
      </c>
      <c r="J47" s="20" t="n">
        <v>0</v>
      </c>
      <c r="K47" s="18" t="n">
        <v>0.98298417</v>
      </c>
      <c r="L47" s="20" t="n">
        <v>0.42412172</v>
      </c>
      <c r="M47" s="18" t="n">
        <v>0</v>
      </c>
      <c r="N47" s="20" t="n">
        <v>0</v>
      </c>
      <c r="O47" s="18" t="n">
        <v>0</v>
      </c>
      <c r="P47" s="20" t="n">
        <v>0</v>
      </c>
      <c r="Q47" s="18" t="n">
        <v>14.26145024</v>
      </c>
      <c r="R47" s="20" t="n">
        <v>1.80427578</v>
      </c>
    </row>
    <row r="48" spans="1:18">
      <c r="A48" s="15" t="s">
        <v>471</v>
      </c>
      <c r="B48" s="17" t="n">
        <v>9841</v>
      </c>
      <c r="C48" s="18">
        <f>(8595.0/B48*100)</f>
        <v/>
      </c>
      <c r="D48" s="19" t="n">
        <v>1246</v>
      </c>
      <c r="E48" s="18" t="n">
        <v>56.83127338</v>
      </c>
      <c r="F48" s="20" t="n">
        <v>2.05803154</v>
      </c>
      <c r="G48" s="18" t="n">
        <v>37.59862608</v>
      </c>
      <c r="H48" s="20" t="n">
        <v>2.09559106</v>
      </c>
      <c r="I48" s="18" t="n">
        <v>0</v>
      </c>
      <c r="J48" s="20" t="n">
        <v>0</v>
      </c>
      <c r="K48" s="18" t="n">
        <v>0.53059057</v>
      </c>
      <c r="L48" s="20" t="n">
        <v>0.27257981</v>
      </c>
      <c r="M48" s="18" t="n">
        <v>0</v>
      </c>
      <c r="N48" s="20" t="n">
        <v>0</v>
      </c>
      <c r="O48" s="18" t="n">
        <v>0</v>
      </c>
      <c r="P48" s="20" t="n">
        <v>0</v>
      </c>
      <c r="Q48" s="18" t="n">
        <v>5.03950997</v>
      </c>
      <c r="R48" s="20" t="n">
        <v>0.97271929</v>
      </c>
    </row>
    <row r="49" spans="1:18">
      <c r="A49" s="15" t="s">
        <v>472</v>
      </c>
      <c r="B49" s="17" t="n">
        <v>11795</v>
      </c>
      <c r="C49" s="18">
        <f>(10406.0/B49*100)</f>
        <v/>
      </c>
      <c r="D49" s="19" t="n">
        <v>1389</v>
      </c>
      <c r="E49" s="18" t="n">
        <v>73.09254208999999</v>
      </c>
      <c r="F49" s="20" t="n">
        <v>1.44781244</v>
      </c>
      <c r="G49" s="18" t="n">
        <v>19.22787199</v>
      </c>
      <c r="H49" s="20" t="n">
        <v>1.27037353</v>
      </c>
      <c r="I49" s="18" t="n">
        <v>0</v>
      </c>
      <c r="J49" s="20" t="n">
        <v>0</v>
      </c>
      <c r="K49" s="18" t="n">
        <v>1.86370453</v>
      </c>
      <c r="L49" s="20" t="n">
        <v>0.56256746</v>
      </c>
      <c r="M49" s="18" t="n">
        <v>0.05889858</v>
      </c>
      <c r="N49" s="20" t="n">
        <v>0.05855427</v>
      </c>
      <c r="O49" s="18" t="n">
        <v>0</v>
      </c>
      <c r="P49" s="20" t="n">
        <v>0</v>
      </c>
      <c r="Q49" s="18" t="n">
        <v>5.75698281</v>
      </c>
      <c r="R49" s="20" t="n">
        <v>0.8818472000000001</v>
      </c>
    </row>
    <row r="50" spans="1:18">
      <c r="A50" s="15" t="s">
        <v>473</v>
      </c>
      <c r="B50" s="17" t="n">
        <v>6866</v>
      </c>
      <c r="C50" s="18">
        <f>(6169.0/B50*100)</f>
        <v/>
      </c>
      <c r="D50" s="19" t="n">
        <v>697</v>
      </c>
      <c r="E50" s="18" t="n">
        <v>83.02491301000001</v>
      </c>
      <c r="F50" s="20" t="n">
        <v>1.54131744</v>
      </c>
      <c r="G50" s="18" t="n">
        <v>8.805105449999999</v>
      </c>
      <c r="H50" s="20" t="n">
        <v>1.0506751</v>
      </c>
      <c r="I50" s="18" t="n">
        <v>0</v>
      </c>
      <c r="J50" s="20" t="n">
        <v>0</v>
      </c>
      <c r="K50" s="18" t="n">
        <v>0.5480918</v>
      </c>
      <c r="L50" s="20" t="n">
        <v>0.31160734</v>
      </c>
      <c r="M50" s="18" t="n">
        <v>0</v>
      </c>
      <c r="N50" s="20" t="n">
        <v>0</v>
      </c>
      <c r="O50" s="18" t="n">
        <v>0</v>
      </c>
      <c r="P50" s="20" t="n">
        <v>0</v>
      </c>
      <c r="Q50" s="18" t="n">
        <v>7.62188974</v>
      </c>
      <c r="R50" s="20" t="n">
        <v>1.14749568</v>
      </c>
    </row>
    <row r="51" spans="1:18">
      <c r="A51" s="15" t="s">
        <v>474</v>
      </c>
      <c r="B51" s="17" t="n">
        <v>5809</v>
      </c>
      <c r="C51" s="18">
        <f>(5090.0/B51*100)</f>
        <v/>
      </c>
      <c r="D51" s="19" t="n">
        <v>719</v>
      </c>
      <c r="E51" s="18" t="n">
        <v>75.40152343</v>
      </c>
      <c r="F51" s="20" t="n">
        <v>1.46922448</v>
      </c>
      <c r="G51" s="18" t="n">
        <v>19.16792286</v>
      </c>
      <c r="H51" s="20" t="n">
        <v>1.44780841</v>
      </c>
      <c r="I51" s="18" t="n">
        <v>0</v>
      </c>
      <c r="J51" s="20" t="n">
        <v>0</v>
      </c>
      <c r="K51" s="18" t="n">
        <v>0.15300346</v>
      </c>
      <c r="L51" s="20" t="n">
        <v>0.15272475</v>
      </c>
      <c r="M51" s="18" t="n">
        <v>0</v>
      </c>
      <c r="N51" s="20" t="n">
        <v>0</v>
      </c>
      <c r="O51" s="18" t="n">
        <v>0</v>
      </c>
      <c r="P51" s="20" t="n">
        <v>0</v>
      </c>
      <c r="Q51" s="18" t="n">
        <v>5.27755026</v>
      </c>
      <c r="R51" s="20" t="n">
        <v>0.80345313</v>
      </c>
    </row>
    <row r="52" spans="1:18">
      <c r="A52" s="15" t="s">
        <v>475</v>
      </c>
      <c r="B52" s="17" t="n">
        <v>5571</v>
      </c>
      <c r="C52" s="18">
        <f>(4898.0/B52*100)</f>
        <v/>
      </c>
      <c r="D52" s="19" t="n">
        <v>673</v>
      </c>
      <c r="E52" s="18" t="n">
        <v>58.89341992</v>
      </c>
      <c r="F52" s="20" t="n">
        <v>2.15392615</v>
      </c>
      <c r="G52" s="18" t="n">
        <v>24.11139149</v>
      </c>
      <c r="H52" s="20" t="n">
        <v>2.0831217</v>
      </c>
      <c r="I52" s="18" t="n">
        <v>0</v>
      </c>
      <c r="J52" s="20" t="n">
        <v>0</v>
      </c>
      <c r="K52" s="18" t="n">
        <v>1.7344159</v>
      </c>
      <c r="L52" s="20" t="n">
        <v>0.50061039</v>
      </c>
      <c r="M52" s="18" t="n">
        <v>0</v>
      </c>
      <c r="N52" s="20" t="n">
        <v>0</v>
      </c>
      <c r="O52" s="18" t="n">
        <v>0</v>
      </c>
      <c r="P52" s="20" t="n">
        <v>0</v>
      </c>
      <c r="Q52" s="18" t="n">
        <v>15.26077269</v>
      </c>
      <c r="R52" s="20" t="n">
        <v>1.42482487</v>
      </c>
    </row>
    <row r="53" spans="1:18">
      <c r="A53" s="15" t="s">
        <v>476</v>
      </c>
      <c r="B53" s="17" t="n">
        <v>4740</v>
      </c>
      <c r="C53" s="18">
        <f>(3945.0/B53*100)</f>
        <v/>
      </c>
      <c r="D53" s="19" t="n">
        <v>795</v>
      </c>
      <c r="E53" s="18" t="n">
        <v>66.07314332999999</v>
      </c>
      <c r="F53" s="20" t="n">
        <v>1.83434679</v>
      </c>
      <c r="G53" s="18" t="n">
        <v>2.20022103</v>
      </c>
      <c r="H53" s="20" t="n">
        <v>0.48556294</v>
      </c>
      <c r="I53" s="18" t="n">
        <v>0</v>
      </c>
      <c r="J53" s="20" t="n">
        <v>0</v>
      </c>
      <c r="K53" s="18" t="n">
        <v>15.62001887</v>
      </c>
      <c r="L53" s="20" t="n">
        <v>1.49864336</v>
      </c>
      <c r="M53" s="18" t="n">
        <v>0.26220602</v>
      </c>
      <c r="N53" s="20" t="n">
        <v>0.26835783</v>
      </c>
      <c r="O53" s="18" t="n">
        <v>0</v>
      </c>
      <c r="P53" s="20" t="n">
        <v>0</v>
      </c>
      <c r="Q53" s="18" t="n">
        <v>15.84441075</v>
      </c>
      <c r="R53" s="20" t="n">
        <v>1.46267149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(4691.0/B55*100)</f>
        <v/>
      </c>
      <c r="D55" s="19" t="n">
        <v>668</v>
      </c>
      <c r="E55" s="18" t="n">
        <v>52.97063213</v>
      </c>
      <c r="F55" s="20" t="n">
        <v>1.97404498</v>
      </c>
      <c r="G55" s="18" t="n">
        <v>44.0245909</v>
      </c>
      <c r="H55" s="20" t="n">
        <v>1.89291294</v>
      </c>
      <c r="I55" s="18" t="n">
        <v>0</v>
      </c>
      <c r="J55" s="20" t="n">
        <v>0</v>
      </c>
      <c r="K55" s="18" t="n">
        <v>0.21444336</v>
      </c>
      <c r="L55" s="20" t="n">
        <v>0.20996966</v>
      </c>
      <c r="M55" s="18" t="n">
        <v>0</v>
      </c>
      <c r="N55" s="20" t="n">
        <v>0</v>
      </c>
      <c r="O55" s="18" t="n">
        <v>0</v>
      </c>
      <c r="P55" s="20" t="n">
        <v>0</v>
      </c>
      <c r="Q55" s="18" t="n">
        <v>2.79033362</v>
      </c>
      <c r="R55" s="20" t="n">
        <v>0.68491439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62.38556468</v>
      </c>
      <c r="F61" s="20" t="n">
        <v>2.20777866</v>
      </c>
      <c r="G61" s="18" t="n">
        <v>31.93881503</v>
      </c>
      <c r="H61" s="20" t="n">
        <v>2.34511633</v>
      </c>
      <c r="I61" s="18" t="n">
        <v>0</v>
      </c>
      <c r="J61" s="20" t="n">
        <v>0</v>
      </c>
      <c r="K61" s="18" t="n">
        <v>0.43071794</v>
      </c>
      <c r="L61" s="20" t="n">
        <v>0.2304485</v>
      </c>
      <c r="M61" s="18" t="n">
        <v>0</v>
      </c>
      <c r="N61" s="20" t="n">
        <v>0</v>
      </c>
      <c r="O61" s="18" t="n">
        <v>0</v>
      </c>
      <c r="P61" s="20" t="n">
        <v>0</v>
      </c>
      <c r="Q61" s="18" t="n">
        <v>5.24490234</v>
      </c>
      <c r="R61" s="20" t="n">
        <v>0.97169865</v>
      </c>
    </row>
    <row r="62" spans="1:18">
      <c r="A62" s="15" t="s">
        <v>486</v>
      </c>
      <c r="B62" s="17" t="n">
        <v>4476</v>
      </c>
      <c r="C62" s="18">
        <f>(3935.0/B62*100)</f>
        <v/>
      </c>
      <c r="D62" s="19" t="n">
        <v>541</v>
      </c>
      <c r="E62" s="18" t="n">
        <v>50.50576295</v>
      </c>
      <c r="F62" s="20" t="n">
        <v>2.0872973</v>
      </c>
      <c r="G62" s="18" t="n">
        <v>48.37930791</v>
      </c>
      <c r="H62" s="20" t="n">
        <v>2.0750975</v>
      </c>
      <c r="I62" s="18" t="n">
        <v>0</v>
      </c>
      <c r="J62" s="20" t="n">
        <v>0</v>
      </c>
      <c r="K62" s="18" t="n">
        <v>0</v>
      </c>
      <c r="L62" s="20" t="n">
        <v>0</v>
      </c>
      <c r="M62" s="18" t="n">
        <v>0</v>
      </c>
      <c r="N62" s="20" t="n">
        <v>0</v>
      </c>
      <c r="O62" s="18" t="n">
        <v>0</v>
      </c>
      <c r="P62" s="20" t="n">
        <v>0</v>
      </c>
      <c r="Q62" s="18" t="n">
        <v>1.11492913</v>
      </c>
      <c r="R62" s="20" t="n">
        <v>0.46072308</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(4993.0/B67*100)</f>
        <v/>
      </c>
      <c r="D67" s="19" t="n">
        <v>672</v>
      </c>
      <c r="E67" s="18" t="n">
        <v>64.80306781</v>
      </c>
      <c r="F67" s="20" t="n">
        <v>1.80732089</v>
      </c>
      <c r="G67" s="18" t="n">
        <v>15.37410207</v>
      </c>
      <c r="H67" s="20" t="n">
        <v>1.34588881</v>
      </c>
      <c r="I67" s="18" t="n">
        <v>0</v>
      </c>
      <c r="J67" s="20" t="n">
        <v>0</v>
      </c>
      <c r="K67" s="18" t="n">
        <v>1.70457684</v>
      </c>
      <c r="L67" s="20" t="n">
        <v>0.49625165</v>
      </c>
      <c r="M67" s="18" t="n">
        <v>0.26212703</v>
      </c>
      <c r="N67" s="20" t="n">
        <v>0.18285123</v>
      </c>
      <c r="O67" s="18" t="n">
        <v>0</v>
      </c>
      <c r="P67" s="20" t="n">
        <v>0</v>
      </c>
      <c r="Q67" s="18" t="n">
        <v>17.85612625</v>
      </c>
      <c r="R67" s="20" t="n">
        <v>1.35328669</v>
      </c>
    </row>
    <row r="68" spans="1:18">
      <c r="A68" s="15" t="s">
        <v>492</v>
      </c>
      <c r="B68" s="17" t="n">
        <v>6971</v>
      </c>
      <c r="C68" s="18">
        <f>(6236.0/B68*100)</f>
        <v/>
      </c>
      <c r="D68" s="19" t="n">
        <v>735</v>
      </c>
      <c r="E68" s="18" t="n">
        <v>78.40900387000001</v>
      </c>
      <c r="F68" s="20" t="n">
        <v>1.87212951</v>
      </c>
      <c r="G68" s="18" t="n">
        <v>14.76709696</v>
      </c>
      <c r="H68" s="20" t="n">
        <v>1.6292038</v>
      </c>
      <c r="I68" s="18" t="n">
        <v>0</v>
      </c>
      <c r="J68" s="20" t="n">
        <v>0</v>
      </c>
      <c r="K68" s="18" t="n">
        <v>0.43828436</v>
      </c>
      <c r="L68" s="20" t="n">
        <v>0.25951667</v>
      </c>
      <c r="M68" s="18" t="n">
        <v>0.28537129</v>
      </c>
      <c r="N68" s="20" t="n">
        <v>0.20280164</v>
      </c>
      <c r="O68" s="18" t="n">
        <v>0</v>
      </c>
      <c r="P68" s="20" t="n">
        <v>0</v>
      </c>
      <c r="Q68" s="18" t="n">
        <v>6.10024351</v>
      </c>
      <c r="R68" s="20" t="n">
        <v>0.9241691399999999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63.42179101</v>
      </c>
      <c r="F70" s="20" t="n">
        <v>1.01299344</v>
      </c>
      <c r="G70" s="18" t="n">
        <v>20.18001377</v>
      </c>
      <c r="H70" s="20" t="n">
        <v>0.83509228</v>
      </c>
      <c r="I70" s="18" t="n">
        <v>0</v>
      </c>
      <c r="J70" s="20" t="n">
        <v>0</v>
      </c>
      <c r="K70" s="18" t="n">
        <v>3.34217192</v>
      </c>
      <c r="L70" s="20" t="n">
        <v>0.39205182</v>
      </c>
      <c r="M70" s="18" t="n">
        <v>0</v>
      </c>
      <c r="N70" s="20" t="n">
        <v>0</v>
      </c>
      <c r="O70" s="18" t="n">
        <v>0</v>
      </c>
      <c r="P70" s="20" t="n">
        <v>0</v>
      </c>
      <c r="Q70" s="18" t="n">
        <v>13.0560233</v>
      </c>
      <c r="R70" s="20" t="n">
        <v>0.91273921</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(5325.0/B72*100)</f>
        <v/>
      </c>
      <c r="D72" s="19" t="n">
        <v>711</v>
      </c>
      <c r="E72" s="18" t="n">
        <v>66.20374491</v>
      </c>
      <c r="F72" s="20" t="n">
        <v>2.02441161</v>
      </c>
      <c r="G72" s="18" t="n">
        <v>26.81385221</v>
      </c>
      <c r="H72" s="20" t="n">
        <v>2.01293331</v>
      </c>
      <c r="I72" s="18" t="n">
        <v>0</v>
      </c>
      <c r="J72" s="20" t="n">
        <v>0</v>
      </c>
      <c r="K72" s="18" t="n">
        <v>0.48029606</v>
      </c>
      <c r="L72" s="20" t="n">
        <v>0.24432248</v>
      </c>
      <c r="M72" s="18" t="n">
        <v>0.10544051</v>
      </c>
      <c r="N72" s="20" t="n">
        <v>0.10683838</v>
      </c>
      <c r="O72" s="18" t="n">
        <v>0</v>
      </c>
      <c r="P72" s="20" t="n">
        <v>0</v>
      </c>
      <c r="Q72" s="18" t="n">
        <v>6.39666631</v>
      </c>
      <c r="R72" s="20" t="n">
        <v>0.8636454099999999</v>
      </c>
    </row>
    <row r="73" spans="1:18">
      <c r="A73" s="15" t="s">
        <v>497</v>
      </c>
      <c r="B73" s="17" t="n">
        <v>6115</v>
      </c>
      <c r="C73" s="18">
        <f>(5356.0/B73*100)</f>
        <v/>
      </c>
      <c r="D73" s="19" t="n">
        <v>759</v>
      </c>
      <c r="E73" s="18" t="n">
        <v>42.18589194</v>
      </c>
      <c r="F73" s="20" t="n">
        <v>1.67488555</v>
      </c>
      <c r="G73" s="18" t="n">
        <v>55.88910776</v>
      </c>
      <c r="H73" s="20" t="n">
        <v>1.72075291</v>
      </c>
      <c r="I73" s="18" t="n">
        <v>0</v>
      </c>
      <c r="J73" s="20" t="n">
        <v>0</v>
      </c>
      <c r="K73" s="18" t="n">
        <v>0.12138335</v>
      </c>
      <c r="L73" s="20" t="n">
        <v>0.12151119</v>
      </c>
      <c r="M73" s="18" t="n">
        <v>0.06888151000000001</v>
      </c>
      <c r="N73" s="20" t="n">
        <v>0.06911086</v>
      </c>
      <c r="O73" s="18" t="n">
        <v>0</v>
      </c>
      <c r="P73" s="20" t="n">
        <v>0</v>
      </c>
      <c r="Q73" s="18" t="n">
        <v>1.73473545</v>
      </c>
      <c r="R73" s="20" t="n">
        <v>0.37954537</v>
      </c>
    </row>
    <row r="74" spans="1:18">
      <c r="A74" s="15" t="s">
        <v>498</v>
      </c>
      <c r="B74" s="17" t="n">
        <v>7708</v>
      </c>
      <c r="C74" s="18">
        <f>(6764.0/B74*100)</f>
        <v/>
      </c>
      <c r="D74" s="19" t="n">
        <v>944</v>
      </c>
      <c r="E74" s="18" t="n">
        <v>53.96768982</v>
      </c>
      <c r="F74" s="20" t="n">
        <v>1.84820704</v>
      </c>
      <c r="G74" s="18" t="n">
        <v>42.31238029</v>
      </c>
      <c r="H74" s="20" t="n">
        <v>1.69020866</v>
      </c>
      <c r="I74" s="18" t="n">
        <v>0</v>
      </c>
      <c r="J74" s="20" t="n">
        <v>0</v>
      </c>
      <c r="K74" s="18" t="n">
        <v>0.43623119</v>
      </c>
      <c r="L74" s="20" t="n">
        <v>0.22441115</v>
      </c>
      <c r="M74" s="18" t="n">
        <v>0</v>
      </c>
      <c r="N74" s="20" t="n">
        <v>0</v>
      </c>
      <c r="O74" s="18" t="n">
        <v>0</v>
      </c>
      <c r="P74" s="20" t="n">
        <v>0</v>
      </c>
      <c r="Q74" s="18" t="n">
        <v>3.2836987</v>
      </c>
      <c r="R74" s="20" t="n">
        <v>0.66383131</v>
      </c>
    </row>
    <row r="75" spans="1:18">
      <c r="A75" s="15" t="s">
        <v>499</v>
      </c>
      <c r="B75" s="17" t="n">
        <v>8249</v>
      </c>
      <c r="C75" s="18">
        <f>(7288.0/B75*100)</f>
        <v/>
      </c>
      <c r="D75" s="19" t="n">
        <v>961</v>
      </c>
      <c r="E75" s="18" t="n">
        <v>78.97174606</v>
      </c>
      <c r="F75" s="20" t="n">
        <v>1.6219766</v>
      </c>
      <c r="G75" s="18" t="n">
        <v>19.00180841</v>
      </c>
      <c r="H75" s="20" t="n">
        <v>1.58461701</v>
      </c>
      <c r="I75" s="18" t="n">
        <v>0</v>
      </c>
      <c r="J75" s="20" t="n">
        <v>0</v>
      </c>
      <c r="K75" s="18" t="n">
        <v>0.00596084</v>
      </c>
      <c r="L75" s="20" t="n">
        <v>0.00598072</v>
      </c>
      <c r="M75" s="18" t="n">
        <v>0.35626454</v>
      </c>
      <c r="N75" s="20" t="n">
        <v>0.31050132</v>
      </c>
      <c r="O75" s="18" t="n">
        <v>0</v>
      </c>
      <c r="P75" s="20" t="n">
        <v>0</v>
      </c>
      <c r="Q75" s="18" t="n">
        <v>1.66422014</v>
      </c>
      <c r="R75" s="20" t="n">
        <v>0.5125549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(4795.0/B77*100)</f>
        <v/>
      </c>
      <c r="D77" s="19" t="n">
        <v>580</v>
      </c>
      <c r="E77" s="18" t="n">
        <v>65.32868374</v>
      </c>
      <c r="F77" s="20" t="n">
        <v>2.29552059</v>
      </c>
      <c r="G77" s="18" t="n">
        <v>2.80982686</v>
      </c>
      <c r="H77" s="20" t="n">
        <v>0.74535893</v>
      </c>
      <c r="I77" s="18" t="n">
        <v>0</v>
      </c>
      <c r="J77" s="20" t="n">
        <v>0</v>
      </c>
      <c r="K77" s="18" t="n">
        <v>4.86685033</v>
      </c>
      <c r="L77" s="20" t="n">
        <v>0.96156118</v>
      </c>
      <c r="M77" s="18" t="n">
        <v>0.48493821</v>
      </c>
      <c r="N77" s="20" t="n">
        <v>0.27825355</v>
      </c>
      <c r="O77" s="18" t="n">
        <v>0</v>
      </c>
      <c r="P77" s="20" t="n">
        <v>0</v>
      </c>
      <c r="Q77" s="18" t="n">
        <v>26.50970085</v>
      </c>
      <c r="R77" s="20" t="n">
        <v>1.90657148</v>
      </c>
    </row>
    <row r="78" spans="1:18">
      <c r="A78" s="15" t="s">
        <v>502</v>
      </c>
      <c r="B78" s="17" t="n">
        <v>14167</v>
      </c>
      <c r="C78" s="18">
        <f>(12447.0/B78*100)</f>
        <v/>
      </c>
      <c r="D78" s="19" t="n">
        <v>1720</v>
      </c>
      <c r="E78" s="18" t="n">
        <v>67.84286715</v>
      </c>
      <c r="F78" s="20" t="n">
        <v>1.24012483</v>
      </c>
      <c r="G78" s="18" t="n">
        <v>23.84537513</v>
      </c>
      <c r="H78" s="20" t="n">
        <v>1.19343038</v>
      </c>
      <c r="I78" s="18" t="n">
        <v>0</v>
      </c>
      <c r="J78" s="20" t="n">
        <v>0</v>
      </c>
      <c r="K78" s="18" t="n">
        <v>0.97167579</v>
      </c>
      <c r="L78" s="20" t="n">
        <v>0.26212845</v>
      </c>
      <c r="M78" s="18" t="n">
        <v>0.20483406</v>
      </c>
      <c r="N78" s="20" t="n">
        <v>0.11767982</v>
      </c>
      <c r="O78" s="18" t="n">
        <v>0</v>
      </c>
      <c r="P78" s="20" t="n">
        <v>0</v>
      </c>
      <c r="Q78" s="18" t="n">
        <v>7.13524787</v>
      </c>
      <c r="R78" s="20" t="n">
        <v>0.69027341</v>
      </c>
    </row>
    <row r="79" spans="1:18">
      <c r="A79" s="15" t="s">
        <v>503</v>
      </c>
      <c r="B79" s="17" t="n">
        <v>6062</v>
      </c>
      <c r="C79" s="18">
        <f>(5385.0/B79*100)</f>
        <v/>
      </c>
      <c r="D79" s="19" t="n">
        <v>677</v>
      </c>
      <c r="E79" s="18" t="n">
        <v>60.5165114</v>
      </c>
      <c r="F79" s="20" t="n">
        <v>1.69478011</v>
      </c>
      <c r="G79" s="18" t="n">
        <v>19.75152039</v>
      </c>
      <c r="H79" s="20" t="n">
        <v>1.26328624</v>
      </c>
      <c r="I79" s="18" t="n">
        <v>0</v>
      </c>
      <c r="J79" s="20" t="n">
        <v>0</v>
      </c>
      <c r="K79" s="18" t="n">
        <v>2.65217789</v>
      </c>
      <c r="L79" s="20" t="n">
        <v>0.6898330499999999</v>
      </c>
      <c r="M79" s="18" t="n">
        <v>0.20620381</v>
      </c>
      <c r="N79" s="20" t="n">
        <v>0.20526254</v>
      </c>
      <c r="O79" s="18" t="n">
        <v>0</v>
      </c>
      <c r="P79" s="20" t="n">
        <v>0</v>
      </c>
      <c r="Q79" s="18" t="n">
        <v>16.87358652</v>
      </c>
      <c r="R79" s="20" t="n">
        <v>1.29395764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(28438.0/B82*100)</f>
        <v/>
      </c>
      <c r="D82" s="19" t="n">
        <v>3892</v>
      </c>
      <c r="E82" s="18" t="n">
        <v>64.90383495</v>
      </c>
      <c r="F82" s="20" t="n">
        <v>1.07035953</v>
      </c>
      <c r="G82" s="18" t="n">
        <v>29.30805997</v>
      </c>
      <c r="H82" s="20" t="n">
        <v>0.90479234</v>
      </c>
      <c r="I82" s="18" t="n">
        <v>0</v>
      </c>
      <c r="J82" s="20" t="n">
        <v>0</v>
      </c>
      <c r="K82" s="18" t="n">
        <v>0.41930922</v>
      </c>
      <c r="L82" s="20" t="n">
        <v>0.15236333</v>
      </c>
      <c r="M82" s="18" t="n">
        <v>0.17306498</v>
      </c>
      <c r="N82" s="20" t="n">
        <v>0.12630015</v>
      </c>
      <c r="O82" s="18" t="n">
        <v>0</v>
      </c>
      <c r="P82" s="20" t="n">
        <v>0</v>
      </c>
      <c r="Q82" s="18" t="n">
        <v>5.19573087</v>
      </c>
      <c r="R82" s="20" t="n">
        <v>0.51797584</v>
      </c>
    </row>
    <row r="83" spans="1:18">
      <c r="A83" s="15" t="s">
        <v>507</v>
      </c>
      <c r="B83" s="17" t="n">
        <v>1652</v>
      </c>
      <c r="C83" s="18">
        <f>(1458.0/B83*100)</f>
        <v/>
      </c>
      <c r="D83" s="19" t="n">
        <v>194</v>
      </c>
      <c r="E83" s="18" t="n">
        <v>42.94896694</v>
      </c>
      <c r="F83" s="20" t="n">
        <v>4.74497994</v>
      </c>
      <c r="G83" s="18" t="n">
        <v>55.21956606</v>
      </c>
      <c r="H83" s="20" t="n">
        <v>4.87052899</v>
      </c>
      <c r="I83" s="18" t="n">
        <v>0</v>
      </c>
      <c r="J83" s="20" t="n">
        <v>0</v>
      </c>
      <c r="K83" s="18" t="n">
        <v>0</v>
      </c>
      <c r="L83" s="20" t="n">
        <v>0</v>
      </c>
      <c r="M83" s="18" t="n">
        <v>0</v>
      </c>
      <c r="N83" s="20" t="n">
        <v>0</v>
      </c>
      <c r="O83" s="18" t="n">
        <v>0</v>
      </c>
      <c r="P83" s="20" t="n">
        <v>0</v>
      </c>
      <c r="Q83" s="18" t="n">
        <v>1.831467</v>
      </c>
      <c r="R83" s="20" t="n">
        <v>0.94387004</v>
      </c>
    </row>
    <row r="84" spans="1:18">
      <c r="A84" s="23" t="s">
        <v>508</v>
      </c>
      <c r="B84" s="24" t="n">
        <v>1887</v>
      </c>
      <c r="C84" s="25">
        <f>(1654.0/B84*100)</f>
        <v/>
      </c>
      <c r="D84" s="19" t="n">
        <v>233</v>
      </c>
      <c r="E84" s="18" t="n">
        <v>50.3427515</v>
      </c>
      <c r="F84" s="20" t="n">
        <v>3.23741597</v>
      </c>
      <c r="G84" s="18" t="n">
        <v>46.58844653</v>
      </c>
      <c r="H84" s="20" t="n">
        <v>3.06228299</v>
      </c>
      <c r="I84" s="18" t="n">
        <v>0</v>
      </c>
      <c r="J84" s="20" t="n">
        <v>0</v>
      </c>
      <c r="K84" s="18" t="n">
        <v>0</v>
      </c>
      <c r="L84" s="20" t="n">
        <v>0</v>
      </c>
      <c r="M84" s="18" t="n">
        <v>0</v>
      </c>
      <c r="N84" s="20" t="n">
        <v>0</v>
      </c>
      <c r="O84" s="18" t="n">
        <v>0</v>
      </c>
      <c r="P84" s="20" t="n">
        <v>0</v>
      </c>
      <c r="Q84" s="18" t="n">
        <v>3.06880197</v>
      </c>
      <c r="R84" s="20" t="n">
        <v>1.11284391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529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(12730.0/B7*100)</f>
        <v/>
      </c>
      <c r="D7" s="19" t="n">
        <v>1800</v>
      </c>
      <c r="E7" s="18" t="n">
        <v>11.04807952</v>
      </c>
      <c r="F7" s="20" t="n">
        <v>0.80621617</v>
      </c>
      <c r="G7" s="18" t="n">
        <v>88.11350641999999</v>
      </c>
      <c r="H7" s="20" t="n">
        <v>0.85172802</v>
      </c>
      <c r="I7" s="18" t="n">
        <v>0</v>
      </c>
      <c r="J7" s="20" t="n">
        <v>0</v>
      </c>
      <c r="K7" s="18" t="n">
        <v>0.31582027</v>
      </c>
      <c r="L7" s="20" t="n">
        <v>0.09688759</v>
      </c>
      <c r="M7" s="18" t="n">
        <v>0</v>
      </c>
      <c r="N7" s="20" t="n">
        <v>0</v>
      </c>
      <c r="O7" s="18" t="n">
        <v>0</v>
      </c>
      <c r="P7" s="20" t="n">
        <v>0</v>
      </c>
      <c r="Q7" s="18" t="n">
        <v>0.5225937899999999</v>
      </c>
      <c r="R7" s="20" t="n">
        <v>0.18268409</v>
      </c>
    </row>
    <row r="8" spans="1:18">
      <c r="A8" s="15" t="s">
        <v>430</v>
      </c>
      <c r="B8" s="17" t="n">
        <v>7007</v>
      </c>
      <c r="C8" s="18">
        <f>(6164.0/B8*100)</f>
        <v/>
      </c>
      <c r="D8" s="19" t="n">
        <v>843</v>
      </c>
      <c r="E8" s="18" t="n">
        <v>16.79780479</v>
      </c>
      <c r="F8" s="20" t="n">
        <v>1.41424109</v>
      </c>
      <c r="G8" s="18" t="n">
        <v>81.55266991000001</v>
      </c>
      <c r="H8" s="20" t="n">
        <v>1.43183585</v>
      </c>
      <c r="I8" s="18" t="n">
        <v>0</v>
      </c>
      <c r="J8" s="20" t="n">
        <v>0</v>
      </c>
      <c r="K8" s="18" t="n">
        <v>0.13900354</v>
      </c>
      <c r="L8" s="20" t="n">
        <v>0.09803025</v>
      </c>
      <c r="M8" s="18" t="n">
        <v>0</v>
      </c>
      <c r="N8" s="20" t="n">
        <v>0</v>
      </c>
      <c r="O8" s="18" t="n">
        <v>0</v>
      </c>
      <c r="P8" s="20" t="n">
        <v>0</v>
      </c>
      <c r="Q8" s="18" t="n">
        <v>1.51052175</v>
      </c>
      <c r="R8" s="20" t="n">
        <v>0.44130013</v>
      </c>
    </row>
    <row r="9" spans="1:18">
      <c r="A9" s="15" t="s">
        <v>431</v>
      </c>
      <c r="B9" s="17" t="n">
        <v>9651</v>
      </c>
      <c r="C9" s="18">
        <f>(8513.0/B9*100)</f>
        <v/>
      </c>
      <c r="D9" s="19" t="n">
        <v>1138</v>
      </c>
      <c r="E9" s="18" t="n">
        <v>22.44326012</v>
      </c>
      <c r="F9" s="20" t="n">
        <v>1.3178592</v>
      </c>
      <c r="G9" s="18" t="n">
        <v>76.25678928000001</v>
      </c>
      <c r="H9" s="20" t="n">
        <v>1.2919571</v>
      </c>
      <c r="I9" s="18" t="n">
        <v>0</v>
      </c>
      <c r="J9" s="20" t="n">
        <v>0</v>
      </c>
      <c r="K9" s="18" t="n">
        <v>0.5084413</v>
      </c>
      <c r="L9" s="20" t="n">
        <v>0.2318821</v>
      </c>
      <c r="M9" s="18" t="n">
        <v>0</v>
      </c>
      <c r="N9" s="20" t="n">
        <v>0</v>
      </c>
      <c r="O9" s="18" t="n">
        <v>0</v>
      </c>
      <c r="P9" s="20" t="n">
        <v>0</v>
      </c>
      <c r="Q9" s="18" t="n">
        <v>0.7915093</v>
      </c>
      <c r="R9" s="20" t="n">
        <v>0.30198639</v>
      </c>
    </row>
    <row r="10" spans="1:18">
      <c r="A10" s="15" t="s">
        <v>432</v>
      </c>
      <c r="B10" s="17" t="n">
        <v>20058</v>
      </c>
      <c r="C10" s="18">
        <f>(17629.0/B10*100)</f>
        <v/>
      </c>
      <c r="D10" s="19" t="n">
        <v>2429</v>
      </c>
      <c r="E10" s="18" t="n">
        <v>7.93465797</v>
      </c>
      <c r="F10" s="20" t="n">
        <v>0.88663447</v>
      </c>
      <c r="G10" s="18" t="n">
        <v>91.14025015999999</v>
      </c>
      <c r="H10" s="20" t="n">
        <v>0.90056128</v>
      </c>
      <c r="I10" s="18" t="n">
        <v>0</v>
      </c>
      <c r="J10" s="20" t="n">
        <v>0</v>
      </c>
      <c r="K10" s="18" t="n">
        <v>0.40406261</v>
      </c>
      <c r="L10" s="20" t="n">
        <v>0.17849868</v>
      </c>
      <c r="M10" s="18" t="n">
        <v>0</v>
      </c>
      <c r="N10" s="20" t="n">
        <v>0</v>
      </c>
      <c r="O10" s="18" t="n">
        <v>0</v>
      </c>
      <c r="P10" s="20" t="n">
        <v>0</v>
      </c>
      <c r="Q10" s="18" t="n">
        <v>0.52102927</v>
      </c>
      <c r="R10" s="20" t="n">
        <v>0.17983849</v>
      </c>
    </row>
    <row r="11" spans="1:18">
      <c r="A11" s="15" t="s">
        <v>433</v>
      </c>
      <c r="B11" s="17" t="n">
        <v>7053</v>
      </c>
      <c r="C11" s="18">
        <f>(6209.0/B11*100)</f>
        <v/>
      </c>
      <c r="D11" s="19" t="n">
        <v>844</v>
      </c>
      <c r="E11" s="18" t="n">
        <v>8.783537190000001</v>
      </c>
      <c r="F11" s="20" t="n">
        <v>1.03058037</v>
      </c>
      <c r="G11" s="18" t="n">
        <v>87.58197504</v>
      </c>
      <c r="H11" s="20" t="n">
        <v>1.22239792</v>
      </c>
      <c r="I11" s="18" t="n">
        <v>0</v>
      </c>
      <c r="J11" s="20" t="n">
        <v>0</v>
      </c>
      <c r="K11" s="18" t="n">
        <v>1.30901802</v>
      </c>
      <c r="L11" s="20" t="n">
        <v>0.46661027</v>
      </c>
      <c r="M11" s="18" t="n">
        <v>0</v>
      </c>
      <c r="N11" s="20" t="n">
        <v>0</v>
      </c>
      <c r="O11" s="18" t="n">
        <v>0</v>
      </c>
      <c r="P11" s="20" t="n">
        <v>0</v>
      </c>
      <c r="Q11" s="18" t="n">
        <v>2.32546975</v>
      </c>
      <c r="R11" s="20" t="n">
        <v>0.64290834</v>
      </c>
    </row>
    <row r="12" spans="1:18">
      <c r="A12" s="15" t="s">
        <v>434</v>
      </c>
      <c r="B12" s="17" t="n">
        <v>6894</v>
      </c>
      <c r="C12" s="18">
        <f>(6063.0/B12*100)</f>
        <v/>
      </c>
      <c r="D12" s="19" t="n">
        <v>831</v>
      </c>
      <c r="E12" s="18" t="n">
        <v>21.91842917</v>
      </c>
      <c r="F12" s="20" t="n">
        <v>1.92257618</v>
      </c>
      <c r="G12" s="18" t="n">
        <v>76.43913032</v>
      </c>
      <c r="H12" s="20" t="n">
        <v>1.92034963</v>
      </c>
      <c r="I12" s="18" t="n">
        <v>0</v>
      </c>
      <c r="J12" s="20" t="n">
        <v>0</v>
      </c>
      <c r="K12" s="18" t="n">
        <v>0.24950195</v>
      </c>
      <c r="L12" s="20" t="n">
        <v>0.12736238</v>
      </c>
      <c r="M12" s="18" t="n">
        <v>0</v>
      </c>
      <c r="N12" s="20" t="n">
        <v>0</v>
      </c>
      <c r="O12" s="18" t="n">
        <v>0</v>
      </c>
      <c r="P12" s="20" t="n">
        <v>0</v>
      </c>
      <c r="Q12" s="18" t="n">
        <v>1.39293855</v>
      </c>
      <c r="R12" s="20" t="n">
        <v>0.43329621</v>
      </c>
    </row>
    <row r="13" spans="1:18">
      <c r="A13" s="15" t="s">
        <v>435</v>
      </c>
      <c r="B13" s="17" t="n">
        <v>7161</v>
      </c>
      <c r="C13" s="18">
        <f>(6340.0/B13*100)</f>
        <v/>
      </c>
      <c r="D13" s="19" t="n">
        <v>821</v>
      </c>
      <c r="E13" s="18" t="n">
        <v>16.27274858</v>
      </c>
      <c r="F13" s="20" t="n">
        <v>1.41576516</v>
      </c>
      <c r="G13" s="18" t="n">
        <v>82.12881477000001</v>
      </c>
      <c r="H13" s="20" t="n">
        <v>1.50514786</v>
      </c>
      <c r="I13" s="18" t="n">
        <v>0</v>
      </c>
      <c r="J13" s="20" t="n">
        <v>0</v>
      </c>
      <c r="K13" s="18" t="n">
        <v>0.59017547</v>
      </c>
      <c r="L13" s="20" t="n">
        <v>0.2305635</v>
      </c>
      <c r="M13" s="18" t="n">
        <v>0</v>
      </c>
      <c r="N13" s="20" t="n">
        <v>0</v>
      </c>
      <c r="O13" s="18" t="n">
        <v>0</v>
      </c>
      <c r="P13" s="20" t="n">
        <v>0</v>
      </c>
      <c r="Q13" s="18" t="n">
        <v>1.00826118</v>
      </c>
      <c r="R13" s="20" t="n">
        <v>0.44224038</v>
      </c>
    </row>
    <row r="14" spans="1:18">
      <c r="A14" s="15" t="s">
        <v>436</v>
      </c>
      <c r="B14" s="17" t="n">
        <v>5587</v>
      </c>
      <c r="C14" s="18">
        <f>(4915.0/B14*100)</f>
        <v/>
      </c>
      <c r="D14" s="19" t="n">
        <v>672</v>
      </c>
      <c r="E14" s="18" t="n">
        <v>7.15489716</v>
      </c>
      <c r="F14" s="20" t="n">
        <v>1.19235983</v>
      </c>
      <c r="G14" s="18" t="n">
        <v>91.99245134</v>
      </c>
      <c r="H14" s="20" t="n">
        <v>1.24318087</v>
      </c>
      <c r="I14" s="18" t="n">
        <v>0</v>
      </c>
      <c r="J14" s="20" t="n">
        <v>0</v>
      </c>
      <c r="K14" s="18" t="n">
        <v>0.34103325</v>
      </c>
      <c r="L14" s="20" t="n">
        <v>0.19547473</v>
      </c>
      <c r="M14" s="18" t="n">
        <v>0</v>
      </c>
      <c r="N14" s="20" t="n">
        <v>0</v>
      </c>
      <c r="O14" s="18" t="n">
        <v>0</v>
      </c>
      <c r="P14" s="20" t="n">
        <v>0</v>
      </c>
      <c r="Q14" s="18" t="n">
        <v>0.5116182500000001</v>
      </c>
      <c r="R14" s="20" t="n">
        <v>0.25974694</v>
      </c>
    </row>
    <row r="15" spans="1:18">
      <c r="A15" s="15" t="s">
        <v>437</v>
      </c>
      <c r="B15" s="17" t="n">
        <v>5882</v>
      </c>
      <c r="C15" s="18">
        <f>(5164.0/B15*100)</f>
        <v/>
      </c>
      <c r="D15" s="19" t="n">
        <v>718</v>
      </c>
      <c r="E15" s="18" t="n">
        <v>7.93542426</v>
      </c>
      <c r="F15" s="20" t="n">
        <v>1.06365806</v>
      </c>
      <c r="G15" s="18" t="n">
        <v>91.09291069</v>
      </c>
      <c r="H15" s="20" t="n">
        <v>1.1340852</v>
      </c>
      <c r="I15" s="18" t="n">
        <v>0</v>
      </c>
      <c r="J15" s="20" t="n">
        <v>0</v>
      </c>
      <c r="K15" s="18" t="n">
        <v>0</v>
      </c>
      <c r="L15" s="20" t="n">
        <v>0</v>
      </c>
      <c r="M15" s="18" t="n">
        <v>0</v>
      </c>
      <c r="N15" s="20" t="n">
        <v>0</v>
      </c>
      <c r="O15" s="18" t="n">
        <v>0</v>
      </c>
      <c r="P15" s="20" t="n">
        <v>0</v>
      </c>
      <c r="Q15" s="18" t="n">
        <v>0.97166505</v>
      </c>
      <c r="R15" s="20" t="n">
        <v>0.30234211</v>
      </c>
    </row>
    <row r="16" spans="1:18">
      <c r="A16" s="15" t="s">
        <v>438</v>
      </c>
      <c r="B16" s="17" t="n">
        <v>6108</v>
      </c>
      <c r="C16" s="18">
        <f>(5354.0/B16*100)</f>
        <v/>
      </c>
      <c r="D16" s="19" t="n">
        <v>754</v>
      </c>
      <c r="E16" s="18" t="n">
        <v>14.62536831</v>
      </c>
      <c r="F16" s="20" t="n">
        <v>1.26207037</v>
      </c>
      <c r="G16" s="18" t="n">
        <v>80.18978351</v>
      </c>
      <c r="H16" s="20" t="n">
        <v>1.30189312</v>
      </c>
      <c r="I16" s="18" t="n">
        <v>0</v>
      </c>
      <c r="J16" s="20" t="n">
        <v>0</v>
      </c>
      <c r="K16" s="18" t="n">
        <v>1.97372454</v>
      </c>
      <c r="L16" s="20" t="n">
        <v>0.76583103</v>
      </c>
      <c r="M16" s="18" t="n">
        <v>0</v>
      </c>
      <c r="N16" s="20" t="n">
        <v>0</v>
      </c>
      <c r="O16" s="18" t="n">
        <v>0</v>
      </c>
      <c r="P16" s="20" t="n">
        <v>0</v>
      </c>
      <c r="Q16" s="18" t="n">
        <v>3.21112364</v>
      </c>
      <c r="R16" s="20" t="n">
        <v>0.62542763</v>
      </c>
    </row>
    <row r="17" spans="1:18">
      <c r="A17" s="15" t="s">
        <v>439</v>
      </c>
      <c r="B17" s="17" t="n">
        <v>6504</v>
      </c>
      <c r="C17" s="18">
        <f>(5723.0/B17*100)</f>
        <v/>
      </c>
      <c r="D17" s="19" t="n">
        <v>781</v>
      </c>
      <c r="E17" s="18" t="n">
        <v>16.38621137</v>
      </c>
      <c r="F17" s="20" t="n">
        <v>1.38319138</v>
      </c>
      <c r="G17" s="18" t="n">
        <v>81.77584265</v>
      </c>
      <c r="H17" s="20" t="n">
        <v>1.5506271</v>
      </c>
      <c r="I17" s="18" t="n">
        <v>0</v>
      </c>
      <c r="J17" s="20" t="n">
        <v>0</v>
      </c>
      <c r="K17" s="18" t="n">
        <v>0.6030493300000001</v>
      </c>
      <c r="L17" s="20" t="n">
        <v>0.28031811</v>
      </c>
      <c r="M17" s="18" t="n">
        <v>0</v>
      </c>
      <c r="N17" s="20" t="n">
        <v>0</v>
      </c>
      <c r="O17" s="18" t="n">
        <v>0</v>
      </c>
      <c r="P17" s="20" t="n">
        <v>0</v>
      </c>
      <c r="Q17" s="18" t="n">
        <v>1.23489665</v>
      </c>
      <c r="R17" s="20" t="n">
        <v>0.45182425</v>
      </c>
    </row>
    <row r="18" spans="1:18">
      <c r="A18" s="15" t="s">
        <v>440</v>
      </c>
      <c r="B18" s="17" t="n">
        <v>5532</v>
      </c>
      <c r="C18" s="18">
        <f>(4852.0/B18*100)</f>
        <v/>
      </c>
      <c r="D18" s="19" t="n">
        <v>680</v>
      </c>
      <c r="E18" s="18" t="n">
        <v>15.99574878</v>
      </c>
      <c r="F18" s="20" t="n">
        <v>2.46064761</v>
      </c>
      <c r="G18" s="18" t="n">
        <v>80.92298812999999</v>
      </c>
      <c r="H18" s="20" t="n">
        <v>2.61080637</v>
      </c>
      <c r="I18" s="18" t="n">
        <v>0</v>
      </c>
      <c r="J18" s="20" t="n">
        <v>0</v>
      </c>
      <c r="K18" s="18" t="n">
        <v>0.91788107</v>
      </c>
      <c r="L18" s="20" t="n">
        <v>0.36824919</v>
      </c>
      <c r="M18" s="18" t="n">
        <v>0</v>
      </c>
      <c r="N18" s="20" t="n">
        <v>0</v>
      </c>
      <c r="O18" s="18" t="n">
        <v>0</v>
      </c>
      <c r="P18" s="20" t="n">
        <v>0</v>
      </c>
      <c r="Q18" s="18" t="n">
        <v>2.16338203</v>
      </c>
      <c r="R18" s="20" t="n">
        <v>0.64122133</v>
      </c>
    </row>
    <row r="19" spans="1:18">
      <c r="A19" s="15" t="s">
        <v>441</v>
      </c>
      <c r="B19" s="17" t="n">
        <v>5658</v>
      </c>
      <c r="C19" s="18">
        <f>(4972.0/B19*100)</f>
        <v/>
      </c>
      <c r="D19" s="19" t="n">
        <v>686</v>
      </c>
      <c r="E19" s="18" t="n">
        <v>14.08108799</v>
      </c>
      <c r="F19" s="20" t="n">
        <v>1.67947584</v>
      </c>
      <c r="G19" s="18" t="n">
        <v>85.21348362000001</v>
      </c>
      <c r="H19" s="20" t="n">
        <v>1.73794428</v>
      </c>
      <c r="I19" s="18" t="n">
        <v>0</v>
      </c>
      <c r="J19" s="20" t="n">
        <v>0</v>
      </c>
      <c r="K19" s="18" t="n">
        <v>0.12717415</v>
      </c>
      <c r="L19" s="20" t="n">
        <v>0.13538827</v>
      </c>
      <c r="M19" s="18" t="n">
        <v>0</v>
      </c>
      <c r="N19" s="20" t="n">
        <v>0</v>
      </c>
      <c r="O19" s="18" t="n">
        <v>0</v>
      </c>
      <c r="P19" s="20" t="n">
        <v>0</v>
      </c>
      <c r="Q19" s="18" t="n">
        <v>0.57825424</v>
      </c>
      <c r="R19" s="20" t="n">
        <v>0.45105566</v>
      </c>
    </row>
    <row r="20" spans="1:18">
      <c r="A20" s="15" t="s">
        <v>442</v>
      </c>
      <c r="B20" s="17" t="n">
        <v>3371</v>
      </c>
      <c r="C20" s="18">
        <f>(2959.0/B20*100)</f>
        <v/>
      </c>
      <c r="D20" s="19" t="n">
        <v>412</v>
      </c>
      <c r="E20" s="18" t="n">
        <v>17.28002671</v>
      </c>
      <c r="F20" s="20" t="n">
        <v>1.91720724</v>
      </c>
      <c r="G20" s="18" t="n">
        <v>80.45511763</v>
      </c>
      <c r="H20" s="20" t="n">
        <v>1.85762503</v>
      </c>
      <c r="I20" s="18" t="n">
        <v>0</v>
      </c>
      <c r="J20" s="20" t="n">
        <v>0</v>
      </c>
      <c r="K20" s="18" t="n">
        <v>0.4458281</v>
      </c>
      <c r="L20" s="20" t="n">
        <v>0.31987909</v>
      </c>
      <c r="M20" s="18" t="n">
        <v>0</v>
      </c>
      <c r="N20" s="20" t="n">
        <v>0</v>
      </c>
      <c r="O20" s="18" t="n">
        <v>0</v>
      </c>
      <c r="P20" s="20" t="n">
        <v>0</v>
      </c>
      <c r="Q20" s="18" t="n">
        <v>1.81902756</v>
      </c>
      <c r="R20" s="20" t="n">
        <v>0.54932425</v>
      </c>
    </row>
    <row r="21" spans="1:18">
      <c r="A21" s="15" t="s">
        <v>443</v>
      </c>
      <c r="B21" s="17" t="n">
        <v>5741</v>
      </c>
      <c r="C21" s="18">
        <f>(4800.0/B21*100)</f>
        <v/>
      </c>
      <c r="D21" s="19" t="n">
        <v>941</v>
      </c>
      <c r="E21" s="18" t="n">
        <v>8.623672210000001</v>
      </c>
      <c r="F21" s="20" t="n">
        <v>1.14213961</v>
      </c>
      <c r="G21" s="18" t="n">
        <v>90.65027643000001</v>
      </c>
      <c r="H21" s="20" t="n">
        <v>1.18570305</v>
      </c>
      <c r="I21" s="18" t="n">
        <v>0</v>
      </c>
      <c r="J21" s="20" t="n">
        <v>0</v>
      </c>
      <c r="K21" s="18" t="n">
        <v>0.20486437</v>
      </c>
      <c r="L21" s="20" t="n">
        <v>0.13038205</v>
      </c>
      <c r="M21" s="18" t="n">
        <v>0</v>
      </c>
      <c r="N21" s="20" t="n">
        <v>0</v>
      </c>
      <c r="O21" s="18" t="n">
        <v>0</v>
      </c>
      <c r="P21" s="20" t="n">
        <v>0</v>
      </c>
      <c r="Q21" s="18" t="n">
        <v>0.52118699</v>
      </c>
      <c r="R21" s="20" t="n">
        <v>0.26031083</v>
      </c>
    </row>
    <row r="22" spans="1:18">
      <c r="A22" s="15" t="s">
        <v>444</v>
      </c>
      <c r="B22" s="17" t="n">
        <v>6598</v>
      </c>
      <c r="C22" s="18">
        <f>(5877.0/B22*100)</f>
        <v/>
      </c>
      <c r="D22" s="19" t="n">
        <v>721</v>
      </c>
      <c r="E22" s="18" t="n">
        <v>12.26116489</v>
      </c>
      <c r="F22" s="20" t="n">
        <v>1.14835233</v>
      </c>
      <c r="G22" s="18" t="n">
        <v>84.57891853</v>
      </c>
      <c r="H22" s="20" t="n">
        <v>1.34300495</v>
      </c>
      <c r="I22" s="18" t="n">
        <v>0</v>
      </c>
      <c r="J22" s="20" t="n">
        <v>0</v>
      </c>
      <c r="K22" s="18" t="n">
        <v>0.99827279</v>
      </c>
      <c r="L22" s="20" t="n">
        <v>0.42927924</v>
      </c>
      <c r="M22" s="18" t="n">
        <v>0</v>
      </c>
      <c r="N22" s="20" t="n">
        <v>0</v>
      </c>
      <c r="O22" s="18" t="n">
        <v>0</v>
      </c>
      <c r="P22" s="20" t="n">
        <v>0</v>
      </c>
      <c r="Q22" s="18" t="n">
        <v>2.16164379</v>
      </c>
      <c r="R22" s="20" t="n">
        <v>0.61724433</v>
      </c>
    </row>
    <row r="23" spans="1:18">
      <c r="A23" s="15" t="s">
        <v>445</v>
      </c>
      <c r="B23" s="17" t="n">
        <v>11583</v>
      </c>
      <c r="C23" s="18">
        <f>(10182.0/B23*100)</f>
        <v/>
      </c>
      <c r="D23" s="19" t="n">
        <v>1401</v>
      </c>
      <c r="E23" s="18" t="n">
        <v>10.73560248</v>
      </c>
      <c r="F23" s="20" t="n">
        <v>1.38506054</v>
      </c>
      <c r="G23" s="18" t="n">
        <v>87.60336002</v>
      </c>
      <c r="H23" s="20" t="n">
        <v>1.51523291</v>
      </c>
      <c r="I23" s="18" t="n">
        <v>0</v>
      </c>
      <c r="J23" s="20" t="n">
        <v>0</v>
      </c>
      <c r="K23" s="18" t="n">
        <v>0.9396977</v>
      </c>
      <c r="L23" s="20" t="n">
        <v>0.43281702</v>
      </c>
      <c r="M23" s="18" t="n">
        <v>0</v>
      </c>
      <c r="N23" s="20" t="n">
        <v>0</v>
      </c>
      <c r="O23" s="18" t="n">
        <v>0</v>
      </c>
      <c r="P23" s="20" t="n">
        <v>0</v>
      </c>
      <c r="Q23" s="18" t="n">
        <v>0.72133981</v>
      </c>
      <c r="R23" s="20" t="n">
        <v>0.30651078</v>
      </c>
    </row>
    <row r="24" spans="1:18">
      <c r="A24" s="15" t="s">
        <v>446</v>
      </c>
      <c r="B24" s="17" t="n">
        <v>6647</v>
      </c>
      <c r="C24" s="18">
        <f>(5823.0/B24*100)</f>
        <v/>
      </c>
      <c r="D24" s="19" t="n">
        <v>824</v>
      </c>
      <c r="E24" s="18" t="n">
        <v>21.29553554</v>
      </c>
      <c r="F24" s="20" t="n">
        <v>1.62685975</v>
      </c>
      <c r="G24" s="18" t="n">
        <v>77.5998637</v>
      </c>
      <c r="H24" s="20" t="n">
        <v>1.6066434</v>
      </c>
      <c r="I24" s="18" t="n">
        <v>0</v>
      </c>
      <c r="J24" s="20" t="n">
        <v>0</v>
      </c>
      <c r="K24" s="18" t="n">
        <v>0.44255527</v>
      </c>
      <c r="L24" s="20" t="n">
        <v>0.22120491</v>
      </c>
      <c r="M24" s="18" t="n">
        <v>0</v>
      </c>
      <c r="N24" s="20" t="n">
        <v>0</v>
      </c>
      <c r="O24" s="18" t="n">
        <v>0</v>
      </c>
      <c r="P24" s="20" t="n">
        <v>0</v>
      </c>
      <c r="Q24" s="18" t="n">
        <v>0.66204549</v>
      </c>
      <c r="R24" s="20" t="n">
        <v>0.30200071</v>
      </c>
    </row>
    <row r="25" spans="1:18">
      <c r="A25" s="15" t="s">
        <v>447</v>
      </c>
      <c r="B25" s="17" t="n">
        <v>5581</v>
      </c>
      <c r="C25" s="18">
        <f>(4885.0/B25*100)</f>
        <v/>
      </c>
      <c r="D25" s="19" t="n">
        <v>696</v>
      </c>
      <c r="E25" s="18" t="n">
        <v>7.6412525</v>
      </c>
      <c r="F25" s="20" t="n">
        <v>0.9871203200000001</v>
      </c>
      <c r="G25" s="18" t="n">
        <v>91.54121936999999</v>
      </c>
      <c r="H25" s="20" t="n">
        <v>0.99557056</v>
      </c>
      <c r="I25" s="18" t="n">
        <v>0</v>
      </c>
      <c r="J25" s="20" t="n">
        <v>0</v>
      </c>
      <c r="K25" s="18" t="n">
        <v>0.1442046</v>
      </c>
      <c r="L25" s="20" t="n">
        <v>0.14419295</v>
      </c>
      <c r="M25" s="18" t="n">
        <v>0</v>
      </c>
      <c r="N25" s="20" t="n">
        <v>0</v>
      </c>
      <c r="O25" s="18" t="n">
        <v>0</v>
      </c>
      <c r="P25" s="20" t="n">
        <v>0</v>
      </c>
      <c r="Q25" s="18" t="n">
        <v>0.67332352</v>
      </c>
      <c r="R25" s="20" t="n">
        <v>0.30422097</v>
      </c>
    </row>
    <row r="26" spans="1:18">
      <c r="A26" s="15" t="s">
        <v>448</v>
      </c>
      <c r="B26" s="17" t="n">
        <v>4869</v>
      </c>
      <c r="C26" s="18">
        <f>(4280.0/B26*100)</f>
        <v/>
      </c>
      <c r="D26" s="19" t="n">
        <v>589</v>
      </c>
      <c r="E26" s="18" t="n">
        <v>18.81094795</v>
      </c>
      <c r="F26" s="20" t="n">
        <v>1.99118689</v>
      </c>
      <c r="G26" s="18" t="n">
        <v>80.55514361</v>
      </c>
      <c r="H26" s="20" t="n">
        <v>2.01654145</v>
      </c>
      <c r="I26" s="18" t="n">
        <v>0</v>
      </c>
      <c r="J26" s="20" t="n">
        <v>0</v>
      </c>
      <c r="K26" s="18" t="n">
        <v>0.30140569</v>
      </c>
      <c r="L26" s="20" t="n">
        <v>0.21633709</v>
      </c>
      <c r="M26" s="18" t="n">
        <v>0</v>
      </c>
      <c r="N26" s="20" t="n">
        <v>0</v>
      </c>
      <c r="O26" s="18" t="n">
        <v>0</v>
      </c>
      <c r="P26" s="20" t="n">
        <v>0</v>
      </c>
      <c r="Q26" s="18" t="n">
        <v>0.33250275</v>
      </c>
      <c r="R26" s="20" t="n">
        <v>0.23120913</v>
      </c>
    </row>
    <row r="27" spans="1:18">
      <c r="A27" s="15" t="s">
        <v>449</v>
      </c>
      <c r="B27" s="17" t="n">
        <v>5299</v>
      </c>
      <c r="C27" s="18">
        <f>(4649.0/B27*100)</f>
        <v/>
      </c>
      <c r="D27" s="19" t="n">
        <v>650</v>
      </c>
      <c r="E27" s="18" t="n">
        <v>25.00482248</v>
      </c>
      <c r="F27" s="20" t="n">
        <v>1.58703488</v>
      </c>
      <c r="G27" s="18" t="n">
        <v>71.83903373</v>
      </c>
      <c r="H27" s="20" t="n">
        <v>1.6668689</v>
      </c>
      <c r="I27" s="18" t="n">
        <v>0</v>
      </c>
      <c r="J27" s="20" t="n">
        <v>0</v>
      </c>
      <c r="K27" s="18" t="n">
        <v>0.7856829400000001</v>
      </c>
      <c r="L27" s="20" t="n">
        <v>0.35110778</v>
      </c>
      <c r="M27" s="18" t="n">
        <v>0</v>
      </c>
      <c r="N27" s="20" t="n">
        <v>0</v>
      </c>
      <c r="O27" s="18" t="n">
        <v>0</v>
      </c>
      <c r="P27" s="20" t="n">
        <v>0</v>
      </c>
      <c r="Q27" s="18" t="n">
        <v>2.37046085</v>
      </c>
      <c r="R27" s="20" t="n">
        <v>0.61698781</v>
      </c>
    </row>
    <row r="28" spans="1:18">
      <c r="A28" s="15" t="s">
        <v>450</v>
      </c>
      <c r="B28" s="17" t="n">
        <v>7568</v>
      </c>
      <c r="C28" s="18">
        <f>(6723.0/B28*100)</f>
        <v/>
      </c>
      <c r="D28" s="19" t="n">
        <v>845</v>
      </c>
      <c r="E28" s="18" t="n">
        <v>15.58019116</v>
      </c>
      <c r="F28" s="20" t="n">
        <v>1.4445042</v>
      </c>
      <c r="G28" s="18" t="n">
        <v>83.45720713</v>
      </c>
      <c r="H28" s="20" t="n">
        <v>1.49591913</v>
      </c>
      <c r="I28" s="18" t="n">
        <v>0</v>
      </c>
      <c r="J28" s="20" t="n">
        <v>0</v>
      </c>
      <c r="K28" s="18" t="n">
        <v>0.40625202</v>
      </c>
      <c r="L28" s="20" t="n">
        <v>0.19493324</v>
      </c>
      <c r="M28" s="18" t="n">
        <v>0</v>
      </c>
      <c r="N28" s="20" t="n">
        <v>0</v>
      </c>
      <c r="O28" s="18" t="n">
        <v>0</v>
      </c>
      <c r="P28" s="20" t="n">
        <v>0</v>
      </c>
      <c r="Q28" s="18" t="n">
        <v>0.55634969</v>
      </c>
      <c r="R28" s="20" t="n">
        <v>0.31477007</v>
      </c>
    </row>
    <row r="29" spans="1:18">
      <c r="A29" s="15" t="s">
        <v>451</v>
      </c>
      <c r="B29" s="17" t="n">
        <v>5385</v>
      </c>
      <c r="C29" s="18">
        <f>(4727.0/B29*100)</f>
        <v/>
      </c>
      <c r="D29" s="19" t="n">
        <v>658</v>
      </c>
      <c r="E29" s="18" t="n">
        <v>30.80804204</v>
      </c>
      <c r="F29" s="20" t="n">
        <v>1.91906401</v>
      </c>
      <c r="G29" s="18" t="n">
        <v>68.39705078</v>
      </c>
      <c r="H29" s="20" t="n">
        <v>1.96673784</v>
      </c>
      <c r="I29" s="18" t="n">
        <v>0</v>
      </c>
      <c r="J29" s="20" t="n">
        <v>0</v>
      </c>
      <c r="K29" s="18" t="n">
        <v>0.15596602</v>
      </c>
      <c r="L29" s="20" t="n">
        <v>0.16642147</v>
      </c>
      <c r="M29" s="18" t="n">
        <v>0</v>
      </c>
      <c r="N29" s="20" t="n">
        <v>0</v>
      </c>
      <c r="O29" s="18" t="n">
        <v>0</v>
      </c>
      <c r="P29" s="20" t="n">
        <v>0</v>
      </c>
      <c r="Q29" s="18" t="n">
        <v>0.63894116</v>
      </c>
      <c r="R29" s="20" t="n">
        <v>0.37212561</v>
      </c>
    </row>
    <row r="30" spans="1:18">
      <c r="A30" s="15" t="s">
        <v>452</v>
      </c>
      <c r="B30" s="17" t="n">
        <v>4520</v>
      </c>
      <c r="C30" s="18">
        <f>(3971.0/B30*100)</f>
        <v/>
      </c>
      <c r="D30" s="19" t="n">
        <v>549</v>
      </c>
      <c r="E30" s="18" t="n">
        <v>12.656919</v>
      </c>
      <c r="F30" s="20" t="n">
        <v>1.33968456</v>
      </c>
      <c r="G30" s="18" t="n">
        <v>84.36984062000001</v>
      </c>
      <c r="H30" s="20" t="n">
        <v>1.56361818</v>
      </c>
      <c r="I30" s="18" t="n">
        <v>0</v>
      </c>
      <c r="J30" s="20" t="n">
        <v>0</v>
      </c>
      <c r="K30" s="18" t="n">
        <v>1.98042387</v>
      </c>
      <c r="L30" s="20" t="n">
        <v>0.8532829199999999</v>
      </c>
      <c r="M30" s="18" t="n">
        <v>0</v>
      </c>
      <c r="N30" s="20" t="n">
        <v>0</v>
      </c>
      <c r="O30" s="18" t="n">
        <v>0</v>
      </c>
      <c r="P30" s="20" t="n">
        <v>0</v>
      </c>
      <c r="Q30" s="18" t="n">
        <v>0.99281651</v>
      </c>
      <c r="R30" s="20" t="n">
        <v>0.40017461</v>
      </c>
    </row>
    <row r="31" spans="1:18">
      <c r="A31" s="15" t="s">
        <v>453</v>
      </c>
      <c r="B31" s="17" t="n">
        <v>5456</v>
      </c>
      <c r="C31" s="18">
        <f>(4775.0/B31*100)</f>
        <v/>
      </c>
      <c r="D31" s="19" t="n">
        <v>681</v>
      </c>
      <c r="E31" s="18" t="n">
        <v>8.19699396</v>
      </c>
      <c r="F31" s="20" t="n">
        <v>1.17818123</v>
      </c>
      <c r="G31" s="18" t="n">
        <v>90.00072326999999</v>
      </c>
      <c r="H31" s="20" t="n">
        <v>1.26748945</v>
      </c>
      <c r="I31" s="18" t="n">
        <v>0</v>
      </c>
      <c r="J31" s="20" t="n">
        <v>0</v>
      </c>
      <c r="K31" s="18" t="n">
        <v>0.80805215</v>
      </c>
      <c r="L31" s="20" t="n">
        <v>0.32697809</v>
      </c>
      <c r="M31" s="18" t="n">
        <v>0</v>
      </c>
      <c r="N31" s="20" t="n">
        <v>0</v>
      </c>
      <c r="O31" s="18" t="n">
        <v>0</v>
      </c>
      <c r="P31" s="20" t="n">
        <v>0</v>
      </c>
      <c r="Q31" s="18" t="n">
        <v>0.99423061</v>
      </c>
      <c r="R31" s="20" t="n">
        <v>0.36803776</v>
      </c>
    </row>
    <row r="32" spans="1:18">
      <c r="A32" s="15" t="s">
        <v>454</v>
      </c>
      <c r="B32" s="17" t="n">
        <v>4478</v>
      </c>
      <c r="C32" s="18">
        <f>(3739.0/B32*100)</f>
        <v/>
      </c>
      <c r="D32" s="19" t="n">
        <v>739</v>
      </c>
      <c r="E32" s="18" t="n">
        <v>8.69107528</v>
      </c>
      <c r="F32" s="20" t="n">
        <v>1.05788361</v>
      </c>
      <c r="G32" s="18" t="n">
        <v>90.09139273</v>
      </c>
      <c r="H32" s="20" t="n">
        <v>1.14187189</v>
      </c>
      <c r="I32" s="18" t="n">
        <v>0</v>
      </c>
      <c r="J32" s="20" t="n">
        <v>0</v>
      </c>
      <c r="K32" s="18" t="n">
        <v>0.24631042</v>
      </c>
      <c r="L32" s="20" t="n">
        <v>0.1735207</v>
      </c>
      <c r="M32" s="18" t="n">
        <v>0</v>
      </c>
      <c r="N32" s="20" t="n">
        <v>0</v>
      </c>
      <c r="O32" s="18" t="n">
        <v>0</v>
      </c>
      <c r="P32" s="20" t="n">
        <v>0</v>
      </c>
      <c r="Q32" s="18" t="n">
        <v>0.97122157</v>
      </c>
      <c r="R32" s="20" t="n">
        <v>0.41344882</v>
      </c>
    </row>
    <row r="33" spans="1:18">
      <c r="A33" s="15" t="s">
        <v>455</v>
      </c>
      <c r="B33" s="17" t="n">
        <v>7325</v>
      </c>
      <c r="C33" s="18">
        <f>(6440.0/B33*100)</f>
        <v/>
      </c>
      <c r="D33" s="19" t="n">
        <v>885</v>
      </c>
      <c r="E33" s="18" t="n">
        <v>11.05847858</v>
      </c>
      <c r="F33" s="20" t="n">
        <v>1.5645107</v>
      </c>
      <c r="G33" s="18" t="n">
        <v>87.52319165999999</v>
      </c>
      <c r="H33" s="20" t="n">
        <v>1.65469564</v>
      </c>
      <c r="I33" s="18" t="n">
        <v>0</v>
      </c>
      <c r="J33" s="20" t="n">
        <v>0</v>
      </c>
      <c r="K33" s="18" t="n">
        <v>0.68660831</v>
      </c>
      <c r="L33" s="20" t="n">
        <v>0.40510293</v>
      </c>
      <c r="M33" s="18" t="n">
        <v>0</v>
      </c>
      <c r="N33" s="20" t="n">
        <v>0</v>
      </c>
      <c r="O33" s="18" t="n">
        <v>0</v>
      </c>
      <c r="P33" s="20" t="n">
        <v>0</v>
      </c>
      <c r="Q33" s="18" t="n">
        <v>0.73172145</v>
      </c>
      <c r="R33" s="20" t="n">
        <v>0.32943454</v>
      </c>
    </row>
    <row r="34" spans="1:18">
      <c r="A34" s="15" t="s">
        <v>456</v>
      </c>
      <c r="B34" s="17" t="n">
        <v>6350</v>
      </c>
      <c r="C34" s="18">
        <f>(5589.0/B34*100)</f>
        <v/>
      </c>
      <c r="D34" s="19" t="n">
        <v>761</v>
      </c>
      <c r="E34" s="18" t="n">
        <v>22.97699682</v>
      </c>
      <c r="F34" s="20" t="n">
        <v>1.73849423</v>
      </c>
      <c r="G34" s="18" t="n">
        <v>75.97996883</v>
      </c>
      <c r="H34" s="20" t="n">
        <v>1.7224593</v>
      </c>
      <c r="I34" s="18" t="n">
        <v>0</v>
      </c>
      <c r="J34" s="20" t="n">
        <v>0</v>
      </c>
      <c r="K34" s="18" t="n">
        <v>0.18041667</v>
      </c>
      <c r="L34" s="20" t="n">
        <v>0.10141046</v>
      </c>
      <c r="M34" s="18" t="n">
        <v>0</v>
      </c>
      <c r="N34" s="20" t="n">
        <v>0</v>
      </c>
      <c r="O34" s="18" t="n">
        <v>0</v>
      </c>
      <c r="P34" s="20" t="n">
        <v>0</v>
      </c>
      <c r="Q34" s="18" t="n">
        <v>0.8626176800000001</v>
      </c>
      <c r="R34" s="20" t="n">
        <v>0.39434191</v>
      </c>
    </row>
    <row r="35" spans="1:18">
      <c r="A35" s="15" t="s">
        <v>457</v>
      </c>
      <c r="B35" s="17" t="n">
        <v>6406</v>
      </c>
      <c r="C35" s="18">
        <f>(5619.0/B35*100)</f>
        <v/>
      </c>
      <c r="D35" s="19" t="n">
        <v>787</v>
      </c>
      <c r="E35" s="18" t="n">
        <v>9.85572342</v>
      </c>
      <c r="F35" s="20" t="n">
        <v>1.37727637</v>
      </c>
      <c r="G35" s="18" t="n">
        <v>89.09646082</v>
      </c>
      <c r="H35" s="20" t="n">
        <v>1.42566647</v>
      </c>
      <c r="I35" s="18" t="n">
        <v>0</v>
      </c>
      <c r="J35" s="20" t="n">
        <v>0</v>
      </c>
      <c r="K35" s="18" t="n">
        <v>0.05511524</v>
      </c>
      <c r="L35" s="20" t="n">
        <v>0.05754295</v>
      </c>
      <c r="M35" s="18" t="n">
        <v>0</v>
      </c>
      <c r="N35" s="20" t="n">
        <v>0</v>
      </c>
      <c r="O35" s="18" t="n">
        <v>0</v>
      </c>
      <c r="P35" s="20" t="n">
        <v>0</v>
      </c>
      <c r="Q35" s="18" t="n">
        <v>0.99270052</v>
      </c>
      <c r="R35" s="20" t="n">
        <v>0.29087224</v>
      </c>
    </row>
    <row r="36" spans="1:18">
      <c r="A36" s="15" t="s">
        <v>458</v>
      </c>
      <c r="B36" s="17" t="n">
        <v>6736</v>
      </c>
      <c r="C36" s="18">
        <f>(5913.0/B36*100)</f>
        <v/>
      </c>
      <c r="D36" s="19" t="n">
        <v>823</v>
      </c>
      <c r="E36" s="18" t="n">
        <v>6.96662079</v>
      </c>
      <c r="F36" s="20" t="n">
        <v>1.0173356</v>
      </c>
      <c r="G36" s="18" t="n">
        <v>91.96510257</v>
      </c>
      <c r="H36" s="20" t="n">
        <v>1.04270628</v>
      </c>
      <c r="I36" s="18" t="n">
        <v>0</v>
      </c>
      <c r="J36" s="20" t="n">
        <v>0</v>
      </c>
      <c r="K36" s="18" t="n">
        <v>0.56520921</v>
      </c>
      <c r="L36" s="20" t="n">
        <v>0.17428907</v>
      </c>
      <c r="M36" s="18" t="n">
        <v>0</v>
      </c>
      <c r="N36" s="20" t="n">
        <v>0</v>
      </c>
      <c r="O36" s="18" t="n">
        <v>0</v>
      </c>
      <c r="P36" s="20" t="n">
        <v>0</v>
      </c>
      <c r="Q36" s="18" t="n">
        <v>0.50306743</v>
      </c>
      <c r="R36" s="20" t="n">
        <v>0.24366615</v>
      </c>
    </row>
    <row r="37" spans="1:18">
      <c r="A37" s="15" t="s">
        <v>459</v>
      </c>
      <c r="B37" s="17" t="n">
        <v>5458</v>
      </c>
      <c r="C37" s="18">
        <f>(4810.0/B37*100)</f>
        <v/>
      </c>
      <c r="D37" s="19" t="n">
        <v>648</v>
      </c>
      <c r="E37" s="18" t="n">
        <v>18.702815</v>
      </c>
      <c r="F37" s="20" t="n">
        <v>1.78742801</v>
      </c>
      <c r="G37" s="18" t="n">
        <v>77.93133087</v>
      </c>
      <c r="H37" s="20" t="n">
        <v>1.89592669</v>
      </c>
      <c r="I37" s="18" t="n">
        <v>0</v>
      </c>
      <c r="J37" s="20" t="n">
        <v>0</v>
      </c>
      <c r="K37" s="18" t="n">
        <v>1.46465648</v>
      </c>
      <c r="L37" s="20" t="n">
        <v>0.49357184</v>
      </c>
      <c r="M37" s="18" t="n">
        <v>0</v>
      </c>
      <c r="N37" s="20" t="n">
        <v>0</v>
      </c>
      <c r="O37" s="18" t="n">
        <v>0</v>
      </c>
      <c r="P37" s="20" t="n">
        <v>0</v>
      </c>
      <c r="Q37" s="18" t="n">
        <v>1.90119764</v>
      </c>
      <c r="R37" s="20" t="n">
        <v>0.52200579</v>
      </c>
    </row>
    <row r="38" spans="1:18">
      <c r="A38" s="15" t="s">
        <v>460</v>
      </c>
      <c r="B38" s="17" t="n">
        <v>5860</v>
      </c>
      <c r="C38" s="18">
        <f>(4901.0/B38*100)</f>
        <v/>
      </c>
      <c r="D38" s="19" t="n">
        <v>959</v>
      </c>
      <c r="E38" s="18" t="n">
        <v>21.75261599</v>
      </c>
      <c r="F38" s="20" t="n">
        <v>1.84439906</v>
      </c>
      <c r="G38" s="18" t="n">
        <v>76.09613403</v>
      </c>
      <c r="H38" s="20" t="n">
        <v>1.91166742</v>
      </c>
      <c r="I38" s="18" t="n">
        <v>0</v>
      </c>
      <c r="J38" s="20" t="n">
        <v>0</v>
      </c>
      <c r="K38" s="18" t="n">
        <v>1.25230261</v>
      </c>
      <c r="L38" s="20" t="n">
        <v>0.39957513</v>
      </c>
      <c r="M38" s="18" t="n">
        <v>0</v>
      </c>
      <c r="N38" s="20" t="n">
        <v>0</v>
      </c>
      <c r="O38" s="18" t="n">
        <v>0</v>
      </c>
      <c r="P38" s="20" t="n">
        <v>0</v>
      </c>
      <c r="Q38" s="18" t="n">
        <v>0.89894736</v>
      </c>
      <c r="R38" s="20" t="n">
        <v>0.37961306</v>
      </c>
    </row>
    <row r="39" spans="1:18">
      <c r="A39" s="15" t="s">
        <v>461</v>
      </c>
      <c r="B39" s="17" t="n">
        <v>5895</v>
      </c>
      <c r="C39" s="18">
        <f>(5169.0/B39*100)</f>
        <v/>
      </c>
      <c r="D39" s="19" t="n">
        <v>726</v>
      </c>
      <c r="E39" s="18" t="n">
        <v>26.20036585</v>
      </c>
      <c r="F39" s="20" t="n">
        <v>1.89516348</v>
      </c>
      <c r="G39" s="18" t="n">
        <v>72.1529857</v>
      </c>
      <c r="H39" s="20" t="n">
        <v>2.02942579</v>
      </c>
      <c r="I39" s="18" t="n">
        <v>0</v>
      </c>
      <c r="J39" s="20" t="n">
        <v>0</v>
      </c>
      <c r="K39" s="18" t="n">
        <v>0.27539974</v>
      </c>
      <c r="L39" s="20" t="n">
        <v>0.19281364</v>
      </c>
      <c r="M39" s="18" t="n">
        <v>0</v>
      </c>
      <c r="N39" s="20" t="n">
        <v>0</v>
      </c>
      <c r="O39" s="18" t="n">
        <v>0</v>
      </c>
      <c r="P39" s="20" t="n">
        <v>0</v>
      </c>
      <c r="Q39" s="18" t="n">
        <v>1.3712487</v>
      </c>
      <c r="R39" s="20" t="n">
        <v>0.49627797</v>
      </c>
    </row>
    <row r="40" spans="1:18">
      <c r="A40" s="15" t="s">
        <v>462</v>
      </c>
      <c r="B40" s="17" t="n">
        <v>14157</v>
      </c>
      <c r="C40" s="18">
        <f>(12436.0/B40*100)</f>
        <v/>
      </c>
      <c r="D40" s="19" t="n">
        <v>1721</v>
      </c>
      <c r="E40" s="18" t="n">
        <v>11.71071278</v>
      </c>
      <c r="F40" s="20" t="n">
        <v>1.25911392</v>
      </c>
      <c r="G40" s="18" t="n">
        <v>87.13601572</v>
      </c>
      <c r="H40" s="20" t="n">
        <v>1.26155759</v>
      </c>
      <c r="I40" s="18" t="n">
        <v>0</v>
      </c>
      <c r="J40" s="20" t="n">
        <v>0</v>
      </c>
      <c r="K40" s="18" t="n">
        <v>0.51016943</v>
      </c>
      <c r="L40" s="20" t="n">
        <v>0.19044436</v>
      </c>
      <c r="M40" s="18" t="n">
        <v>0</v>
      </c>
      <c r="N40" s="20" t="n">
        <v>0</v>
      </c>
      <c r="O40" s="18" t="n">
        <v>0</v>
      </c>
      <c r="P40" s="20" t="n">
        <v>0</v>
      </c>
      <c r="Q40" s="18" t="n">
        <v>0.64310207</v>
      </c>
      <c r="R40" s="20" t="n">
        <v>0.27806509</v>
      </c>
    </row>
    <row r="41" spans="1:18">
      <c r="A41" s="15" t="s">
        <v>463</v>
      </c>
      <c r="B41" s="17" t="n">
        <v>5712</v>
      </c>
      <c r="C41" s="18">
        <f>(5041.0/B41*100)</f>
        <v/>
      </c>
      <c r="D41" s="19" t="n">
        <v>671</v>
      </c>
      <c r="E41" s="18" t="n">
        <v>15.21206333</v>
      </c>
      <c r="F41" s="20" t="n">
        <v>1.58604711</v>
      </c>
      <c r="G41" s="18" t="n">
        <v>83.814904</v>
      </c>
      <c r="H41" s="20" t="n">
        <v>1.65283746</v>
      </c>
      <c r="I41" s="18" t="n">
        <v>0</v>
      </c>
      <c r="J41" s="20" t="n">
        <v>0</v>
      </c>
      <c r="K41" s="18" t="n">
        <v>0.82593028</v>
      </c>
      <c r="L41" s="20" t="n">
        <v>0.33052688</v>
      </c>
      <c r="M41" s="18" t="n">
        <v>0</v>
      </c>
      <c r="N41" s="20" t="n">
        <v>0</v>
      </c>
      <c r="O41" s="18" t="n">
        <v>0</v>
      </c>
      <c r="P41" s="20" t="n">
        <v>0</v>
      </c>
      <c r="Q41" s="18" t="n">
        <v>0.14710239</v>
      </c>
      <c r="R41" s="20" t="n">
        <v>0.14258273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(20769.0/B46*100)</f>
        <v/>
      </c>
      <c r="D46" s="19" t="n">
        <v>2372</v>
      </c>
      <c r="E46" s="18" t="n">
        <v>27.57946089</v>
      </c>
      <c r="F46" s="20" t="n">
        <v>1.52903114</v>
      </c>
      <c r="G46" s="18" t="n">
        <v>69.99778089</v>
      </c>
      <c r="H46" s="20" t="n">
        <v>1.59086396</v>
      </c>
      <c r="I46" s="18" t="n">
        <v>0</v>
      </c>
      <c r="J46" s="20" t="n">
        <v>0</v>
      </c>
      <c r="K46" s="18" t="n">
        <v>1.21431711</v>
      </c>
      <c r="L46" s="20" t="n">
        <v>0.35139816</v>
      </c>
      <c r="M46" s="18" t="n">
        <v>0</v>
      </c>
      <c r="N46" s="20" t="n">
        <v>0</v>
      </c>
      <c r="O46" s="18" t="n">
        <v>0</v>
      </c>
      <c r="P46" s="20" t="n">
        <v>0</v>
      </c>
      <c r="Q46" s="18" t="n">
        <v>1.2084411</v>
      </c>
      <c r="R46" s="20" t="n">
        <v>0.28535436</v>
      </c>
    </row>
    <row r="47" spans="1:18">
      <c r="A47" s="15" t="s">
        <v>470</v>
      </c>
      <c r="B47" s="17" t="n">
        <v>5928</v>
      </c>
      <c r="C47" s="18">
        <f>(5226.0/B47*100)</f>
        <v/>
      </c>
      <c r="D47" s="19" t="n">
        <v>702</v>
      </c>
      <c r="E47" s="18" t="n">
        <v>30.92701708</v>
      </c>
      <c r="F47" s="20" t="n">
        <v>1.98989125</v>
      </c>
      <c r="G47" s="18" t="n">
        <v>65.25347859</v>
      </c>
      <c r="H47" s="20" t="n">
        <v>2.06065119</v>
      </c>
      <c r="I47" s="18" t="n">
        <v>0</v>
      </c>
      <c r="J47" s="20" t="n">
        <v>0</v>
      </c>
      <c r="K47" s="18" t="n">
        <v>0.98440545</v>
      </c>
      <c r="L47" s="20" t="n">
        <v>0.42376089</v>
      </c>
      <c r="M47" s="18" t="n">
        <v>0</v>
      </c>
      <c r="N47" s="20" t="n">
        <v>0</v>
      </c>
      <c r="O47" s="18" t="n">
        <v>0</v>
      </c>
      <c r="P47" s="20" t="n">
        <v>0</v>
      </c>
      <c r="Q47" s="18" t="n">
        <v>2.83509888</v>
      </c>
      <c r="R47" s="20" t="n">
        <v>0.69818993</v>
      </c>
    </row>
    <row r="48" spans="1:18">
      <c r="A48" s="15" t="s">
        <v>471</v>
      </c>
      <c r="B48" s="17" t="n">
        <v>9841</v>
      </c>
      <c r="C48" s="18">
        <f>(8594.0/B48*100)</f>
        <v/>
      </c>
      <c r="D48" s="19" t="n">
        <v>1247</v>
      </c>
      <c r="E48" s="18" t="n">
        <v>21.30396464</v>
      </c>
      <c r="F48" s="20" t="n">
        <v>1.50937576</v>
      </c>
      <c r="G48" s="18" t="n">
        <v>77.48345141</v>
      </c>
      <c r="H48" s="20" t="n">
        <v>1.58543554</v>
      </c>
      <c r="I48" s="18" t="n">
        <v>0</v>
      </c>
      <c r="J48" s="20" t="n">
        <v>0</v>
      </c>
      <c r="K48" s="18" t="n">
        <v>0.66088947</v>
      </c>
      <c r="L48" s="20" t="n">
        <v>0.30305536</v>
      </c>
      <c r="M48" s="18" t="n">
        <v>0</v>
      </c>
      <c r="N48" s="20" t="n">
        <v>0</v>
      </c>
      <c r="O48" s="18" t="n">
        <v>0</v>
      </c>
      <c r="P48" s="20" t="n">
        <v>0</v>
      </c>
      <c r="Q48" s="18" t="n">
        <v>0.55169447</v>
      </c>
      <c r="R48" s="20" t="n">
        <v>0.30214206</v>
      </c>
    </row>
    <row r="49" spans="1:18">
      <c r="A49" s="15" t="s">
        <v>472</v>
      </c>
      <c r="B49" s="17" t="n">
        <v>11795</v>
      </c>
      <c r="C49" s="18">
        <f>(10407.0/B49*100)</f>
        <v/>
      </c>
      <c r="D49" s="19" t="n">
        <v>1388</v>
      </c>
      <c r="E49" s="18" t="n">
        <v>26.3943457</v>
      </c>
      <c r="F49" s="20" t="n">
        <v>1.93575521</v>
      </c>
      <c r="G49" s="18" t="n">
        <v>69.05687078</v>
      </c>
      <c r="H49" s="20" t="n">
        <v>1.90534792</v>
      </c>
      <c r="I49" s="18" t="n">
        <v>0</v>
      </c>
      <c r="J49" s="20" t="n">
        <v>0</v>
      </c>
      <c r="K49" s="18" t="n">
        <v>2.09477957</v>
      </c>
      <c r="L49" s="20" t="n">
        <v>0.50072182</v>
      </c>
      <c r="M49" s="18" t="n">
        <v>0</v>
      </c>
      <c r="N49" s="20" t="n">
        <v>0</v>
      </c>
      <c r="O49" s="18" t="n">
        <v>0</v>
      </c>
      <c r="P49" s="20" t="n">
        <v>0</v>
      </c>
      <c r="Q49" s="18" t="n">
        <v>2.45400395</v>
      </c>
      <c r="R49" s="20" t="n">
        <v>0.53164201</v>
      </c>
    </row>
    <row r="50" spans="1:18">
      <c r="A50" s="15" t="s">
        <v>473</v>
      </c>
      <c r="B50" s="17" t="n">
        <v>6866</v>
      </c>
      <c r="C50" s="18">
        <f>(6169.0/B50*100)</f>
        <v/>
      </c>
      <c r="D50" s="19" t="n">
        <v>697</v>
      </c>
      <c r="E50" s="18" t="n">
        <v>21.14460994</v>
      </c>
      <c r="F50" s="20" t="n">
        <v>1.64022026</v>
      </c>
      <c r="G50" s="18" t="n">
        <v>76.51898977</v>
      </c>
      <c r="H50" s="20" t="n">
        <v>1.76582371</v>
      </c>
      <c r="I50" s="18" t="n">
        <v>0</v>
      </c>
      <c r="J50" s="20" t="n">
        <v>0</v>
      </c>
      <c r="K50" s="18" t="n">
        <v>0.54792484</v>
      </c>
      <c r="L50" s="20" t="n">
        <v>0.31150527</v>
      </c>
      <c r="M50" s="18" t="n">
        <v>0</v>
      </c>
      <c r="N50" s="20" t="n">
        <v>0</v>
      </c>
      <c r="O50" s="18" t="n">
        <v>0</v>
      </c>
      <c r="P50" s="20" t="n">
        <v>0</v>
      </c>
      <c r="Q50" s="18" t="n">
        <v>1.78847545</v>
      </c>
      <c r="R50" s="20" t="n">
        <v>0.50074319</v>
      </c>
    </row>
    <row r="51" spans="1:18">
      <c r="A51" s="15" t="s">
        <v>474</v>
      </c>
      <c r="B51" s="17" t="n">
        <v>5809</v>
      </c>
      <c r="C51" s="18">
        <f>(5090.0/B51*100)</f>
        <v/>
      </c>
      <c r="D51" s="19" t="n">
        <v>719</v>
      </c>
      <c r="E51" s="18" t="n">
        <v>13.56826797</v>
      </c>
      <c r="F51" s="20" t="n">
        <v>1.26979629</v>
      </c>
      <c r="G51" s="18" t="n">
        <v>85.2749776</v>
      </c>
      <c r="H51" s="20" t="n">
        <v>1.33838462</v>
      </c>
      <c r="I51" s="18" t="n">
        <v>0</v>
      </c>
      <c r="J51" s="20" t="n">
        <v>0</v>
      </c>
      <c r="K51" s="18" t="n">
        <v>0.15300346</v>
      </c>
      <c r="L51" s="20" t="n">
        <v>0.15272475</v>
      </c>
      <c r="M51" s="18" t="n">
        <v>0</v>
      </c>
      <c r="N51" s="20" t="n">
        <v>0</v>
      </c>
      <c r="O51" s="18" t="n">
        <v>0</v>
      </c>
      <c r="P51" s="20" t="n">
        <v>0</v>
      </c>
      <c r="Q51" s="18" t="n">
        <v>1.00375097</v>
      </c>
      <c r="R51" s="20" t="n">
        <v>0.32175033</v>
      </c>
    </row>
    <row r="52" spans="1:18">
      <c r="A52" s="15" t="s">
        <v>475</v>
      </c>
      <c r="B52" s="17" t="n">
        <v>5571</v>
      </c>
      <c r="C52" s="18">
        <f>(4898.0/B52*100)</f>
        <v/>
      </c>
      <c r="D52" s="19" t="n">
        <v>673</v>
      </c>
      <c r="E52" s="18" t="n">
        <v>23.91348079</v>
      </c>
      <c r="F52" s="20" t="n">
        <v>1.65348374</v>
      </c>
      <c r="G52" s="18" t="n">
        <v>72.31039428</v>
      </c>
      <c r="H52" s="20" t="n">
        <v>1.71115609</v>
      </c>
      <c r="I52" s="18" t="n">
        <v>0</v>
      </c>
      <c r="J52" s="20" t="n">
        <v>0</v>
      </c>
      <c r="K52" s="18" t="n">
        <v>1.7344159</v>
      </c>
      <c r="L52" s="20" t="n">
        <v>0.50061039</v>
      </c>
      <c r="M52" s="18" t="n">
        <v>0</v>
      </c>
      <c r="N52" s="20" t="n">
        <v>0</v>
      </c>
      <c r="O52" s="18" t="n">
        <v>0</v>
      </c>
      <c r="P52" s="20" t="n">
        <v>0</v>
      </c>
      <c r="Q52" s="18" t="n">
        <v>2.04170903</v>
      </c>
      <c r="R52" s="20" t="n">
        <v>0.5834076500000001</v>
      </c>
    </row>
    <row r="53" spans="1:18">
      <c r="A53" s="15" t="s">
        <v>476</v>
      </c>
      <c r="B53" s="17" t="n">
        <v>4740</v>
      </c>
      <c r="C53" s="18">
        <f>(3945.0/B53*100)</f>
        <v/>
      </c>
      <c r="D53" s="19" t="n">
        <v>795</v>
      </c>
      <c r="E53" s="18" t="n">
        <v>39.10154548</v>
      </c>
      <c r="F53" s="20" t="n">
        <v>1.89599698</v>
      </c>
      <c r="G53" s="18" t="n">
        <v>40.79009788</v>
      </c>
      <c r="H53" s="20" t="n">
        <v>1.78464338</v>
      </c>
      <c r="I53" s="18" t="n">
        <v>0</v>
      </c>
      <c r="J53" s="20" t="n">
        <v>0</v>
      </c>
      <c r="K53" s="18" t="n">
        <v>16.50535914</v>
      </c>
      <c r="L53" s="20" t="n">
        <v>1.50344789</v>
      </c>
      <c r="M53" s="18" t="n">
        <v>0</v>
      </c>
      <c r="N53" s="20" t="n">
        <v>0</v>
      </c>
      <c r="O53" s="18" t="n">
        <v>0</v>
      </c>
      <c r="P53" s="20" t="n">
        <v>0</v>
      </c>
      <c r="Q53" s="18" t="n">
        <v>3.6029975</v>
      </c>
      <c r="R53" s="20" t="n">
        <v>0.64138375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(4692.0/B55*100)</f>
        <v/>
      </c>
      <c r="D55" s="19" t="n">
        <v>667</v>
      </c>
      <c r="E55" s="18" t="n">
        <v>6.60860124</v>
      </c>
      <c r="F55" s="20" t="n">
        <v>1.18797134</v>
      </c>
      <c r="G55" s="18" t="n">
        <v>92.69114937000001</v>
      </c>
      <c r="H55" s="20" t="n">
        <v>1.23590327</v>
      </c>
      <c r="I55" s="18" t="n">
        <v>0</v>
      </c>
      <c r="J55" s="20" t="n">
        <v>0</v>
      </c>
      <c r="K55" s="18" t="n">
        <v>0.21501126</v>
      </c>
      <c r="L55" s="20" t="n">
        <v>0.2099586</v>
      </c>
      <c r="M55" s="18" t="n">
        <v>0</v>
      </c>
      <c r="N55" s="20" t="n">
        <v>0</v>
      </c>
      <c r="O55" s="18" t="n">
        <v>0</v>
      </c>
      <c r="P55" s="20" t="n">
        <v>0</v>
      </c>
      <c r="Q55" s="18" t="n">
        <v>0.48523813</v>
      </c>
      <c r="R55" s="20" t="n">
        <v>0.25309656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16.21208025</v>
      </c>
      <c r="F61" s="20" t="n">
        <v>1.5889315</v>
      </c>
      <c r="G61" s="18" t="n">
        <v>82.60511749</v>
      </c>
      <c r="H61" s="20" t="n">
        <v>1.62183672</v>
      </c>
      <c r="I61" s="18" t="n">
        <v>0</v>
      </c>
      <c r="J61" s="20" t="n">
        <v>0</v>
      </c>
      <c r="K61" s="18" t="n">
        <v>0.43071794</v>
      </c>
      <c r="L61" s="20" t="n">
        <v>0.2304485</v>
      </c>
      <c r="M61" s="18" t="n">
        <v>0</v>
      </c>
      <c r="N61" s="20" t="n">
        <v>0</v>
      </c>
      <c r="O61" s="18" t="n">
        <v>0</v>
      </c>
      <c r="P61" s="20" t="n">
        <v>0</v>
      </c>
      <c r="Q61" s="18" t="n">
        <v>0.75208432</v>
      </c>
      <c r="R61" s="20" t="n">
        <v>0.46565102</v>
      </c>
    </row>
    <row r="62" spans="1:18">
      <c r="A62" s="15" t="s">
        <v>486</v>
      </c>
      <c r="B62" s="17" t="n">
        <v>4476</v>
      </c>
      <c r="C62" s="18">
        <f>(3935.0/B62*100)</f>
        <v/>
      </c>
      <c r="D62" s="19" t="n">
        <v>541</v>
      </c>
      <c r="E62" s="18" t="n">
        <v>9.42750433</v>
      </c>
      <c r="F62" s="20" t="n">
        <v>1.02184255</v>
      </c>
      <c r="G62" s="18" t="n">
        <v>90.38886033</v>
      </c>
      <c r="H62" s="20" t="n">
        <v>1.06866703</v>
      </c>
      <c r="I62" s="18" t="n">
        <v>0</v>
      </c>
      <c r="J62" s="20" t="n">
        <v>0</v>
      </c>
      <c r="K62" s="18" t="n">
        <v>0</v>
      </c>
      <c r="L62" s="20" t="n">
        <v>0</v>
      </c>
      <c r="M62" s="18" t="n">
        <v>0</v>
      </c>
      <c r="N62" s="20" t="n">
        <v>0</v>
      </c>
      <c r="O62" s="18" t="n">
        <v>0</v>
      </c>
      <c r="P62" s="20" t="n">
        <v>0</v>
      </c>
      <c r="Q62" s="18" t="n">
        <v>0.18363534</v>
      </c>
      <c r="R62" s="20" t="n">
        <v>0.18460981</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(4992.0/B67*100)</f>
        <v/>
      </c>
      <c r="D67" s="19" t="n">
        <v>673</v>
      </c>
      <c r="E67" s="18" t="n">
        <v>13.86075739</v>
      </c>
      <c r="F67" s="20" t="n">
        <v>1.52948485</v>
      </c>
      <c r="G67" s="18" t="n">
        <v>80.65716738</v>
      </c>
      <c r="H67" s="20" t="n">
        <v>1.72086689</v>
      </c>
      <c r="I67" s="18" t="n">
        <v>0</v>
      </c>
      <c r="J67" s="20" t="n">
        <v>0</v>
      </c>
      <c r="K67" s="18" t="n">
        <v>1.70199651</v>
      </c>
      <c r="L67" s="20" t="n">
        <v>0.49539609</v>
      </c>
      <c r="M67" s="18" t="n">
        <v>0</v>
      </c>
      <c r="N67" s="20" t="n">
        <v>0</v>
      </c>
      <c r="O67" s="18" t="n">
        <v>0</v>
      </c>
      <c r="P67" s="20" t="n">
        <v>0</v>
      </c>
      <c r="Q67" s="18" t="n">
        <v>3.78007871</v>
      </c>
      <c r="R67" s="20" t="n">
        <v>0.73314489</v>
      </c>
    </row>
    <row r="68" spans="1:18">
      <c r="A68" s="15" t="s">
        <v>492</v>
      </c>
      <c r="B68" s="17" t="n">
        <v>6971</v>
      </c>
      <c r="C68" s="18">
        <f>(6234.0/B68*100)</f>
        <v/>
      </c>
      <c r="D68" s="19" t="n">
        <v>737</v>
      </c>
      <c r="E68" s="18" t="n">
        <v>18.38547381</v>
      </c>
      <c r="F68" s="20" t="n">
        <v>1.54280669</v>
      </c>
      <c r="G68" s="18" t="n">
        <v>80.19983968</v>
      </c>
      <c r="H68" s="20" t="n">
        <v>1.58956361</v>
      </c>
      <c r="I68" s="18" t="n">
        <v>0</v>
      </c>
      <c r="J68" s="20" t="n">
        <v>0</v>
      </c>
      <c r="K68" s="18" t="n">
        <v>0.43728976</v>
      </c>
      <c r="L68" s="20" t="n">
        <v>0.25893469</v>
      </c>
      <c r="M68" s="18" t="n">
        <v>0</v>
      </c>
      <c r="N68" s="20" t="n">
        <v>0</v>
      </c>
      <c r="O68" s="18" t="n">
        <v>0</v>
      </c>
      <c r="P68" s="20" t="n">
        <v>0</v>
      </c>
      <c r="Q68" s="18" t="n">
        <v>0.97739675</v>
      </c>
      <c r="R68" s="20" t="n">
        <v>0.34477904</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(10072.0/B70*100)</f>
        <v/>
      </c>
      <c r="D70" s="19" t="n">
        <v>2011</v>
      </c>
      <c r="E70" s="18" t="n">
        <v>36.43602669</v>
      </c>
      <c r="F70" s="20" t="n">
        <v>1.0891747</v>
      </c>
      <c r="G70" s="18" t="n">
        <v>55.83416736</v>
      </c>
      <c r="H70" s="20" t="n">
        <v>1.10276945</v>
      </c>
      <c r="I70" s="18" t="n">
        <v>0</v>
      </c>
      <c r="J70" s="20" t="n">
        <v>0</v>
      </c>
      <c r="K70" s="18" t="n">
        <v>3.55477957</v>
      </c>
      <c r="L70" s="20" t="n">
        <v>0.40021659</v>
      </c>
      <c r="M70" s="18" t="n">
        <v>0</v>
      </c>
      <c r="N70" s="20" t="n">
        <v>0</v>
      </c>
      <c r="O70" s="18" t="n">
        <v>0</v>
      </c>
      <c r="P70" s="20" t="n">
        <v>0</v>
      </c>
      <c r="Q70" s="18" t="n">
        <v>4.17502638</v>
      </c>
      <c r="R70" s="20" t="n">
        <v>0.4542512</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(5325.0/B72*100)</f>
        <v/>
      </c>
      <c r="D72" s="19" t="n">
        <v>711</v>
      </c>
      <c r="E72" s="18" t="n">
        <v>18.51863677</v>
      </c>
      <c r="F72" s="20" t="n">
        <v>2.1238883</v>
      </c>
      <c r="G72" s="18" t="n">
        <v>78.98512979</v>
      </c>
      <c r="H72" s="20" t="n">
        <v>2.21964121</v>
      </c>
      <c r="I72" s="18" t="n">
        <v>0</v>
      </c>
      <c r="J72" s="20" t="n">
        <v>0</v>
      </c>
      <c r="K72" s="18" t="n">
        <v>0.48029606</v>
      </c>
      <c r="L72" s="20" t="n">
        <v>0.24432248</v>
      </c>
      <c r="M72" s="18" t="n">
        <v>0</v>
      </c>
      <c r="N72" s="20" t="n">
        <v>0</v>
      </c>
      <c r="O72" s="18" t="n">
        <v>0</v>
      </c>
      <c r="P72" s="20" t="n">
        <v>0</v>
      </c>
      <c r="Q72" s="18" t="n">
        <v>2.01593737</v>
      </c>
      <c r="R72" s="20" t="n">
        <v>0.63465242</v>
      </c>
    </row>
    <row r="73" spans="1:18">
      <c r="A73" s="15" t="s">
        <v>497</v>
      </c>
      <c r="B73" s="17" t="n">
        <v>6115</v>
      </c>
      <c r="C73" s="18">
        <f>(5356.0/B73*100)</f>
        <v/>
      </c>
      <c r="D73" s="19" t="n">
        <v>759</v>
      </c>
      <c r="E73" s="18" t="n">
        <v>11.45049724</v>
      </c>
      <c r="F73" s="20" t="n">
        <v>1.05209073</v>
      </c>
      <c r="G73" s="18" t="n">
        <v>88.23698481</v>
      </c>
      <c r="H73" s="20" t="n">
        <v>1.09341623</v>
      </c>
      <c r="I73" s="18" t="n">
        <v>0</v>
      </c>
      <c r="J73" s="20" t="n">
        <v>0</v>
      </c>
      <c r="K73" s="18" t="n">
        <v>0.12138335</v>
      </c>
      <c r="L73" s="20" t="n">
        <v>0.12151119</v>
      </c>
      <c r="M73" s="18" t="n">
        <v>0</v>
      </c>
      <c r="N73" s="20" t="n">
        <v>0</v>
      </c>
      <c r="O73" s="18" t="n">
        <v>0</v>
      </c>
      <c r="P73" s="20" t="n">
        <v>0</v>
      </c>
      <c r="Q73" s="18" t="n">
        <v>0.19113461</v>
      </c>
      <c r="R73" s="20" t="n">
        <v>0.15004994</v>
      </c>
    </row>
    <row r="74" spans="1:18">
      <c r="A74" s="15" t="s">
        <v>498</v>
      </c>
      <c r="B74" s="17" t="n">
        <v>7708</v>
      </c>
      <c r="C74" s="18">
        <f>(6764.0/B74*100)</f>
        <v/>
      </c>
      <c r="D74" s="19" t="n">
        <v>944</v>
      </c>
      <c r="E74" s="18" t="n">
        <v>30.69715804</v>
      </c>
      <c r="F74" s="20" t="n">
        <v>1.53800616</v>
      </c>
      <c r="G74" s="18" t="n">
        <v>68.56638688</v>
      </c>
      <c r="H74" s="20" t="n">
        <v>1.57148508</v>
      </c>
      <c r="I74" s="18" t="n">
        <v>0</v>
      </c>
      <c r="J74" s="20" t="n">
        <v>0</v>
      </c>
      <c r="K74" s="18" t="n">
        <v>0.43623119</v>
      </c>
      <c r="L74" s="20" t="n">
        <v>0.22441115</v>
      </c>
      <c r="M74" s="18" t="n">
        <v>0</v>
      </c>
      <c r="N74" s="20" t="n">
        <v>0</v>
      </c>
      <c r="O74" s="18" t="n">
        <v>0</v>
      </c>
      <c r="P74" s="20" t="n">
        <v>0</v>
      </c>
      <c r="Q74" s="18" t="n">
        <v>0.30022389</v>
      </c>
      <c r="R74" s="20" t="n">
        <v>0.11652235</v>
      </c>
    </row>
    <row r="75" spans="1:18">
      <c r="A75" s="15" t="s">
        <v>499</v>
      </c>
      <c r="B75" s="17" t="n">
        <v>8249</v>
      </c>
      <c r="C75" s="18">
        <f>(7288.0/B75*100)</f>
        <v/>
      </c>
      <c r="D75" s="19" t="n">
        <v>961</v>
      </c>
      <c r="E75" s="18" t="n">
        <v>23.65978799</v>
      </c>
      <c r="F75" s="20" t="n">
        <v>1.44554484</v>
      </c>
      <c r="G75" s="18" t="n">
        <v>76.2795079</v>
      </c>
      <c r="H75" s="20" t="n">
        <v>1.44264417</v>
      </c>
      <c r="I75" s="18" t="n">
        <v>0</v>
      </c>
      <c r="J75" s="20" t="n">
        <v>0</v>
      </c>
      <c r="K75" s="18" t="n">
        <v>0.00596084</v>
      </c>
      <c r="L75" s="20" t="n">
        <v>0.00598072</v>
      </c>
      <c r="M75" s="18" t="n">
        <v>0</v>
      </c>
      <c r="N75" s="20" t="n">
        <v>0</v>
      </c>
      <c r="O75" s="18" t="n">
        <v>0</v>
      </c>
      <c r="P75" s="20" t="n">
        <v>0</v>
      </c>
      <c r="Q75" s="18" t="n">
        <v>0.05474328</v>
      </c>
      <c r="R75" s="20" t="n">
        <v>0.05268045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(4796.0/B77*100)</f>
        <v/>
      </c>
      <c r="D77" s="19" t="n">
        <v>579</v>
      </c>
      <c r="E77" s="18" t="n">
        <v>31.70161616</v>
      </c>
      <c r="F77" s="20" t="n">
        <v>2.22669036</v>
      </c>
      <c r="G77" s="18" t="n">
        <v>60.82444563</v>
      </c>
      <c r="H77" s="20" t="n">
        <v>2.36567189</v>
      </c>
      <c r="I77" s="18" t="n">
        <v>0</v>
      </c>
      <c r="J77" s="20" t="n">
        <v>0</v>
      </c>
      <c r="K77" s="18" t="n">
        <v>5.03018913</v>
      </c>
      <c r="L77" s="20" t="n">
        <v>0.9944903899999999</v>
      </c>
      <c r="M77" s="18" t="n">
        <v>0</v>
      </c>
      <c r="N77" s="20" t="n">
        <v>0</v>
      </c>
      <c r="O77" s="18" t="n">
        <v>0</v>
      </c>
      <c r="P77" s="20" t="n">
        <v>0</v>
      </c>
      <c r="Q77" s="18" t="n">
        <v>2.44374907</v>
      </c>
      <c r="R77" s="20" t="n">
        <v>0.71725619</v>
      </c>
    </row>
    <row r="78" spans="1:18">
      <c r="A78" s="15" t="s">
        <v>502</v>
      </c>
      <c r="B78" s="17" t="n">
        <v>14167</v>
      </c>
      <c r="C78" s="18">
        <f>(12449.0/B78*100)</f>
        <v/>
      </c>
      <c r="D78" s="19" t="n">
        <v>1718</v>
      </c>
      <c r="E78" s="18" t="n">
        <v>35.88366092</v>
      </c>
      <c r="F78" s="20" t="n">
        <v>1.49706575</v>
      </c>
      <c r="G78" s="18" t="n">
        <v>60.95130132</v>
      </c>
      <c r="H78" s="20" t="n">
        <v>1.53536439</v>
      </c>
      <c r="I78" s="18" t="n">
        <v>0</v>
      </c>
      <c r="J78" s="20" t="n">
        <v>0</v>
      </c>
      <c r="K78" s="18" t="n">
        <v>1.05117469</v>
      </c>
      <c r="L78" s="20" t="n">
        <v>0.29098106</v>
      </c>
      <c r="M78" s="18" t="n">
        <v>0</v>
      </c>
      <c r="N78" s="20" t="n">
        <v>0</v>
      </c>
      <c r="O78" s="18" t="n">
        <v>0</v>
      </c>
      <c r="P78" s="20" t="n">
        <v>0</v>
      </c>
      <c r="Q78" s="18" t="n">
        <v>2.11386307</v>
      </c>
      <c r="R78" s="20" t="n">
        <v>0.4167124</v>
      </c>
    </row>
    <row r="79" spans="1:18">
      <c r="A79" s="15" t="s">
        <v>503</v>
      </c>
      <c r="B79" s="17" t="n">
        <v>6062</v>
      </c>
      <c r="C79" s="18">
        <f>(5385.0/B79*100)</f>
        <v/>
      </c>
      <c r="D79" s="19" t="n">
        <v>677</v>
      </c>
      <c r="E79" s="18" t="n">
        <v>21.84844275</v>
      </c>
      <c r="F79" s="20" t="n">
        <v>1.60141202</v>
      </c>
      <c r="G79" s="18" t="n">
        <v>71.64769467000001</v>
      </c>
      <c r="H79" s="20" t="n">
        <v>1.90796992</v>
      </c>
      <c r="I79" s="18" t="n">
        <v>0</v>
      </c>
      <c r="J79" s="20" t="n">
        <v>0</v>
      </c>
      <c r="K79" s="18" t="n">
        <v>2.65217789</v>
      </c>
      <c r="L79" s="20" t="n">
        <v>0.6898330499999999</v>
      </c>
      <c r="M79" s="18" t="n">
        <v>0</v>
      </c>
      <c r="N79" s="20" t="n">
        <v>0</v>
      </c>
      <c r="O79" s="18" t="n">
        <v>0</v>
      </c>
      <c r="P79" s="20" t="n">
        <v>0</v>
      </c>
      <c r="Q79" s="18" t="n">
        <v>3.85168469</v>
      </c>
      <c r="R79" s="20" t="n">
        <v>0.74551767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(28436.0/B82*100)</f>
        <v/>
      </c>
      <c r="D82" s="19" t="n">
        <v>3894</v>
      </c>
      <c r="E82" s="18" t="n">
        <v>7.99733882</v>
      </c>
      <c r="F82" s="20" t="n">
        <v>0.45994403</v>
      </c>
      <c r="G82" s="18" t="n">
        <v>90.87553715999999</v>
      </c>
      <c r="H82" s="20" t="n">
        <v>0.54843182</v>
      </c>
      <c r="I82" s="18" t="n">
        <v>0</v>
      </c>
      <c r="J82" s="20" t="n">
        <v>0</v>
      </c>
      <c r="K82" s="18" t="n">
        <v>0.5389541799999999</v>
      </c>
      <c r="L82" s="20" t="n">
        <v>0.19121921</v>
      </c>
      <c r="M82" s="18" t="n">
        <v>0</v>
      </c>
      <c r="N82" s="20" t="n">
        <v>0</v>
      </c>
      <c r="O82" s="18" t="n">
        <v>0</v>
      </c>
      <c r="P82" s="20" t="n">
        <v>0</v>
      </c>
      <c r="Q82" s="18" t="n">
        <v>0.58816985</v>
      </c>
      <c r="R82" s="20" t="n">
        <v>0.16204456</v>
      </c>
    </row>
    <row r="83" spans="1:18">
      <c r="A83" s="15" t="s">
        <v>507</v>
      </c>
      <c r="B83" s="17" t="n">
        <v>1652</v>
      </c>
      <c r="C83" s="18">
        <f>(1458.0/B83*100)</f>
        <v/>
      </c>
      <c r="D83" s="19" t="n">
        <v>194</v>
      </c>
      <c r="E83" s="18" t="n">
        <v>7.27160432</v>
      </c>
      <c r="F83" s="20" t="n">
        <v>1.91921105</v>
      </c>
      <c r="G83" s="18" t="n">
        <v>91.37771730999999</v>
      </c>
      <c r="H83" s="20" t="n">
        <v>1.97186058</v>
      </c>
      <c r="I83" s="18" t="n">
        <v>0</v>
      </c>
      <c r="J83" s="20" t="n">
        <v>0</v>
      </c>
      <c r="K83" s="18" t="n">
        <v>0</v>
      </c>
      <c r="L83" s="20" t="n">
        <v>0</v>
      </c>
      <c r="M83" s="18" t="n">
        <v>0</v>
      </c>
      <c r="N83" s="20" t="n">
        <v>0</v>
      </c>
      <c r="O83" s="18" t="n">
        <v>0</v>
      </c>
      <c r="P83" s="20" t="n">
        <v>0</v>
      </c>
      <c r="Q83" s="18" t="n">
        <v>1.35067836</v>
      </c>
      <c r="R83" s="20" t="n">
        <v>0.36770705</v>
      </c>
    </row>
    <row r="84" spans="1:18">
      <c r="A84" s="23" t="s">
        <v>508</v>
      </c>
      <c r="B84" s="24" t="n">
        <v>1887</v>
      </c>
      <c r="C84" s="25">
        <f>(1654.0/B84*100)</f>
        <v/>
      </c>
      <c r="D84" s="19" t="n">
        <v>233</v>
      </c>
      <c r="E84" s="18" t="n">
        <v>12.4274714</v>
      </c>
      <c r="F84" s="20" t="n">
        <v>1.90976492</v>
      </c>
      <c r="G84" s="18" t="n">
        <v>86.62881774</v>
      </c>
      <c r="H84" s="20" t="n">
        <v>2.12978685</v>
      </c>
      <c r="I84" s="18" t="n">
        <v>0</v>
      </c>
      <c r="J84" s="20" t="n">
        <v>0</v>
      </c>
      <c r="K84" s="18" t="n">
        <v>0</v>
      </c>
      <c r="L84" s="20" t="n">
        <v>0</v>
      </c>
      <c r="M84" s="18" t="n">
        <v>0</v>
      </c>
      <c r="N84" s="20" t="n">
        <v>0</v>
      </c>
      <c r="O84" s="18" t="n">
        <v>0</v>
      </c>
      <c r="P84" s="20" t="n">
        <v>0</v>
      </c>
      <c r="Q84" s="18" t="n">
        <v>0.94371086</v>
      </c>
      <c r="R84" s="20" t="n">
        <v>0.66862295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(12751.0/B7*100)</f>
        <v/>
      </c>
      <c r="D7" s="19" t="n">
        <v>1779</v>
      </c>
      <c r="E7" s="18" t="n">
        <v>64.69117074</v>
      </c>
      <c r="F7" s="20" t="n">
        <v>1.29851253</v>
      </c>
      <c r="G7" s="18" t="n">
        <v>25.29952892</v>
      </c>
      <c r="H7" s="20" t="n">
        <v>1.28450962</v>
      </c>
      <c r="I7" s="18" t="n">
        <v>0</v>
      </c>
      <c r="J7" s="20" t="n">
        <v>0</v>
      </c>
      <c r="K7" s="18" t="n">
        <v>0.40599656</v>
      </c>
      <c r="L7" s="20" t="n">
        <v>0.11677355</v>
      </c>
      <c r="M7" s="18" t="n">
        <v>0</v>
      </c>
      <c r="N7" s="20" t="n">
        <v>0</v>
      </c>
      <c r="O7" s="18" t="n">
        <v>0</v>
      </c>
      <c r="P7" s="20" t="n">
        <v>0</v>
      </c>
      <c r="Q7" s="18" t="n">
        <v>9.60330379</v>
      </c>
      <c r="R7" s="20" t="n">
        <v>0.83184973</v>
      </c>
    </row>
    <row r="8" spans="1:18">
      <c r="A8" s="15" t="s">
        <v>430</v>
      </c>
      <c r="B8" s="17" t="n">
        <v>7007</v>
      </c>
      <c r="C8" s="18">
        <f>(6169.0/B8*100)</f>
        <v/>
      </c>
      <c r="D8" s="19" t="n">
        <v>838</v>
      </c>
      <c r="E8" s="18" t="n">
        <v>68.75770591</v>
      </c>
      <c r="F8" s="20" t="n">
        <v>1.566786</v>
      </c>
      <c r="G8" s="18" t="n">
        <v>17.55591619</v>
      </c>
      <c r="H8" s="20" t="n">
        <v>1.27637442</v>
      </c>
      <c r="I8" s="18" t="n">
        <v>0</v>
      </c>
      <c r="J8" s="20" t="n">
        <v>0</v>
      </c>
      <c r="K8" s="18" t="n">
        <v>0.47768336</v>
      </c>
      <c r="L8" s="20" t="n">
        <v>0.19951828</v>
      </c>
      <c r="M8" s="18" t="n">
        <v>0</v>
      </c>
      <c r="N8" s="20" t="n">
        <v>0</v>
      </c>
      <c r="O8" s="18" t="n">
        <v>0</v>
      </c>
      <c r="P8" s="20" t="n">
        <v>0</v>
      </c>
      <c r="Q8" s="18" t="n">
        <v>13.20869453</v>
      </c>
      <c r="R8" s="20" t="n">
        <v>1.22392212</v>
      </c>
    </row>
    <row r="9" spans="1:18">
      <c r="A9" s="15" t="s">
        <v>431</v>
      </c>
      <c r="B9" s="17" t="n">
        <v>9651</v>
      </c>
      <c r="C9" s="18">
        <f>(8530.0/B9*100)</f>
        <v/>
      </c>
      <c r="D9" s="19" t="n">
        <v>1121</v>
      </c>
      <c r="E9" s="18" t="n">
        <v>63.50016304</v>
      </c>
      <c r="F9" s="20" t="n">
        <v>1.66834943</v>
      </c>
      <c r="G9" s="18" t="n">
        <v>24.88276046</v>
      </c>
      <c r="H9" s="20" t="n">
        <v>1.51858555</v>
      </c>
      <c r="I9" s="18" t="n">
        <v>0</v>
      </c>
      <c r="J9" s="20" t="n">
        <v>0</v>
      </c>
      <c r="K9" s="18" t="n">
        <v>0.9931195900000001</v>
      </c>
      <c r="L9" s="20" t="n">
        <v>0.31038068</v>
      </c>
      <c r="M9" s="18" t="n">
        <v>0</v>
      </c>
      <c r="N9" s="20" t="n">
        <v>0</v>
      </c>
      <c r="O9" s="18" t="n">
        <v>0</v>
      </c>
      <c r="P9" s="20" t="n">
        <v>0</v>
      </c>
      <c r="Q9" s="18" t="n">
        <v>10.6239569</v>
      </c>
      <c r="R9" s="20" t="n">
        <v>0.881069</v>
      </c>
    </row>
    <row r="10" spans="1:18">
      <c r="A10" s="15" t="s">
        <v>432</v>
      </c>
      <c r="B10" s="17" t="n">
        <v>20058</v>
      </c>
      <c r="C10" s="18">
        <f>(17649.0/B10*100)</f>
        <v/>
      </c>
      <c r="D10" s="19" t="n">
        <v>2409</v>
      </c>
      <c r="E10" s="18" t="n">
        <v>65.35181187000001</v>
      </c>
      <c r="F10" s="20" t="n">
        <v>1.48217124</v>
      </c>
      <c r="G10" s="18" t="n">
        <v>25.96602414</v>
      </c>
      <c r="H10" s="20" t="n">
        <v>1.36775107</v>
      </c>
      <c r="I10" s="18" t="n">
        <v>0</v>
      </c>
      <c r="J10" s="20" t="n">
        <v>0</v>
      </c>
      <c r="K10" s="18" t="n">
        <v>0.65167523</v>
      </c>
      <c r="L10" s="20" t="n">
        <v>0.21128305</v>
      </c>
      <c r="M10" s="18" t="n">
        <v>0</v>
      </c>
      <c r="N10" s="20" t="n">
        <v>0</v>
      </c>
      <c r="O10" s="18" t="n">
        <v>0</v>
      </c>
      <c r="P10" s="20" t="n">
        <v>0</v>
      </c>
      <c r="Q10" s="18" t="n">
        <v>8.030488760000001</v>
      </c>
      <c r="R10" s="20" t="n">
        <v>0.86920792</v>
      </c>
    </row>
    <row r="11" spans="1:18">
      <c r="A11" s="15" t="s">
        <v>433</v>
      </c>
      <c r="B11" s="17" t="n">
        <v>7053</v>
      </c>
      <c r="C11" s="18">
        <f>(6223.0/B11*100)</f>
        <v/>
      </c>
      <c r="D11" s="19" t="n">
        <v>830</v>
      </c>
      <c r="E11" s="18" t="n">
        <v>67.07753795000001</v>
      </c>
      <c r="F11" s="20" t="n">
        <v>1.84001964</v>
      </c>
      <c r="G11" s="18" t="n">
        <v>11.40849455</v>
      </c>
      <c r="H11" s="20" t="n">
        <v>1.45489772</v>
      </c>
      <c r="I11" s="18" t="n">
        <v>0</v>
      </c>
      <c r="J11" s="20" t="n">
        <v>0</v>
      </c>
      <c r="K11" s="18" t="n">
        <v>1.91909742</v>
      </c>
      <c r="L11" s="20" t="n">
        <v>0.54587144</v>
      </c>
      <c r="M11" s="18" t="n">
        <v>0</v>
      </c>
      <c r="N11" s="20" t="n">
        <v>0</v>
      </c>
      <c r="O11" s="18" t="n">
        <v>0</v>
      </c>
      <c r="P11" s="20" t="n">
        <v>0</v>
      </c>
      <c r="Q11" s="18" t="n">
        <v>19.59487009</v>
      </c>
      <c r="R11" s="20" t="n">
        <v>1.4403943</v>
      </c>
    </row>
    <row r="12" spans="1:18">
      <c r="A12" s="15" t="s">
        <v>434</v>
      </c>
      <c r="B12" s="17" t="n">
        <v>6894</v>
      </c>
      <c r="C12" s="18">
        <f>(6070.0/B12*100)</f>
        <v/>
      </c>
      <c r="D12" s="19" t="n">
        <v>824</v>
      </c>
      <c r="E12" s="18" t="n">
        <v>59.09807528</v>
      </c>
      <c r="F12" s="20" t="n">
        <v>2.10610483</v>
      </c>
      <c r="G12" s="18" t="n">
        <v>28.99841086</v>
      </c>
      <c r="H12" s="20" t="n">
        <v>1.6926126</v>
      </c>
      <c r="I12" s="18" t="n">
        <v>0</v>
      </c>
      <c r="J12" s="20" t="n">
        <v>0</v>
      </c>
      <c r="K12" s="18" t="n">
        <v>0.39249689</v>
      </c>
      <c r="L12" s="20" t="n">
        <v>0.19089905</v>
      </c>
      <c r="M12" s="18" t="n">
        <v>0</v>
      </c>
      <c r="N12" s="20" t="n">
        <v>0</v>
      </c>
      <c r="O12" s="18" t="n">
        <v>0</v>
      </c>
      <c r="P12" s="20" t="n">
        <v>0</v>
      </c>
      <c r="Q12" s="18" t="n">
        <v>11.51101697</v>
      </c>
      <c r="R12" s="20" t="n">
        <v>1.13377628</v>
      </c>
    </row>
    <row r="13" spans="1:18">
      <c r="A13" s="15" t="s">
        <v>435</v>
      </c>
      <c r="B13" s="17" t="n">
        <v>7161</v>
      </c>
      <c r="C13" s="18">
        <f>(6348.0/B13*100)</f>
        <v/>
      </c>
      <c r="D13" s="19" t="n">
        <v>813</v>
      </c>
      <c r="E13" s="18" t="n">
        <v>64.91033529000001</v>
      </c>
      <c r="F13" s="20" t="n">
        <v>2.05791375</v>
      </c>
      <c r="G13" s="18" t="n">
        <v>23.33693624</v>
      </c>
      <c r="H13" s="20" t="n">
        <v>1.8637488</v>
      </c>
      <c r="I13" s="18" t="n">
        <v>0</v>
      </c>
      <c r="J13" s="20" t="n">
        <v>0</v>
      </c>
      <c r="K13" s="18" t="n">
        <v>1.638708</v>
      </c>
      <c r="L13" s="20" t="n">
        <v>0.39171182</v>
      </c>
      <c r="M13" s="18" t="n">
        <v>0</v>
      </c>
      <c r="N13" s="20" t="n">
        <v>0</v>
      </c>
      <c r="O13" s="18" t="n">
        <v>0</v>
      </c>
      <c r="P13" s="20" t="n">
        <v>0</v>
      </c>
      <c r="Q13" s="18" t="n">
        <v>10.11402047</v>
      </c>
      <c r="R13" s="20" t="n">
        <v>1.39436122</v>
      </c>
    </row>
    <row r="14" spans="1:18">
      <c r="A14" s="15" t="s">
        <v>436</v>
      </c>
      <c r="B14" s="17" t="n">
        <v>5587</v>
      </c>
      <c r="C14" s="18">
        <f>(4916.0/B14*100)</f>
        <v/>
      </c>
      <c r="D14" s="19" t="n">
        <v>671</v>
      </c>
      <c r="E14" s="18" t="n">
        <v>63.29720537</v>
      </c>
      <c r="F14" s="20" t="n">
        <v>2.05472984</v>
      </c>
      <c r="G14" s="18" t="n">
        <v>26.49961476</v>
      </c>
      <c r="H14" s="20" t="n">
        <v>1.80584325</v>
      </c>
      <c r="I14" s="18" t="n">
        <v>0</v>
      </c>
      <c r="J14" s="20" t="n">
        <v>0</v>
      </c>
      <c r="K14" s="18" t="n">
        <v>0.57048996</v>
      </c>
      <c r="L14" s="20" t="n">
        <v>0.25250673</v>
      </c>
      <c r="M14" s="18" t="n">
        <v>0</v>
      </c>
      <c r="N14" s="20" t="n">
        <v>0</v>
      </c>
      <c r="O14" s="18" t="n">
        <v>0</v>
      </c>
      <c r="P14" s="20" t="n">
        <v>0</v>
      </c>
      <c r="Q14" s="18" t="n">
        <v>9.632689900000001</v>
      </c>
      <c r="R14" s="20" t="n">
        <v>1.34650422</v>
      </c>
    </row>
    <row r="15" spans="1:18">
      <c r="A15" s="15" t="s">
        <v>437</v>
      </c>
      <c r="B15" s="17" t="n">
        <v>5882</v>
      </c>
      <c r="C15" s="18">
        <f>(5169.0/B15*100)</f>
        <v/>
      </c>
      <c r="D15" s="19" t="n">
        <v>713</v>
      </c>
      <c r="E15" s="18" t="n">
        <v>63.2262274</v>
      </c>
      <c r="F15" s="20" t="n">
        <v>1.8365905</v>
      </c>
      <c r="G15" s="18" t="n">
        <v>26.46235715</v>
      </c>
      <c r="H15" s="20" t="n">
        <v>1.80305406</v>
      </c>
      <c r="I15" s="18" t="n">
        <v>0</v>
      </c>
      <c r="J15" s="20" t="n">
        <v>0</v>
      </c>
      <c r="K15" s="18" t="n">
        <v>0.40015038</v>
      </c>
      <c r="L15" s="20" t="n">
        <v>0.23737128</v>
      </c>
      <c r="M15" s="18" t="n">
        <v>0</v>
      </c>
      <c r="N15" s="20" t="n">
        <v>0</v>
      </c>
      <c r="O15" s="18" t="n">
        <v>0</v>
      </c>
      <c r="P15" s="20" t="n">
        <v>0</v>
      </c>
      <c r="Q15" s="18" t="n">
        <v>9.911265070000001</v>
      </c>
      <c r="R15" s="20" t="n">
        <v>1.21672946</v>
      </c>
    </row>
    <row r="16" spans="1:18">
      <c r="A16" s="15" t="s">
        <v>438</v>
      </c>
      <c r="B16" s="17" t="n">
        <v>6108</v>
      </c>
      <c r="C16" s="18">
        <f>(5358.0/B16*100)</f>
        <v/>
      </c>
      <c r="D16" s="19" t="n">
        <v>750</v>
      </c>
      <c r="E16" s="18" t="n">
        <v>56.75017181</v>
      </c>
      <c r="F16" s="20" t="n">
        <v>1.89751923</v>
      </c>
      <c r="G16" s="18" t="n">
        <v>25.82381599</v>
      </c>
      <c r="H16" s="20" t="n">
        <v>1.62197266</v>
      </c>
      <c r="I16" s="18" t="n">
        <v>0</v>
      </c>
      <c r="J16" s="20" t="n">
        <v>0</v>
      </c>
      <c r="K16" s="18" t="n">
        <v>3.07542056</v>
      </c>
      <c r="L16" s="20" t="n">
        <v>0.86577047</v>
      </c>
      <c r="M16" s="18" t="n">
        <v>0</v>
      </c>
      <c r="N16" s="20" t="n">
        <v>0</v>
      </c>
      <c r="O16" s="18" t="n">
        <v>0</v>
      </c>
      <c r="P16" s="20" t="n">
        <v>0</v>
      </c>
      <c r="Q16" s="18" t="n">
        <v>14.35059165</v>
      </c>
      <c r="R16" s="20" t="n">
        <v>1.33283543</v>
      </c>
    </row>
    <row r="17" spans="1:18">
      <c r="A17" s="15" t="s">
        <v>439</v>
      </c>
      <c r="B17" s="17" t="n">
        <v>6504</v>
      </c>
      <c r="C17" s="18">
        <f>(5732.0/B17*100)</f>
        <v/>
      </c>
      <c r="D17" s="19" t="n">
        <v>772</v>
      </c>
      <c r="E17" s="18" t="n">
        <v>63.87645123</v>
      </c>
      <c r="F17" s="20" t="n">
        <v>1.68979794</v>
      </c>
      <c r="G17" s="18" t="n">
        <v>21.38230005</v>
      </c>
      <c r="H17" s="20" t="n">
        <v>1.46889939</v>
      </c>
      <c r="I17" s="18" t="n">
        <v>0</v>
      </c>
      <c r="J17" s="20" t="n">
        <v>0</v>
      </c>
      <c r="K17" s="18" t="n">
        <v>1.29861617</v>
      </c>
      <c r="L17" s="20" t="n">
        <v>0.39753286</v>
      </c>
      <c r="M17" s="18" t="n">
        <v>0</v>
      </c>
      <c r="N17" s="20" t="n">
        <v>0</v>
      </c>
      <c r="O17" s="18" t="n">
        <v>0</v>
      </c>
      <c r="P17" s="20" t="n">
        <v>0</v>
      </c>
      <c r="Q17" s="18" t="n">
        <v>13.44263255</v>
      </c>
      <c r="R17" s="20" t="n">
        <v>1.29841459</v>
      </c>
    </row>
    <row r="18" spans="1:18">
      <c r="A18" s="15" t="s">
        <v>440</v>
      </c>
      <c r="B18" s="17" t="n">
        <v>5532</v>
      </c>
      <c r="C18" s="18">
        <f>(4854.0/B18*100)</f>
        <v/>
      </c>
      <c r="D18" s="19" t="n">
        <v>678</v>
      </c>
      <c r="E18" s="18" t="n">
        <v>71.67920411999999</v>
      </c>
      <c r="F18" s="20" t="n">
        <v>2.04411479</v>
      </c>
      <c r="G18" s="18" t="n">
        <v>6.5997848</v>
      </c>
      <c r="H18" s="20" t="n">
        <v>1.00832957</v>
      </c>
      <c r="I18" s="18" t="n">
        <v>0</v>
      </c>
      <c r="J18" s="20" t="n">
        <v>0</v>
      </c>
      <c r="K18" s="18" t="n">
        <v>1.84217254</v>
      </c>
      <c r="L18" s="20" t="n">
        <v>0.5488661</v>
      </c>
      <c r="M18" s="18" t="n">
        <v>0</v>
      </c>
      <c r="N18" s="20" t="n">
        <v>0</v>
      </c>
      <c r="O18" s="18" t="n">
        <v>0</v>
      </c>
      <c r="P18" s="20" t="n">
        <v>0</v>
      </c>
      <c r="Q18" s="18" t="n">
        <v>19.87883854</v>
      </c>
      <c r="R18" s="20" t="n">
        <v>2.06532194</v>
      </c>
    </row>
    <row r="19" spans="1:18">
      <c r="A19" s="15" t="s">
        <v>441</v>
      </c>
      <c r="B19" s="17" t="n">
        <v>5658</v>
      </c>
      <c r="C19" s="18">
        <f>(4981.0/B19*100)</f>
        <v/>
      </c>
      <c r="D19" s="19" t="n">
        <v>677</v>
      </c>
      <c r="E19" s="18" t="n">
        <v>58.81552911</v>
      </c>
      <c r="F19" s="20" t="n">
        <v>2.2112139</v>
      </c>
      <c r="G19" s="18" t="n">
        <v>21.47721628</v>
      </c>
      <c r="H19" s="20" t="n">
        <v>1.42013607</v>
      </c>
      <c r="I19" s="18" t="n">
        <v>0</v>
      </c>
      <c r="J19" s="20" t="n">
        <v>0</v>
      </c>
      <c r="K19" s="18" t="n">
        <v>0.58587863</v>
      </c>
      <c r="L19" s="20" t="n">
        <v>0.30290881</v>
      </c>
      <c r="M19" s="18" t="n">
        <v>0</v>
      </c>
      <c r="N19" s="20" t="n">
        <v>0</v>
      </c>
      <c r="O19" s="18" t="n">
        <v>0</v>
      </c>
      <c r="P19" s="20" t="n">
        <v>0</v>
      </c>
      <c r="Q19" s="18" t="n">
        <v>19.12137598</v>
      </c>
      <c r="R19" s="20" t="n">
        <v>1.63149585</v>
      </c>
    </row>
    <row r="20" spans="1:18">
      <c r="A20" s="15" t="s">
        <v>442</v>
      </c>
      <c r="B20" s="17" t="n">
        <v>3371</v>
      </c>
      <c r="C20" s="18">
        <f>(2968.0/B20*100)</f>
        <v/>
      </c>
      <c r="D20" s="19" t="n">
        <v>403</v>
      </c>
      <c r="E20" s="18" t="n">
        <v>66.28893508</v>
      </c>
      <c r="F20" s="20" t="n">
        <v>2.63487502</v>
      </c>
      <c r="G20" s="18" t="n">
        <v>23.7635202</v>
      </c>
      <c r="H20" s="20" t="n">
        <v>2.22178168</v>
      </c>
      <c r="I20" s="18" t="n">
        <v>0</v>
      </c>
      <c r="J20" s="20" t="n">
        <v>0</v>
      </c>
      <c r="K20" s="18" t="n">
        <v>0.96069507</v>
      </c>
      <c r="L20" s="20" t="n">
        <v>0.48814775</v>
      </c>
      <c r="M20" s="18" t="n">
        <v>0</v>
      </c>
      <c r="N20" s="20" t="n">
        <v>0</v>
      </c>
      <c r="O20" s="18" t="n">
        <v>0</v>
      </c>
      <c r="P20" s="20" t="n">
        <v>0</v>
      </c>
      <c r="Q20" s="18" t="n">
        <v>8.986849660000001</v>
      </c>
      <c r="R20" s="20" t="n">
        <v>1.37228408</v>
      </c>
    </row>
    <row r="21" spans="1:18">
      <c r="A21" s="15" t="s">
        <v>443</v>
      </c>
      <c r="B21" s="17" t="n">
        <v>5741</v>
      </c>
      <c r="C21" s="18">
        <f>(4805.0/B21*100)</f>
        <v/>
      </c>
      <c r="D21" s="19" t="n">
        <v>936</v>
      </c>
      <c r="E21" s="18" t="n">
        <v>66.15046549</v>
      </c>
      <c r="F21" s="20" t="n">
        <v>1.65360923</v>
      </c>
      <c r="G21" s="18" t="n">
        <v>27.54054288</v>
      </c>
      <c r="H21" s="20" t="n">
        <v>1.42965007</v>
      </c>
      <c r="I21" s="18" t="n">
        <v>0</v>
      </c>
      <c r="J21" s="20" t="n">
        <v>0</v>
      </c>
      <c r="K21" s="18" t="n">
        <v>0.31845097</v>
      </c>
      <c r="L21" s="20" t="n">
        <v>0.1670037</v>
      </c>
      <c r="M21" s="18" t="n">
        <v>0</v>
      </c>
      <c r="N21" s="20" t="n">
        <v>0</v>
      </c>
      <c r="O21" s="18" t="n">
        <v>0</v>
      </c>
      <c r="P21" s="20" t="n">
        <v>0</v>
      </c>
      <c r="Q21" s="18" t="n">
        <v>5.99054066</v>
      </c>
      <c r="R21" s="20" t="n">
        <v>0.84285643</v>
      </c>
    </row>
    <row r="22" spans="1:18">
      <c r="A22" s="15" t="s">
        <v>444</v>
      </c>
      <c r="B22" s="17" t="n">
        <v>6598</v>
      </c>
      <c r="C22" s="18">
        <f>(5778.0/B22*100)</f>
        <v/>
      </c>
      <c r="D22" s="19" t="n">
        <v>820</v>
      </c>
      <c r="E22" s="18" t="n">
        <v>68.96250169</v>
      </c>
      <c r="F22" s="20" t="n">
        <v>1.72829435</v>
      </c>
      <c r="G22" s="18" t="n">
        <v>12.15309635</v>
      </c>
      <c r="H22" s="20" t="n">
        <v>1.21194516</v>
      </c>
      <c r="I22" s="18" t="n">
        <v>0</v>
      </c>
      <c r="J22" s="20" t="n">
        <v>0</v>
      </c>
      <c r="K22" s="18" t="n">
        <v>1.1275074</v>
      </c>
      <c r="L22" s="20" t="n">
        <v>0.41192026</v>
      </c>
      <c r="M22" s="18" t="n">
        <v>0</v>
      </c>
      <c r="N22" s="20" t="n">
        <v>0</v>
      </c>
      <c r="O22" s="18" t="n">
        <v>0</v>
      </c>
      <c r="P22" s="20" t="n">
        <v>0</v>
      </c>
      <c r="Q22" s="18" t="n">
        <v>17.75689456</v>
      </c>
      <c r="R22" s="20" t="n">
        <v>1.49593068</v>
      </c>
    </row>
    <row r="23" spans="1:18">
      <c r="A23" s="15" t="s">
        <v>445</v>
      </c>
      <c r="B23" s="17" t="n">
        <v>11583</v>
      </c>
      <c r="C23" s="18">
        <f>(10198.0/B23*100)</f>
        <v/>
      </c>
      <c r="D23" s="19" t="n">
        <v>1385</v>
      </c>
      <c r="E23" s="18" t="n">
        <v>62.92451892</v>
      </c>
      <c r="F23" s="20" t="n">
        <v>1.91209693</v>
      </c>
      <c r="G23" s="18" t="n">
        <v>20.62027115</v>
      </c>
      <c r="H23" s="20" t="n">
        <v>1.50020075</v>
      </c>
      <c r="I23" s="18" t="n">
        <v>0</v>
      </c>
      <c r="J23" s="20" t="n">
        <v>0</v>
      </c>
      <c r="K23" s="18" t="n">
        <v>1.94049509</v>
      </c>
      <c r="L23" s="20" t="n">
        <v>0.58741082</v>
      </c>
      <c r="M23" s="18" t="n">
        <v>0</v>
      </c>
      <c r="N23" s="20" t="n">
        <v>0</v>
      </c>
      <c r="O23" s="18" t="n">
        <v>0</v>
      </c>
      <c r="P23" s="20" t="n">
        <v>0</v>
      </c>
      <c r="Q23" s="18" t="n">
        <v>14.51471485</v>
      </c>
      <c r="R23" s="20" t="n">
        <v>1.32210968</v>
      </c>
    </row>
    <row r="24" spans="1:18">
      <c r="A24" s="15" t="s">
        <v>446</v>
      </c>
      <c r="B24" s="17" t="n">
        <v>6647</v>
      </c>
      <c r="C24" s="18">
        <f>(5840.0/B24*100)</f>
        <v/>
      </c>
      <c r="D24" s="19" t="n">
        <v>807</v>
      </c>
      <c r="E24" s="18" t="n">
        <v>52.03955329</v>
      </c>
      <c r="F24" s="20" t="n">
        <v>1.74515566</v>
      </c>
      <c r="G24" s="18" t="n">
        <v>39.18410645</v>
      </c>
      <c r="H24" s="20" t="n">
        <v>1.72663029</v>
      </c>
      <c r="I24" s="18" t="n">
        <v>0</v>
      </c>
      <c r="J24" s="20" t="n">
        <v>0</v>
      </c>
      <c r="K24" s="18" t="n">
        <v>0.57487544</v>
      </c>
      <c r="L24" s="20" t="n">
        <v>0.25601902</v>
      </c>
      <c r="M24" s="18" t="n">
        <v>0</v>
      </c>
      <c r="N24" s="20" t="n">
        <v>0</v>
      </c>
      <c r="O24" s="18" t="n">
        <v>0</v>
      </c>
      <c r="P24" s="20" t="n">
        <v>0</v>
      </c>
      <c r="Q24" s="18" t="n">
        <v>8.20146482</v>
      </c>
      <c r="R24" s="20" t="n">
        <v>1.09263421</v>
      </c>
    </row>
    <row r="25" spans="1:18">
      <c r="A25" s="15" t="s">
        <v>447</v>
      </c>
      <c r="B25" s="17" t="n">
        <v>5581</v>
      </c>
      <c r="C25" s="18">
        <f>(4886.0/B25*100)</f>
        <v/>
      </c>
      <c r="D25" s="19" t="n">
        <v>695</v>
      </c>
      <c r="E25" s="18" t="n">
        <v>76.34777035</v>
      </c>
      <c r="F25" s="20" t="n">
        <v>1.78983233</v>
      </c>
      <c r="G25" s="18" t="n">
        <v>14.91109365</v>
      </c>
      <c r="H25" s="20" t="n">
        <v>1.50409387</v>
      </c>
      <c r="I25" s="18" t="n">
        <v>0</v>
      </c>
      <c r="J25" s="20" t="n">
        <v>0</v>
      </c>
      <c r="K25" s="18" t="n">
        <v>0.1444065</v>
      </c>
      <c r="L25" s="20" t="n">
        <v>0.14439509</v>
      </c>
      <c r="M25" s="18" t="n">
        <v>0</v>
      </c>
      <c r="N25" s="20" t="n">
        <v>0</v>
      </c>
      <c r="O25" s="18" t="n">
        <v>0</v>
      </c>
      <c r="P25" s="20" t="n">
        <v>0</v>
      </c>
      <c r="Q25" s="18" t="n">
        <v>8.5967295</v>
      </c>
      <c r="R25" s="20" t="n">
        <v>1.16396452</v>
      </c>
    </row>
    <row r="26" spans="1:18">
      <c r="A26" s="15" t="s">
        <v>448</v>
      </c>
      <c r="B26" s="17" t="n">
        <v>4869</v>
      </c>
      <c r="C26" s="18">
        <f>(4282.0/B26*100)</f>
        <v/>
      </c>
      <c r="D26" s="19" t="n">
        <v>587</v>
      </c>
      <c r="E26" s="18" t="n">
        <v>67.11535757999999</v>
      </c>
      <c r="F26" s="20" t="n">
        <v>1.80435064</v>
      </c>
      <c r="G26" s="18" t="n">
        <v>24.47251618</v>
      </c>
      <c r="H26" s="20" t="n">
        <v>1.61508066</v>
      </c>
      <c r="I26" s="18" t="n">
        <v>0</v>
      </c>
      <c r="J26" s="20" t="n">
        <v>0</v>
      </c>
      <c r="K26" s="18" t="n">
        <v>0.63279904</v>
      </c>
      <c r="L26" s="20" t="n">
        <v>0.32315004</v>
      </c>
      <c r="M26" s="18" t="n">
        <v>0</v>
      </c>
      <c r="N26" s="20" t="n">
        <v>0</v>
      </c>
      <c r="O26" s="18" t="n">
        <v>0</v>
      </c>
      <c r="P26" s="20" t="n">
        <v>0</v>
      </c>
      <c r="Q26" s="18" t="n">
        <v>7.7793272</v>
      </c>
      <c r="R26" s="20" t="n">
        <v>1.09103963</v>
      </c>
    </row>
    <row r="27" spans="1:18">
      <c r="A27" s="15" t="s">
        <v>449</v>
      </c>
      <c r="B27" s="17" t="n">
        <v>5299</v>
      </c>
      <c r="C27" s="18">
        <f>(4668.0/B27*100)</f>
        <v/>
      </c>
      <c r="D27" s="19" t="n">
        <v>631</v>
      </c>
      <c r="E27" s="18" t="n">
        <v>62.82833155</v>
      </c>
      <c r="F27" s="20" t="n">
        <v>1.86534179</v>
      </c>
      <c r="G27" s="18" t="n">
        <v>21.73648704</v>
      </c>
      <c r="H27" s="20" t="n">
        <v>1.58823262</v>
      </c>
      <c r="I27" s="18" t="n">
        <v>0</v>
      </c>
      <c r="J27" s="20" t="n">
        <v>0</v>
      </c>
      <c r="K27" s="18" t="n">
        <v>1.6496863</v>
      </c>
      <c r="L27" s="20" t="n">
        <v>0.54861552</v>
      </c>
      <c r="M27" s="18" t="n">
        <v>0</v>
      </c>
      <c r="N27" s="20" t="n">
        <v>0</v>
      </c>
      <c r="O27" s="18" t="n">
        <v>0</v>
      </c>
      <c r="P27" s="20" t="n">
        <v>0</v>
      </c>
      <c r="Q27" s="18" t="n">
        <v>13.7854951</v>
      </c>
      <c r="R27" s="20" t="n">
        <v>1.27892019</v>
      </c>
    </row>
    <row r="28" spans="1:18">
      <c r="A28" s="15" t="s">
        <v>450</v>
      </c>
      <c r="B28" s="17" t="n">
        <v>7568</v>
      </c>
      <c r="C28" s="18">
        <f>(6746.0/B28*100)</f>
        <v/>
      </c>
      <c r="D28" s="19" t="n">
        <v>822</v>
      </c>
      <c r="E28" s="18" t="n">
        <v>72.92199226</v>
      </c>
      <c r="F28" s="20" t="n">
        <v>1.60893139</v>
      </c>
      <c r="G28" s="18" t="n">
        <v>10.6265397</v>
      </c>
      <c r="H28" s="20" t="n">
        <v>1.20040882</v>
      </c>
      <c r="I28" s="18" t="n">
        <v>0</v>
      </c>
      <c r="J28" s="20" t="n">
        <v>0</v>
      </c>
      <c r="K28" s="18" t="n">
        <v>0.82619963</v>
      </c>
      <c r="L28" s="20" t="n">
        <v>0.31412976</v>
      </c>
      <c r="M28" s="18" t="n">
        <v>0</v>
      </c>
      <c r="N28" s="20" t="n">
        <v>0</v>
      </c>
      <c r="O28" s="18" t="n">
        <v>0</v>
      </c>
      <c r="P28" s="20" t="n">
        <v>0</v>
      </c>
      <c r="Q28" s="18" t="n">
        <v>15.62526841</v>
      </c>
      <c r="R28" s="20" t="n">
        <v>1.31235772</v>
      </c>
    </row>
    <row r="29" spans="1:18">
      <c r="A29" s="15" t="s">
        <v>451</v>
      </c>
      <c r="B29" s="17" t="n">
        <v>5385</v>
      </c>
      <c r="C29" s="18">
        <f>(4727.0/B29*100)</f>
        <v/>
      </c>
      <c r="D29" s="19" t="n">
        <v>658</v>
      </c>
      <c r="E29" s="18" t="n">
        <v>70.39252775</v>
      </c>
      <c r="F29" s="20" t="n">
        <v>2.04347043</v>
      </c>
      <c r="G29" s="18" t="n">
        <v>19.65460978</v>
      </c>
      <c r="H29" s="20" t="n">
        <v>1.67967155</v>
      </c>
      <c r="I29" s="18" t="n">
        <v>0</v>
      </c>
      <c r="J29" s="20" t="n">
        <v>0</v>
      </c>
      <c r="K29" s="18" t="n">
        <v>0.21504775</v>
      </c>
      <c r="L29" s="20" t="n">
        <v>0.17736529</v>
      </c>
      <c r="M29" s="18" t="n">
        <v>0</v>
      </c>
      <c r="N29" s="20" t="n">
        <v>0</v>
      </c>
      <c r="O29" s="18" t="n">
        <v>0</v>
      </c>
      <c r="P29" s="20" t="n">
        <v>0</v>
      </c>
      <c r="Q29" s="18" t="n">
        <v>9.73781471</v>
      </c>
      <c r="R29" s="20" t="n">
        <v>1.28274424</v>
      </c>
    </row>
    <row r="30" spans="1:18">
      <c r="A30" s="15" t="s">
        <v>452</v>
      </c>
      <c r="B30" s="17" t="n">
        <v>4520</v>
      </c>
      <c r="C30" s="18">
        <f>(3980.0/B30*100)</f>
        <v/>
      </c>
      <c r="D30" s="19" t="n">
        <v>540</v>
      </c>
      <c r="E30" s="18" t="n">
        <v>62.93329046</v>
      </c>
      <c r="F30" s="20" t="n">
        <v>2.20142535</v>
      </c>
      <c r="G30" s="18" t="n">
        <v>25.3586033</v>
      </c>
      <c r="H30" s="20" t="n">
        <v>1.94131174</v>
      </c>
      <c r="I30" s="18" t="n">
        <v>0</v>
      </c>
      <c r="J30" s="20" t="n">
        <v>0</v>
      </c>
      <c r="K30" s="18" t="n">
        <v>2.91054539</v>
      </c>
      <c r="L30" s="20" t="n">
        <v>0.98613209</v>
      </c>
      <c r="M30" s="18" t="n">
        <v>0</v>
      </c>
      <c r="N30" s="20" t="n">
        <v>0</v>
      </c>
      <c r="O30" s="18" t="n">
        <v>0</v>
      </c>
      <c r="P30" s="20" t="n">
        <v>0</v>
      </c>
      <c r="Q30" s="18" t="n">
        <v>8.797560860000001</v>
      </c>
      <c r="R30" s="20" t="n">
        <v>1.19196337</v>
      </c>
    </row>
    <row r="31" spans="1:18">
      <c r="A31" s="15" t="s">
        <v>453</v>
      </c>
      <c r="B31" s="17" t="n">
        <v>5456</v>
      </c>
      <c r="C31" s="18">
        <f>(4777.0/B31*100)</f>
        <v/>
      </c>
      <c r="D31" s="19" t="n">
        <v>679</v>
      </c>
      <c r="E31" s="18" t="n">
        <v>54.26909134</v>
      </c>
      <c r="F31" s="20" t="n">
        <v>2.1215563</v>
      </c>
      <c r="G31" s="18" t="n">
        <v>33.51500353</v>
      </c>
      <c r="H31" s="20" t="n">
        <v>1.88989842</v>
      </c>
      <c r="I31" s="18" t="n">
        <v>0</v>
      </c>
      <c r="J31" s="20" t="n">
        <v>0</v>
      </c>
      <c r="K31" s="18" t="n">
        <v>1.37762368</v>
      </c>
      <c r="L31" s="20" t="n">
        <v>0.49443594</v>
      </c>
      <c r="M31" s="18" t="n">
        <v>0</v>
      </c>
      <c r="N31" s="20" t="n">
        <v>0</v>
      </c>
      <c r="O31" s="18" t="n">
        <v>0</v>
      </c>
      <c r="P31" s="20" t="n">
        <v>0</v>
      </c>
      <c r="Q31" s="18" t="n">
        <v>10.83828145</v>
      </c>
      <c r="R31" s="20" t="n">
        <v>1.24059455</v>
      </c>
    </row>
    <row r="32" spans="1:18">
      <c r="A32" s="15" t="s">
        <v>454</v>
      </c>
      <c r="B32" s="17" t="n">
        <v>4478</v>
      </c>
      <c r="C32" s="18">
        <f>(3741.0/B32*100)</f>
        <v/>
      </c>
      <c r="D32" s="19" t="n">
        <v>737</v>
      </c>
      <c r="E32" s="18" t="n">
        <v>63.03365364</v>
      </c>
      <c r="F32" s="20" t="n">
        <v>1.58892004</v>
      </c>
      <c r="G32" s="18" t="n">
        <v>26.60472208</v>
      </c>
      <c r="H32" s="20" t="n">
        <v>1.38242232</v>
      </c>
      <c r="I32" s="18" t="n">
        <v>0</v>
      </c>
      <c r="J32" s="20" t="n">
        <v>0</v>
      </c>
      <c r="K32" s="18" t="n">
        <v>0.49045938</v>
      </c>
      <c r="L32" s="20" t="n">
        <v>0.24254465</v>
      </c>
      <c r="M32" s="18" t="n">
        <v>0</v>
      </c>
      <c r="N32" s="20" t="n">
        <v>0</v>
      </c>
      <c r="O32" s="18" t="n">
        <v>0</v>
      </c>
      <c r="P32" s="20" t="n">
        <v>0</v>
      </c>
      <c r="Q32" s="18" t="n">
        <v>9.871164909999999</v>
      </c>
      <c r="R32" s="20" t="n">
        <v>1.09974352</v>
      </c>
    </row>
    <row r="33" spans="1:18">
      <c r="A33" s="15" t="s">
        <v>455</v>
      </c>
      <c r="B33" s="17" t="n">
        <v>7325</v>
      </c>
      <c r="C33" s="18">
        <f>(6458.0/B33*100)</f>
        <v/>
      </c>
      <c r="D33" s="19" t="n">
        <v>867</v>
      </c>
      <c r="E33" s="18" t="n">
        <v>72.76145544000001</v>
      </c>
      <c r="F33" s="20" t="n">
        <v>1.75025286</v>
      </c>
      <c r="G33" s="18" t="n">
        <v>13.8522052</v>
      </c>
      <c r="H33" s="20" t="n">
        <v>1.34419385</v>
      </c>
      <c r="I33" s="18" t="n">
        <v>0</v>
      </c>
      <c r="J33" s="20" t="n">
        <v>0</v>
      </c>
      <c r="K33" s="18" t="n">
        <v>1.02511709</v>
      </c>
      <c r="L33" s="20" t="n">
        <v>0.44815588</v>
      </c>
      <c r="M33" s="18" t="n">
        <v>0</v>
      </c>
      <c r="N33" s="20" t="n">
        <v>0</v>
      </c>
      <c r="O33" s="18" t="n">
        <v>0</v>
      </c>
      <c r="P33" s="20" t="n">
        <v>0</v>
      </c>
      <c r="Q33" s="18" t="n">
        <v>12.36122227</v>
      </c>
      <c r="R33" s="20" t="n">
        <v>1.22629748</v>
      </c>
    </row>
    <row r="34" spans="1:18">
      <c r="A34" s="15" t="s">
        <v>456</v>
      </c>
      <c r="B34" s="17" t="n">
        <v>6350</v>
      </c>
      <c r="C34" s="18">
        <f>(5598.0/B34*100)</f>
        <v/>
      </c>
      <c r="D34" s="19" t="n">
        <v>752</v>
      </c>
      <c r="E34" s="18" t="n">
        <v>64.48204081</v>
      </c>
      <c r="F34" s="20" t="n">
        <v>1.79802768</v>
      </c>
      <c r="G34" s="18" t="n">
        <v>20.71949874</v>
      </c>
      <c r="H34" s="20" t="n">
        <v>1.62152599</v>
      </c>
      <c r="I34" s="18" t="n">
        <v>0</v>
      </c>
      <c r="J34" s="20" t="n">
        <v>0</v>
      </c>
      <c r="K34" s="18" t="n">
        <v>0.33444804</v>
      </c>
      <c r="L34" s="20" t="n">
        <v>0.18661232</v>
      </c>
      <c r="M34" s="18" t="n">
        <v>0</v>
      </c>
      <c r="N34" s="20" t="n">
        <v>0</v>
      </c>
      <c r="O34" s="18" t="n">
        <v>0</v>
      </c>
      <c r="P34" s="20" t="n">
        <v>0</v>
      </c>
      <c r="Q34" s="18" t="n">
        <v>14.46401241</v>
      </c>
      <c r="R34" s="20" t="n">
        <v>1.44262587</v>
      </c>
    </row>
    <row r="35" spans="1:18">
      <c r="A35" s="15" t="s">
        <v>457</v>
      </c>
      <c r="B35" s="17" t="n">
        <v>6406</v>
      </c>
      <c r="C35" s="18">
        <f>(5623.0/B35*100)</f>
        <v/>
      </c>
      <c r="D35" s="19" t="n">
        <v>783</v>
      </c>
      <c r="E35" s="18" t="n">
        <v>62.28536125</v>
      </c>
      <c r="F35" s="20" t="n">
        <v>2.21631693</v>
      </c>
      <c r="G35" s="18" t="n">
        <v>27.84636371</v>
      </c>
      <c r="H35" s="20" t="n">
        <v>2.01972771</v>
      </c>
      <c r="I35" s="18" t="n">
        <v>0</v>
      </c>
      <c r="J35" s="20" t="n">
        <v>0</v>
      </c>
      <c r="K35" s="18" t="n">
        <v>0.10938163</v>
      </c>
      <c r="L35" s="20" t="n">
        <v>0.0804184</v>
      </c>
      <c r="M35" s="18" t="n">
        <v>0</v>
      </c>
      <c r="N35" s="20" t="n">
        <v>0</v>
      </c>
      <c r="O35" s="18" t="n">
        <v>0</v>
      </c>
      <c r="P35" s="20" t="n">
        <v>0</v>
      </c>
      <c r="Q35" s="18" t="n">
        <v>9.758893410000001</v>
      </c>
      <c r="R35" s="20" t="n">
        <v>1.48977852</v>
      </c>
    </row>
    <row r="36" spans="1:18">
      <c r="A36" s="15" t="s">
        <v>458</v>
      </c>
      <c r="B36" s="17" t="n">
        <v>6736</v>
      </c>
      <c r="C36" s="18">
        <f>(5935.0/B36*100)</f>
        <v/>
      </c>
      <c r="D36" s="19" t="n">
        <v>801</v>
      </c>
      <c r="E36" s="18" t="n">
        <v>69.98041634</v>
      </c>
      <c r="F36" s="20" t="n">
        <v>1.64989414</v>
      </c>
      <c r="G36" s="18" t="n">
        <v>18.6400895</v>
      </c>
      <c r="H36" s="20" t="n">
        <v>1.37160801</v>
      </c>
      <c r="I36" s="18" t="n">
        <v>0</v>
      </c>
      <c r="J36" s="20" t="n">
        <v>0</v>
      </c>
      <c r="K36" s="18" t="n">
        <v>1.3392323</v>
      </c>
      <c r="L36" s="20" t="n">
        <v>0.42200255</v>
      </c>
      <c r="M36" s="18" t="n">
        <v>0</v>
      </c>
      <c r="N36" s="20" t="n">
        <v>0</v>
      </c>
      <c r="O36" s="18" t="n">
        <v>0</v>
      </c>
      <c r="P36" s="20" t="n">
        <v>0</v>
      </c>
      <c r="Q36" s="18" t="n">
        <v>10.04026186</v>
      </c>
      <c r="R36" s="20" t="n">
        <v>1.23400818</v>
      </c>
    </row>
    <row r="37" spans="1:18">
      <c r="A37" s="15" t="s">
        <v>459</v>
      </c>
      <c r="B37" s="17" t="n">
        <v>5458</v>
      </c>
      <c r="C37" s="18">
        <f>(4834.0/B37*100)</f>
        <v/>
      </c>
      <c r="D37" s="19" t="n">
        <v>624</v>
      </c>
      <c r="E37" s="18" t="n">
        <v>57.54191753</v>
      </c>
      <c r="F37" s="20" t="n">
        <v>2.14112553</v>
      </c>
      <c r="G37" s="18" t="n">
        <v>24.81988354</v>
      </c>
      <c r="H37" s="20" t="n">
        <v>1.89122009</v>
      </c>
      <c r="I37" s="18" t="n">
        <v>0</v>
      </c>
      <c r="J37" s="20" t="n">
        <v>0</v>
      </c>
      <c r="K37" s="18" t="n">
        <v>2.56641778</v>
      </c>
      <c r="L37" s="20" t="n">
        <v>0.5995193</v>
      </c>
      <c r="M37" s="18" t="n">
        <v>0</v>
      </c>
      <c r="N37" s="20" t="n">
        <v>0</v>
      </c>
      <c r="O37" s="18" t="n">
        <v>0</v>
      </c>
      <c r="P37" s="20" t="n">
        <v>0</v>
      </c>
      <c r="Q37" s="18" t="n">
        <v>15.07178116</v>
      </c>
      <c r="R37" s="20" t="n">
        <v>1.34101735</v>
      </c>
    </row>
    <row r="38" spans="1:18">
      <c r="A38" s="15" t="s">
        <v>460</v>
      </c>
      <c r="B38" s="17" t="n">
        <v>5860</v>
      </c>
      <c r="C38" s="18">
        <f>(4916.0/B38*100)</f>
        <v/>
      </c>
      <c r="D38" s="19" t="n">
        <v>944</v>
      </c>
      <c r="E38" s="18" t="n">
        <v>64.79292959</v>
      </c>
      <c r="F38" s="20" t="n">
        <v>1.95240237</v>
      </c>
      <c r="G38" s="18" t="n">
        <v>22.5446301</v>
      </c>
      <c r="H38" s="20" t="n">
        <v>1.78235487</v>
      </c>
      <c r="I38" s="18" t="n">
        <v>0</v>
      </c>
      <c r="J38" s="20" t="n">
        <v>0</v>
      </c>
      <c r="K38" s="18" t="n">
        <v>1.84960933</v>
      </c>
      <c r="L38" s="20" t="n">
        <v>0.45640879</v>
      </c>
      <c r="M38" s="18" t="n">
        <v>0</v>
      </c>
      <c r="N38" s="20" t="n">
        <v>0</v>
      </c>
      <c r="O38" s="18" t="n">
        <v>0</v>
      </c>
      <c r="P38" s="20" t="n">
        <v>0</v>
      </c>
      <c r="Q38" s="18" t="n">
        <v>10.81283098</v>
      </c>
      <c r="R38" s="20" t="n">
        <v>1.27456478</v>
      </c>
    </row>
    <row r="39" spans="1:18">
      <c r="A39" s="15" t="s">
        <v>461</v>
      </c>
      <c r="B39" s="17" t="n">
        <v>5895</v>
      </c>
      <c r="C39" s="18">
        <f>(5171.0/B39*100)</f>
        <v/>
      </c>
      <c r="D39" s="19" t="n">
        <v>724</v>
      </c>
      <c r="E39" s="18" t="n">
        <v>70.02857428</v>
      </c>
      <c r="F39" s="20" t="n">
        <v>1.68362384</v>
      </c>
      <c r="G39" s="18" t="n">
        <v>4.64250202</v>
      </c>
      <c r="H39" s="20" t="n">
        <v>0.82672569</v>
      </c>
      <c r="I39" s="18" t="n">
        <v>0</v>
      </c>
      <c r="J39" s="20" t="n">
        <v>0</v>
      </c>
      <c r="K39" s="18" t="n">
        <v>0.92219927</v>
      </c>
      <c r="L39" s="20" t="n">
        <v>0.40975746</v>
      </c>
      <c r="M39" s="18" t="n">
        <v>0</v>
      </c>
      <c r="N39" s="20" t="n">
        <v>0</v>
      </c>
      <c r="O39" s="18" t="n">
        <v>0</v>
      </c>
      <c r="P39" s="20" t="n">
        <v>0</v>
      </c>
      <c r="Q39" s="18" t="n">
        <v>24.40672444</v>
      </c>
      <c r="R39" s="20" t="n">
        <v>1.6446838</v>
      </c>
    </row>
    <row r="40" spans="1:18">
      <c r="A40" s="15" t="s">
        <v>462</v>
      </c>
      <c r="B40" s="17" t="n">
        <v>14157</v>
      </c>
      <c r="C40" s="18">
        <f>(12446.0/B40*100)</f>
        <v/>
      </c>
      <c r="D40" s="19" t="n">
        <v>1711</v>
      </c>
      <c r="E40" s="18" t="n">
        <v>62.16748909</v>
      </c>
      <c r="F40" s="20" t="n">
        <v>1.64314741</v>
      </c>
      <c r="G40" s="18" t="n">
        <v>26.91829712</v>
      </c>
      <c r="H40" s="20" t="n">
        <v>1.55023731</v>
      </c>
      <c r="I40" s="18" t="n">
        <v>0</v>
      </c>
      <c r="J40" s="20" t="n">
        <v>0</v>
      </c>
      <c r="K40" s="18" t="n">
        <v>0.90632115</v>
      </c>
      <c r="L40" s="20" t="n">
        <v>0.29650884</v>
      </c>
      <c r="M40" s="18" t="n">
        <v>0</v>
      </c>
      <c r="N40" s="20" t="n">
        <v>0</v>
      </c>
      <c r="O40" s="18" t="n">
        <v>0</v>
      </c>
      <c r="P40" s="20" t="n">
        <v>0</v>
      </c>
      <c r="Q40" s="18" t="n">
        <v>10.00789263</v>
      </c>
      <c r="R40" s="20" t="n">
        <v>1.09057787</v>
      </c>
    </row>
    <row r="41" spans="1:18">
      <c r="A41" s="15" t="s">
        <v>463</v>
      </c>
      <c r="B41" s="17" t="n">
        <v>5712</v>
      </c>
      <c r="C41" s="18">
        <f>(5051.0/B41*100)</f>
        <v/>
      </c>
      <c r="D41" s="19" t="n">
        <v>661</v>
      </c>
      <c r="E41" s="18" t="n">
        <v>68.80975313</v>
      </c>
      <c r="F41" s="20" t="n">
        <v>1.77957588</v>
      </c>
      <c r="G41" s="18" t="n">
        <v>23.76520712</v>
      </c>
      <c r="H41" s="20" t="n">
        <v>1.6317166</v>
      </c>
      <c r="I41" s="18" t="n">
        <v>0</v>
      </c>
      <c r="J41" s="20" t="n">
        <v>0</v>
      </c>
      <c r="K41" s="18" t="n">
        <v>0.83887661</v>
      </c>
      <c r="L41" s="20" t="n">
        <v>0.33558788</v>
      </c>
      <c r="M41" s="18" t="n">
        <v>0</v>
      </c>
      <c r="N41" s="20" t="n">
        <v>0</v>
      </c>
      <c r="O41" s="18" t="n">
        <v>0</v>
      </c>
      <c r="P41" s="20" t="n">
        <v>0</v>
      </c>
      <c r="Q41" s="18" t="n">
        <v>6.58616313</v>
      </c>
      <c r="R41" s="20" t="n">
        <v>0.9749733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(20905.0/B46*100)</f>
        <v/>
      </c>
      <c r="D46" s="19" t="n">
        <v>2236</v>
      </c>
      <c r="E46" s="18" t="n">
        <v>60.45637937</v>
      </c>
      <c r="F46" s="20" t="n">
        <v>1.39318806</v>
      </c>
      <c r="G46" s="18" t="n">
        <v>6.29419973</v>
      </c>
      <c r="H46" s="20" t="n">
        <v>0.73460482</v>
      </c>
      <c r="I46" s="18" t="n">
        <v>0</v>
      </c>
      <c r="J46" s="20" t="n">
        <v>0</v>
      </c>
      <c r="K46" s="18" t="n">
        <v>2.03314481</v>
      </c>
      <c r="L46" s="20" t="n">
        <v>0.38692614</v>
      </c>
      <c r="M46" s="18" t="n">
        <v>0</v>
      </c>
      <c r="N46" s="20" t="n">
        <v>0</v>
      </c>
      <c r="O46" s="18" t="n">
        <v>0</v>
      </c>
      <c r="P46" s="20" t="n">
        <v>0</v>
      </c>
      <c r="Q46" s="18" t="n">
        <v>31.2162761</v>
      </c>
      <c r="R46" s="20" t="n">
        <v>1.34977969</v>
      </c>
    </row>
    <row r="47" spans="1:18">
      <c r="A47" s="15" t="s">
        <v>470</v>
      </c>
      <c r="B47" s="17" t="n">
        <v>5928</v>
      </c>
      <c r="C47" s="18">
        <f>(5240.0/B47*100)</f>
        <v/>
      </c>
      <c r="D47" s="19" t="n">
        <v>688</v>
      </c>
      <c r="E47" s="18" t="n">
        <v>59.96002515</v>
      </c>
      <c r="F47" s="20" t="n">
        <v>2.01672302</v>
      </c>
      <c r="G47" s="18" t="n">
        <v>15.16294293</v>
      </c>
      <c r="H47" s="20" t="n">
        <v>1.42562285</v>
      </c>
      <c r="I47" s="18" t="n">
        <v>0</v>
      </c>
      <c r="J47" s="20" t="n">
        <v>0</v>
      </c>
      <c r="K47" s="18" t="n">
        <v>1.3049515</v>
      </c>
      <c r="L47" s="20" t="n">
        <v>0.51864193</v>
      </c>
      <c r="M47" s="18" t="n">
        <v>0</v>
      </c>
      <c r="N47" s="20" t="n">
        <v>0</v>
      </c>
      <c r="O47" s="18" t="n">
        <v>0</v>
      </c>
      <c r="P47" s="20" t="n">
        <v>0</v>
      </c>
      <c r="Q47" s="18" t="n">
        <v>23.57208043</v>
      </c>
      <c r="R47" s="20" t="n">
        <v>1.66944468</v>
      </c>
    </row>
    <row r="48" spans="1:18">
      <c r="A48" s="15" t="s">
        <v>471</v>
      </c>
      <c r="B48" s="17" t="n">
        <v>9841</v>
      </c>
      <c r="C48" s="18">
        <f>(8602.0/B48*100)</f>
        <v/>
      </c>
      <c r="D48" s="19" t="n">
        <v>1239</v>
      </c>
      <c r="E48" s="18" t="n">
        <v>63.65939741</v>
      </c>
      <c r="F48" s="20" t="n">
        <v>1.83183167</v>
      </c>
      <c r="G48" s="18" t="n">
        <v>21.30432316</v>
      </c>
      <c r="H48" s="20" t="n">
        <v>1.44630878</v>
      </c>
      <c r="I48" s="18" t="n">
        <v>0</v>
      </c>
      <c r="J48" s="20" t="n">
        <v>0</v>
      </c>
      <c r="K48" s="18" t="n">
        <v>0.94289165</v>
      </c>
      <c r="L48" s="20" t="n">
        <v>0.41368539</v>
      </c>
      <c r="M48" s="18" t="n">
        <v>0</v>
      </c>
      <c r="N48" s="20" t="n">
        <v>0</v>
      </c>
      <c r="O48" s="18" t="n">
        <v>0</v>
      </c>
      <c r="P48" s="20" t="n">
        <v>0</v>
      </c>
      <c r="Q48" s="18" t="n">
        <v>14.09338778</v>
      </c>
      <c r="R48" s="20" t="n">
        <v>1.55055848</v>
      </c>
    </row>
    <row r="49" spans="1:18">
      <c r="A49" s="15" t="s">
        <v>472</v>
      </c>
      <c r="B49" s="17" t="n">
        <v>11795</v>
      </c>
      <c r="C49" s="18">
        <f>(10423.0/B49*100)</f>
        <v/>
      </c>
      <c r="D49" s="19" t="n">
        <v>1372</v>
      </c>
      <c r="E49" s="18" t="n">
        <v>70.82670854</v>
      </c>
      <c r="F49" s="20" t="n">
        <v>1.68947368</v>
      </c>
      <c r="G49" s="18" t="n">
        <v>7.2021307</v>
      </c>
      <c r="H49" s="20" t="n">
        <v>0.75571107</v>
      </c>
      <c r="I49" s="18" t="n">
        <v>0</v>
      </c>
      <c r="J49" s="20" t="n">
        <v>0</v>
      </c>
      <c r="K49" s="18" t="n">
        <v>2.51176994</v>
      </c>
      <c r="L49" s="20" t="n">
        <v>0.52641983</v>
      </c>
      <c r="M49" s="18" t="n">
        <v>0</v>
      </c>
      <c r="N49" s="20" t="n">
        <v>0</v>
      </c>
      <c r="O49" s="18" t="n">
        <v>0</v>
      </c>
      <c r="P49" s="20" t="n">
        <v>0</v>
      </c>
      <c r="Q49" s="18" t="n">
        <v>19.45939082</v>
      </c>
      <c r="R49" s="20" t="n">
        <v>1.49645194</v>
      </c>
    </row>
    <row r="50" spans="1:18">
      <c r="A50" s="15" t="s">
        <v>473</v>
      </c>
      <c r="B50" s="17" t="n">
        <v>6866</v>
      </c>
      <c r="C50" s="18">
        <f>(6183.0/B50*100)</f>
        <v/>
      </c>
      <c r="D50" s="19" t="n">
        <v>683</v>
      </c>
      <c r="E50" s="18" t="n">
        <v>73.69066264999999</v>
      </c>
      <c r="F50" s="20" t="n">
        <v>2.00128766</v>
      </c>
      <c r="G50" s="18" t="n">
        <v>8.26247985</v>
      </c>
      <c r="H50" s="20" t="n">
        <v>1.39182579</v>
      </c>
      <c r="I50" s="18" t="n">
        <v>0</v>
      </c>
      <c r="J50" s="20" t="n">
        <v>0</v>
      </c>
      <c r="K50" s="18" t="n">
        <v>0.82366764</v>
      </c>
      <c r="L50" s="20" t="n">
        <v>0.37405301</v>
      </c>
      <c r="M50" s="18" t="n">
        <v>0</v>
      </c>
      <c r="N50" s="20" t="n">
        <v>0</v>
      </c>
      <c r="O50" s="18" t="n">
        <v>0</v>
      </c>
      <c r="P50" s="20" t="n">
        <v>0</v>
      </c>
      <c r="Q50" s="18" t="n">
        <v>17.22318986</v>
      </c>
      <c r="R50" s="20" t="n">
        <v>1.72188339</v>
      </c>
    </row>
    <row r="51" spans="1:18">
      <c r="A51" s="15" t="s">
        <v>474</v>
      </c>
      <c r="B51" s="17" t="n">
        <v>5809</v>
      </c>
      <c r="C51" s="18">
        <f>(5099.0/B51*100)</f>
        <v/>
      </c>
      <c r="D51" s="19" t="n">
        <v>710</v>
      </c>
      <c r="E51" s="18" t="n">
        <v>69.11792194</v>
      </c>
      <c r="F51" s="20" t="n">
        <v>1.72260455</v>
      </c>
      <c r="G51" s="18" t="n">
        <v>18.29032636</v>
      </c>
      <c r="H51" s="20" t="n">
        <v>1.48753283</v>
      </c>
      <c r="I51" s="18" t="n">
        <v>0</v>
      </c>
      <c r="J51" s="20" t="n">
        <v>0</v>
      </c>
      <c r="K51" s="18" t="n">
        <v>0.42220569</v>
      </c>
      <c r="L51" s="20" t="n">
        <v>0.24241815</v>
      </c>
      <c r="M51" s="18" t="n">
        <v>0</v>
      </c>
      <c r="N51" s="20" t="n">
        <v>0</v>
      </c>
      <c r="O51" s="18" t="n">
        <v>0</v>
      </c>
      <c r="P51" s="20" t="n">
        <v>0</v>
      </c>
      <c r="Q51" s="18" t="n">
        <v>12.16954601</v>
      </c>
      <c r="R51" s="20" t="n">
        <v>1.12543412</v>
      </c>
    </row>
    <row r="52" spans="1:18">
      <c r="A52" s="15" t="s">
        <v>475</v>
      </c>
      <c r="B52" s="17" t="n">
        <v>5571</v>
      </c>
      <c r="C52" s="18">
        <f>(4911.0/B52*100)</f>
        <v/>
      </c>
      <c r="D52" s="19" t="n">
        <v>660</v>
      </c>
      <c r="E52" s="18" t="n">
        <v>68.08229718</v>
      </c>
      <c r="F52" s="20" t="n">
        <v>1.89210403</v>
      </c>
      <c r="G52" s="18" t="n">
        <v>4.87004621</v>
      </c>
      <c r="H52" s="20" t="n">
        <v>0.88350544</v>
      </c>
      <c r="I52" s="18" t="n">
        <v>0</v>
      </c>
      <c r="J52" s="20" t="n">
        <v>0</v>
      </c>
      <c r="K52" s="18" t="n">
        <v>2.01193062</v>
      </c>
      <c r="L52" s="20" t="n">
        <v>0.55680919</v>
      </c>
      <c r="M52" s="18" t="n">
        <v>0</v>
      </c>
      <c r="N52" s="20" t="n">
        <v>0</v>
      </c>
      <c r="O52" s="18" t="n">
        <v>0</v>
      </c>
      <c r="P52" s="20" t="n">
        <v>0</v>
      </c>
      <c r="Q52" s="18" t="n">
        <v>25.03572599</v>
      </c>
      <c r="R52" s="20" t="n">
        <v>1.8441783</v>
      </c>
    </row>
    <row r="53" spans="1:18">
      <c r="A53" s="15" t="s">
        <v>476</v>
      </c>
      <c r="B53" s="17" t="n">
        <v>4740</v>
      </c>
      <c r="C53" s="18">
        <f>(3947.0/B53*100)</f>
        <v/>
      </c>
      <c r="D53" s="19" t="n">
        <v>793</v>
      </c>
      <c r="E53" s="18" t="n">
        <v>46.55247204</v>
      </c>
      <c r="F53" s="20" t="n">
        <v>1.88544683</v>
      </c>
      <c r="G53" s="18" t="n">
        <v>2.24766503</v>
      </c>
      <c r="H53" s="20" t="n">
        <v>0.60809852</v>
      </c>
      <c r="I53" s="18" t="n">
        <v>0</v>
      </c>
      <c r="J53" s="20" t="n">
        <v>0</v>
      </c>
      <c r="K53" s="18" t="n">
        <v>20.17994665</v>
      </c>
      <c r="L53" s="20" t="n">
        <v>1.58272697</v>
      </c>
      <c r="M53" s="18" t="n">
        <v>0</v>
      </c>
      <c r="N53" s="20" t="n">
        <v>0</v>
      </c>
      <c r="O53" s="18" t="n">
        <v>0</v>
      </c>
      <c r="P53" s="20" t="n">
        <v>0</v>
      </c>
      <c r="Q53" s="18" t="n">
        <v>31.01991629</v>
      </c>
      <c r="R53" s="20" t="n">
        <v>1.97800003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(4694.0/B55*100)</f>
        <v/>
      </c>
      <c r="D55" s="19" t="n">
        <v>665</v>
      </c>
      <c r="E55" s="18" t="n">
        <v>83.61728552</v>
      </c>
      <c r="F55" s="20" t="n">
        <v>1.46647571</v>
      </c>
      <c r="G55" s="18" t="n">
        <v>9.90656841</v>
      </c>
      <c r="H55" s="20" t="n">
        <v>1.28397461</v>
      </c>
      <c r="I55" s="18" t="n">
        <v>0</v>
      </c>
      <c r="J55" s="20" t="n">
        <v>0</v>
      </c>
      <c r="K55" s="18" t="n">
        <v>0.37508054</v>
      </c>
      <c r="L55" s="20" t="n">
        <v>0.26294316</v>
      </c>
      <c r="M55" s="18" t="n">
        <v>0</v>
      </c>
      <c r="N55" s="20" t="n">
        <v>0</v>
      </c>
      <c r="O55" s="18" t="n">
        <v>0</v>
      </c>
      <c r="P55" s="20" t="n">
        <v>0</v>
      </c>
      <c r="Q55" s="18" t="n">
        <v>6.10106552</v>
      </c>
      <c r="R55" s="20" t="n">
        <v>0.98412878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(5749.0/B61*100)</f>
        <v/>
      </c>
      <c r="D61" s="19" t="n">
        <v>776</v>
      </c>
      <c r="E61" s="18" t="n">
        <v>64.08618733</v>
      </c>
      <c r="F61" s="20" t="n">
        <v>1.91314153</v>
      </c>
      <c r="G61" s="18" t="n">
        <v>18.30202158</v>
      </c>
      <c r="H61" s="20" t="n">
        <v>1.61415445</v>
      </c>
      <c r="I61" s="18" t="n">
        <v>0</v>
      </c>
      <c r="J61" s="20" t="n">
        <v>0</v>
      </c>
      <c r="K61" s="18" t="n">
        <v>0.62311512</v>
      </c>
      <c r="L61" s="20" t="n">
        <v>0.27702036</v>
      </c>
      <c r="M61" s="18" t="n">
        <v>0</v>
      </c>
      <c r="N61" s="20" t="n">
        <v>0</v>
      </c>
      <c r="O61" s="18" t="n">
        <v>0</v>
      </c>
      <c r="P61" s="20" t="n">
        <v>0</v>
      </c>
      <c r="Q61" s="18" t="n">
        <v>16.98867598</v>
      </c>
      <c r="R61" s="20" t="n">
        <v>1.44472205</v>
      </c>
    </row>
    <row r="62" spans="1:18">
      <c r="A62" s="15" t="s">
        <v>486</v>
      </c>
      <c r="B62" s="17" t="n">
        <v>4476</v>
      </c>
      <c r="C62" s="18">
        <f>(3943.0/B62*100)</f>
        <v/>
      </c>
      <c r="D62" s="19" t="n">
        <v>533</v>
      </c>
      <c r="E62" s="18" t="n">
        <v>84.21615156999999</v>
      </c>
      <c r="F62" s="20" t="n">
        <v>1.79392249</v>
      </c>
      <c r="G62" s="18" t="n">
        <v>11.66429197</v>
      </c>
      <c r="H62" s="20" t="n">
        <v>1.49140289</v>
      </c>
      <c r="I62" s="18" t="n">
        <v>0</v>
      </c>
      <c r="J62" s="20" t="n">
        <v>0</v>
      </c>
      <c r="K62" s="18" t="n">
        <v>0</v>
      </c>
      <c r="L62" s="20" t="n">
        <v>0</v>
      </c>
      <c r="M62" s="18" t="n">
        <v>0</v>
      </c>
      <c r="N62" s="20" t="n">
        <v>0</v>
      </c>
      <c r="O62" s="18" t="n">
        <v>0</v>
      </c>
      <c r="P62" s="20" t="n">
        <v>0</v>
      </c>
      <c r="Q62" s="18" t="n">
        <v>4.11955646</v>
      </c>
      <c r="R62" s="20" t="n">
        <v>0.88997315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(4997.0/B67*100)</f>
        <v/>
      </c>
      <c r="D67" s="19" t="n">
        <v>668</v>
      </c>
      <c r="E67" s="18" t="n">
        <v>58.63743171</v>
      </c>
      <c r="F67" s="20" t="n">
        <v>1.91290252</v>
      </c>
      <c r="G67" s="18" t="n">
        <v>12.50862863</v>
      </c>
      <c r="H67" s="20" t="n">
        <v>1.45253255</v>
      </c>
      <c r="I67" s="18" t="n">
        <v>0</v>
      </c>
      <c r="J67" s="20" t="n">
        <v>0</v>
      </c>
      <c r="K67" s="18" t="n">
        <v>2.89687576</v>
      </c>
      <c r="L67" s="20" t="n">
        <v>0.6266494500000001</v>
      </c>
      <c r="M67" s="18" t="n">
        <v>0</v>
      </c>
      <c r="N67" s="20" t="n">
        <v>0</v>
      </c>
      <c r="O67" s="18" t="n">
        <v>0</v>
      </c>
      <c r="P67" s="20" t="n">
        <v>0</v>
      </c>
      <c r="Q67" s="18" t="n">
        <v>25.9570639</v>
      </c>
      <c r="R67" s="20" t="n">
        <v>1.59933555</v>
      </c>
    </row>
    <row r="68" spans="1:18">
      <c r="A68" s="15" t="s">
        <v>492</v>
      </c>
      <c r="B68" s="17" t="n">
        <v>6971</v>
      </c>
      <c r="C68" s="18">
        <f>(6262.0/B68*100)</f>
        <v/>
      </c>
      <c r="D68" s="19" t="n">
        <v>709</v>
      </c>
      <c r="E68" s="18" t="n">
        <v>71.0633716</v>
      </c>
      <c r="F68" s="20" t="n">
        <v>1.90895976</v>
      </c>
      <c r="G68" s="18" t="n">
        <v>6.80450442</v>
      </c>
      <c r="H68" s="20" t="n">
        <v>0.95051095</v>
      </c>
      <c r="I68" s="18" t="n">
        <v>0</v>
      </c>
      <c r="J68" s="20" t="n">
        <v>0</v>
      </c>
      <c r="K68" s="18" t="n">
        <v>1.13851493</v>
      </c>
      <c r="L68" s="20" t="n">
        <v>0.36965433</v>
      </c>
      <c r="M68" s="18" t="n">
        <v>0</v>
      </c>
      <c r="N68" s="20" t="n">
        <v>0</v>
      </c>
      <c r="O68" s="18" t="n">
        <v>0</v>
      </c>
      <c r="P68" s="20" t="n">
        <v>0</v>
      </c>
      <c r="Q68" s="18" t="n">
        <v>20.99360906</v>
      </c>
      <c r="R68" s="20" t="n">
        <v>1.62907873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(10071.0/B70*100)</f>
        <v/>
      </c>
      <c r="D70" s="19" t="n">
        <v>2012</v>
      </c>
      <c r="E70" s="18" t="n">
        <v>64.51796467</v>
      </c>
      <c r="F70" s="20" t="n">
        <v>0.9215028199999999</v>
      </c>
      <c r="G70" s="18" t="n">
        <v>7.94712312</v>
      </c>
      <c r="H70" s="20" t="n">
        <v>0.58261591</v>
      </c>
      <c r="I70" s="18" t="n">
        <v>0</v>
      </c>
      <c r="J70" s="20" t="n">
        <v>0</v>
      </c>
      <c r="K70" s="18" t="n">
        <v>5.00011135</v>
      </c>
      <c r="L70" s="20" t="n">
        <v>0.47232153</v>
      </c>
      <c r="M70" s="18" t="n">
        <v>0</v>
      </c>
      <c r="N70" s="20" t="n">
        <v>0</v>
      </c>
      <c r="O70" s="18" t="n">
        <v>0</v>
      </c>
      <c r="P70" s="20" t="n">
        <v>0</v>
      </c>
      <c r="Q70" s="18" t="n">
        <v>22.53480086</v>
      </c>
      <c r="R70" s="20" t="n">
        <v>0.7919212</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(5340.0/B72*100)</f>
        <v/>
      </c>
      <c r="D72" s="19" t="n">
        <v>696</v>
      </c>
      <c r="E72" s="18" t="n">
        <v>66.64980405999999</v>
      </c>
      <c r="F72" s="20" t="n">
        <v>1.75473992</v>
      </c>
      <c r="G72" s="18" t="n">
        <v>18.22946173</v>
      </c>
      <c r="H72" s="20" t="n">
        <v>1.71725496</v>
      </c>
      <c r="I72" s="18" t="n">
        <v>0</v>
      </c>
      <c r="J72" s="20" t="n">
        <v>0</v>
      </c>
      <c r="K72" s="18" t="n">
        <v>0.70995749</v>
      </c>
      <c r="L72" s="20" t="n">
        <v>0.3324298</v>
      </c>
      <c r="M72" s="18" t="n">
        <v>0</v>
      </c>
      <c r="N72" s="20" t="n">
        <v>0</v>
      </c>
      <c r="O72" s="18" t="n">
        <v>0</v>
      </c>
      <c r="P72" s="20" t="n">
        <v>0</v>
      </c>
      <c r="Q72" s="18" t="n">
        <v>14.41077672</v>
      </c>
      <c r="R72" s="20" t="n">
        <v>1.34878849</v>
      </c>
    </row>
    <row r="73" spans="1:18">
      <c r="A73" s="15" t="s">
        <v>497</v>
      </c>
      <c r="B73" s="17" t="n">
        <v>6115</v>
      </c>
      <c r="C73" s="18">
        <f>(5360.0/B73*100)</f>
        <v/>
      </c>
      <c r="D73" s="19" t="n">
        <v>755</v>
      </c>
      <c r="E73" s="18" t="n">
        <v>65.49644172000001</v>
      </c>
      <c r="F73" s="20" t="n">
        <v>2.0166102</v>
      </c>
      <c r="G73" s="18" t="n">
        <v>27.4890863</v>
      </c>
      <c r="H73" s="20" t="n">
        <v>1.80771282</v>
      </c>
      <c r="I73" s="18" t="n">
        <v>0</v>
      </c>
      <c r="J73" s="20" t="n">
        <v>0</v>
      </c>
      <c r="K73" s="18" t="n">
        <v>0.12197655</v>
      </c>
      <c r="L73" s="20" t="n">
        <v>0.122104</v>
      </c>
      <c r="M73" s="18" t="n">
        <v>0</v>
      </c>
      <c r="N73" s="20" t="n">
        <v>0</v>
      </c>
      <c r="O73" s="18" t="n">
        <v>0</v>
      </c>
      <c r="P73" s="20" t="n">
        <v>0</v>
      </c>
      <c r="Q73" s="18" t="n">
        <v>6.89249544</v>
      </c>
      <c r="R73" s="20" t="n">
        <v>0.79755022</v>
      </c>
    </row>
    <row r="74" spans="1:18">
      <c r="A74" s="15" t="s">
        <v>498</v>
      </c>
      <c r="B74" s="17" t="n">
        <v>7708</v>
      </c>
      <c r="C74" s="18">
        <f>(6765.0/B74*100)</f>
        <v/>
      </c>
      <c r="D74" s="19" t="n">
        <v>943</v>
      </c>
      <c r="E74" s="18" t="n">
        <v>87.58471271000001</v>
      </c>
      <c r="F74" s="20" t="n">
        <v>1.02703653</v>
      </c>
      <c r="G74" s="18" t="n">
        <v>7.66080255</v>
      </c>
      <c r="H74" s="20" t="n">
        <v>0.86986356</v>
      </c>
      <c r="I74" s="18" t="n">
        <v>0</v>
      </c>
      <c r="J74" s="20" t="n">
        <v>0</v>
      </c>
      <c r="K74" s="18" t="n">
        <v>0.4367494</v>
      </c>
      <c r="L74" s="20" t="n">
        <v>0.22468006</v>
      </c>
      <c r="M74" s="18" t="n">
        <v>0</v>
      </c>
      <c r="N74" s="20" t="n">
        <v>0</v>
      </c>
      <c r="O74" s="18" t="n">
        <v>0</v>
      </c>
      <c r="P74" s="20" t="n">
        <v>0</v>
      </c>
      <c r="Q74" s="18" t="n">
        <v>4.31773534</v>
      </c>
      <c r="R74" s="20" t="n">
        <v>0.53424637</v>
      </c>
    </row>
    <row r="75" spans="1:18">
      <c r="A75" s="15" t="s">
        <v>499</v>
      </c>
      <c r="B75" s="17" t="n">
        <v>8249</v>
      </c>
      <c r="C75" s="18">
        <f>(7308.0/B75*100)</f>
        <v/>
      </c>
      <c r="D75" s="19" t="n">
        <v>941</v>
      </c>
      <c r="E75" s="18" t="n">
        <v>69.54867324999999</v>
      </c>
      <c r="F75" s="20" t="n">
        <v>1.95297229</v>
      </c>
      <c r="G75" s="18" t="n">
        <v>7.4828656</v>
      </c>
      <c r="H75" s="20" t="n">
        <v>1.09980444</v>
      </c>
      <c r="I75" s="18" t="n">
        <v>0</v>
      </c>
      <c r="J75" s="20" t="n">
        <v>0</v>
      </c>
      <c r="K75" s="18" t="n">
        <v>0.01085807</v>
      </c>
      <c r="L75" s="20" t="n">
        <v>0.00788472</v>
      </c>
      <c r="M75" s="18" t="n">
        <v>0</v>
      </c>
      <c r="N75" s="20" t="n">
        <v>0</v>
      </c>
      <c r="O75" s="18" t="n">
        <v>0</v>
      </c>
      <c r="P75" s="20" t="n">
        <v>0</v>
      </c>
      <c r="Q75" s="18" t="n">
        <v>22.95760308</v>
      </c>
      <c r="R75" s="20" t="n">
        <v>1.86158073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(4803.0/B77*100)</f>
        <v/>
      </c>
      <c r="D77" s="19" t="n">
        <v>572</v>
      </c>
      <c r="E77" s="18" t="n">
        <v>65.18830503</v>
      </c>
      <c r="F77" s="20" t="n">
        <v>2.18394026</v>
      </c>
      <c r="G77" s="18" t="n">
        <v>3.97080083</v>
      </c>
      <c r="H77" s="20" t="n">
        <v>0.76288795</v>
      </c>
      <c r="I77" s="18" t="n">
        <v>0</v>
      </c>
      <c r="J77" s="20" t="n">
        <v>0</v>
      </c>
      <c r="K77" s="18" t="n">
        <v>5.56620986</v>
      </c>
      <c r="L77" s="20" t="n">
        <v>1.00914256</v>
      </c>
      <c r="M77" s="18" t="n">
        <v>0</v>
      </c>
      <c r="N77" s="20" t="n">
        <v>0</v>
      </c>
      <c r="O77" s="18" t="n">
        <v>0</v>
      </c>
      <c r="P77" s="20" t="n">
        <v>0</v>
      </c>
      <c r="Q77" s="18" t="n">
        <v>25.27468428</v>
      </c>
      <c r="R77" s="20" t="n">
        <v>1.85969494</v>
      </c>
    </row>
    <row r="78" spans="1:18">
      <c r="A78" s="15" t="s">
        <v>502</v>
      </c>
      <c r="B78" s="17" t="n">
        <v>14167</v>
      </c>
      <c r="C78" s="18">
        <f>(12450.0/B78*100)</f>
        <v/>
      </c>
      <c r="D78" s="19" t="n">
        <v>1717</v>
      </c>
      <c r="E78" s="18" t="n">
        <v>75.32556765</v>
      </c>
      <c r="F78" s="20" t="n">
        <v>1.41694685</v>
      </c>
      <c r="G78" s="18" t="n">
        <v>9.663053270000001</v>
      </c>
      <c r="H78" s="20" t="n">
        <v>0.9796116499999999</v>
      </c>
      <c r="I78" s="18" t="n">
        <v>0</v>
      </c>
      <c r="J78" s="20" t="n">
        <v>0</v>
      </c>
      <c r="K78" s="18" t="n">
        <v>1.35034058</v>
      </c>
      <c r="L78" s="20" t="n">
        <v>0.3036495</v>
      </c>
      <c r="M78" s="18" t="n">
        <v>0</v>
      </c>
      <c r="N78" s="20" t="n">
        <v>0</v>
      </c>
      <c r="O78" s="18" t="n">
        <v>0</v>
      </c>
      <c r="P78" s="20" t="n">
        <v>0</v>
      </c>
      <c r="Q78" s="18" t="n">
        <v>13.6610385</v>
      </c>
      <c r="R78" s="20" t="n">
        <v>1.08520328</v>
      </c>
    </row>
    <row r="79" spans="1:18">
      <c r="A79" s="15" t="s">
        <v>503</v>
      </c>
      <c r="B79" s="17" t="n">
        <v>6062</v>
      </c>
      <c r="C79" s="18">
        <f>(5405.0/B79*100)</f>
        <v/>
      </c>
      <c r="D79" s="19" t="n">
        <v>657</v>
      </c>
      <c r="E79" s="18" t="n">
        <v>62.3034817</v>
      </c>
      <c r="F79" s="20" t="n">
        <v>2.31219554</v>
      </c>
      <c r="G79" s="18" t="n">
        <v>10.52004358</v>
      </c>
      <c r="H79" s="20" t="n">
        <v>1.34695903</v>
      </c>
      <c r="I79" s="18" t="n">
        <v>0</v>
      </c>
      <c r="J79" s="20" t="n">
        <v>0</v>
      </c>
      <c r="K79" s="18" t="n">
        <v>5.78685999</v>
      </c>
      <c r="L79" s="20" t="n">
        <v>1.00413944</v>
      </c>
      <c r="M79" s="18" t="n">
        <v>0</v>
      </c>
      <c r="N79" s="20" t="n">
        <v>0</v>
      </c>
      <c r="O79" s="18" t="n">
        <v>0</v>
      </c>
      <c r="P79" s="20" t="n">
        <v>0</v>
      </c>
      <c r="Q79" s="18" t="n">
        <v>21.38961473</v>
      </c>
      <c r="R79" s="20" t="n">
        <v>1.62652381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(28494.0/B82*100)</f>
        <v/>
      </c>
      <c r="D82" s="19" t="n">
        <v>3836</v>
      </c>
      <c r="E82" s="18" t="n">
        <v>69.16289955000001</v>
      </c>
      <c r="F82" s="20" t="n">
        <v>1.14346838</v>
      </c>
      <c r="G82" s="18" t="n">
        <v>18.91740017</v>
      </c>
      <c r="H82" s="20" t="n">
        <v>0.92716211</v>
      </c>
      <c r="I82" s="18" t="n">
        <v>0</v>
      </c>
      <c r="J82" s="20" t="n">
        <v>0</v>
      </c>
      <c r="K82" s="18" t="n">
        <v>1.02552283</v>
      </c>
      <c r="L82" s="20" t="n">
        <v>0.22978147</v>
      </c>
      <c r="M82" s="18" t="n">
        <v>0</v>
      </c>
      <c r="N82" s="20" t="n">
        <v>0</v>
      </c>
      <c r="O82" s="18" t="n">
        <v>0</v>
      </c>
      <c r="P82" s="20" t="n">
        <v>0</v>
      </c>
      <c r="Q82" s="18" t="n">
        <v>10.89417745</v>
      </c>
      <c r="R82" s="20" t="n">
        <v>0.86397856</v>
      </c>
    </row>
    <row r="83" spans="1:18">
      <c r="A83" s="15" t="s">
        <v>507</v>
      </c>
      <c r="B83" s="17" t="n">
        <v>1652</v>
      </c>
      <c r="C83" s="18">
        <f>(1460.0/B83*100)</f>
        <v/>
      </c>
      <c r="D83" s="19" t="n">
        <v>192</v>
      </c>
      <c r="E83" s="18" t="n">
        <v>67.22202775</v>
      </c>
      <c r="F83" s="20" t="n">
        <v>4.11883775</v>
      </c>
      <c r="G83" s="18" t="n">
        <v>28.68974675</v>
      </c>
      <c r="H83" s="20" t="n">
        <v>3.89829791</v>
      </c>
      <c r="I83" s="18" t="n">
        <v>0</v>
      </c>
      <c r="J83" s="20" t="n">
        <v>0</v>
      </c>
      <c r="K83" s="18" t="n">
        <v>0</v>
      </c>
      <c r="L83" s="20" t="n">
        <v>0</v>
      </c>
      <c r="M83" s="18" t="n">
        <v>0</v>
      </c>
      <c r="N83" s="20" t="n">
        <v>0</v>
      </c>
      <c r="O83" s="18" t="n">
        <v>0</v>
      </c>
      <c r="P83" s="20" t="n">
        <v>0</v>
      </c>
      <c r="Q83" s="18" t="n">
        <v>4.0882255</v>
      </c>
      <c r="R83" s="20" t="n">
        <v>1.59384223</v>
      </c>
    </row>
    <row r="84" spans="1:18">
      <c r="A84" s="23" t="s">
        <v>508</v>
      </c>
      <c r="B84" s="24" t="n">
        <v>1887</v>
      </c>
      <c r="C84" s="25">
        <f>(1657.0/B84*100)</f>
        <v/>
      </c>
      <c r="D84" s="19" t="n">
        <v>230</v>
      </c>
      <c r="E84" s="18" t="n">
        <v>72.48124154999999</v>
      </c>
      <c r="F84" s="20" t="n">
        <v>3.2771863</v>
      </c>
      <c r="G84" s="18" t="n">
        <v>23.49206024</v>
      </c>
      <c r="H84" s="20" t="n">
        <v>2.9766754</v>
      </c>
      <c r="I84" s="18" t="n">
        <v>0</v>
      </c>
      <c r="J84" s="20" t="n">
        <v>0</v>
      </c>
      <c r="K84" s="18" t="n">
        <v>0</v>
      </c>
      <c r="L84" s="20" t="n">
        <v>0</v>
      </c>
      <c r="M84" s="18" t="n">
        <v>0</v>
      </c>
      <c r="N84" s="20" t="n">
        <v>0</v>
      </c>
      <c r="O84" s="18" t="n">
        <v>0</v>
      </c>
      <c r="P84" s="20" t="n">
        <v>0</v>
      </c>
      <c r="Q84" s="18" t="n">
        <v>4.0266982</v>
      </c>
      <c r="R84" s="20" t="n">
        <v>1.36263134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(12757.0/B7*100)</f>
        <v/>
      </c>
      <c r="D7" s="19" t="n">
        <v>1773</v>
      </c>
      <c r="E7" s="18" t="n">
        <v>42.76253261</v>
      </c>
      <c r="F7" s="20" t="n">
        <v>1.45486403</v>
      </c>
      <c r="G7" s="18" t="n">
        <v>54.8183014</v>
      </c>
      <c r="H7" s="20" t="n">
        <v>1.49209099</v>
      </c>
      <c r="I7" s="18" t="n">
        <v>0</v>
      </c>
      <c r="J7" s="20" t="n">
        <v>0</v>
      </c>
      <c r="K7" s="18" t="n">
        <v>0.83008611</v>
      </c>
      <c r="L7" s="20" t="n">
        <v>0.19867082</v>
      </c>
      <c r="M7" s="18" t="n">
        <v>0</v>
      </c>
      <c r="N7" s="20" t="n">
        <v>0</v>
      </c>
      <c r="O7" s="18" t="n">
        <v>0</v>
      </c>
      <c r="P7" s="20" t="n">
        <v>0</v>
      </c>
      <c r="Q7" s="18" t="n">
        <v>1.58907987</v>
      </c>
      <c r="R7" s="20" t="n">
        <v>0.33950165</v>
      </c>
    </row>
    <row r="8" spans="1:18">
      <c r="A8" s="15" t="s">
        <v>430</v>
      </c>
      <c r="B8" s="17" t="n">
        <v>7007</v>
      </c>
      <c r="C8" s="18">
        <f>(6172.0/B8*100)</f>
        <v/>
      </c>
      <c r="D8" s="19" t="n">
        <v>835</v>
      </c>
      <c r="E8" s="18" t="n">
        <v>42.8994717</v>
      </c>
      <c r="F8" s="20" t="n">
        <v>2.02771418</v>
      </c>
      <c r="G8" s="18" t="n">
        <v>51.05399618</v>
      </c>
      <c r="H8" s="20" t="n">
        <v>2.02458419</v>
      </c>
      <c r="I8" s="18" t="n">
        <v>0</v>
      </c>
      <c r="J8" s="20" t="n">
        <v>0</v>
      </c>
      <c r="K8" s="18" t="n">
        <v>1.31644638</v>
      </c>
      <c r="L8" s="20" t="n">
        <v>0.43010832</v>
      </c>
      <c r="M8" s="18" t="n">
        <v>0</v>
      </c>
      <c r="N8" s="20" t="n">
        <v>0</v>
      </c>
      <c r="O8" s="18" t="n">
        <v>0</v>
      </c>
      <c r="P8" s="20" t="n">
        <v>0</v>
      </c>
      <c r="Q8" s="18" t="n">
        <v>4.73008575</v>
      </c>
      <c r="R8" s="20" t="n">
        <v>0.76525043</v>
      </c>
    </row>
    <row r="9" spans="1:18">
      <c r="A9" s="15" t="s">
        <v>431</v>
      </c>
      <c r="B9" s="17" t="n">
        <v>9651</v>
      </c>
      <c r="C9" s="18">
        <f>(8537.0/B9*100)</f>
        <v/>
      </c>
      <c r="D9" s="19" t="n">
        <v>1114</v>
      </c>
      <c r="E9" s="18" t="n">
        <v>35.96151447</v>
      </c>
      <c r="F9" s="20" t="n">
        <v>1.40886166</v>
      </c>
      <c r="G9" s="18" t="n">
        <v>60.35524569</v>
      </c>
      <c r="H9" s="20" t="n">
        <v>1.44368141</v>
      </c>
      <c r="I9" s="18" t="n">
        <v>0</v>
      </c>
      <c r="J9" s="20" t="n">
        <v>0</v>
      </c>
      <c r="K9" s="18" t="n">
        <v>1.4985972</v>
      </c>
      <c r="L9" s="20" t="n">
        <v>0.29415812</v>
      </c>
      <c r="M9" s="18" t="n">
        <v>0</v>
      </c>
      <c r="N9" s="20" t="n">
        <v>0</v>
      </c>
      <c r="O9" s="18" t="n">
        <v>0</v>
      </c>
      <c r="P9" s="20" t="n">
        <v>0</v>
      </c>
      <c r="Q9" s="18" t="n">
        <v>2.18464264</v>
      </c>
      <c r="R9" s="20" t="n">
        <v>0.47805744</v>
      </c>
    </row>
    <row r="10" spans="1:18">
      <c r="A10" s="15" t="s">
        <v>432</v>
      </c>
      <c r="B10" s="17" t="n">
        <v>20058</v>
      </c>
      <c r="C10" s="18">
        <f>(17653.0/B10*100)</f>
        <v/>
      </c>
      <c r="D10" s="19" t="n">
        <v>2405</v>
      </c>
      <c r="E10" s="18" t="n">
        <v>37.67373176</v>
      </c>
      <c r="F10" s="20" t="n">
        <v>1.54789007</v>
      </c>
      <c r="G10" s="18" t="n">
        <v>59.90150287</v>
      </c>
      <c r="H10" s="20" t="n">
        <v>1.61127949</v>
      </c>
      <c r="I10" s="18" t="n">
        <v>0</v>
      </c>
      <c r="J10" s="20" t="n">
        <v>0</v>
      </c>
      <c r="K10" s="18" t="n">
        <v>0.99303625</v>
      </c>
      <c r="L10" s="20" t="n">
        <v>0.29703367</v>
      </c>
      <c r="M10" s="18" t="n">
        <v>0</v>
      </c>
      <c r="N10" s="20" t="n">
        <v>0</v>
      </c>
      <c r="O10" s="18" t="n">
        <v>0</v>
      </c>
      <c r="P10" s="20" t="n">
        <v>0</v>
      </c>
      <c r="Q10" s="18" t="n">
        <v>1.43172911</v>
      </c>
      <c r="R10" s="20" t="n">
        <v>0.29617119</v>
      </c>
    </row>
    <row r="11" spans="1:18">
      <c r="A11" s="15" t="s">
        <v>433</v>
      </c>
      <c r="B11" s="17" t="n">
        <v>7053</v>
      </c>
      <c r="C11" s="18">
        <f>(6235.0/B11*100)</f>
        <v/>
      </c>
      <c r="D11" s="19" t="n">
        <v>818</v>
      </c>
      <c r="E11" s="18" t="n">
        <v>50.99354201</v>
      </c>
      <c r="F11" s="20" t="n">
        <v>2.25085619</v>
      </c>
      <c r="G11" s="18" t="n">
        <v>41.56735472</v>
      </c>
      <c r="H11" s="20" t="n">
        <v>2.09967146</v>
      </c>
      <c r="I11" s="18" t="n">
        <v>0</v>
      </c>
      <c r="J11" s="20" t="n">
        <v>0</v>
      </c>
      <c r="K11" s="18" t="n">
        <v>2.74989864</v>
      </c>
      <c r="L11" s="20" t="n">
        <v>0.63783276</v>
      </c>
      <c r="M11" s="18" t="n">
        <v>0</v>
      </c>
      <c r="N11" s="20" t="n">
        <v>0</v>
      </c>
      <c r="O11" s="18" t="n">
        <v>0</v>
      </c>
      <c r="P11" s="20" t="n">
        <v>0</v>
      </c>
      <c r="Q11" s="18" t="n">
        <v>4.68920464</v>
      </c>
      <c r="R11" s="20" t="n">
        <v>1.0597463</v>
      </c>
    </row>
    <row r="12" spans="1:18">
      <c r="A12" s="15" t="s">
        <v>434</v>
      </c>
      <c r="B12" s="17" t="n">
        <v>6894</v>
      </c>
      <c r="C12" s="18">
        <f>(6075.0/B12*100)</f>
        <v/>
      </c>
      <c r="D12" s="19" t="n">
        <v>819</v>
      </c>
      <c r="E12" s="18" t="n">
        <v>39.19651821</v>
      </c>
      <c r="F12" s="20" t="n">
        <v>1.74072307</v>
      </c>
      <c r="G12" s="18" t="n">
        <v>57.08115607</v>
      </c>
      <c r="H12" s="20" t="n">
        <v>1.78980403</v>
      </c>
      <c r="I12" s="18" t="n">
        <v>0</v>
      </c>
      <c r="J12" s="20" t="n">
        <v>0</v>
      </c>
      <c r="K12" s="18" t="n">
        <v>0.5496015400000001</v>
      </c>
      <c r="L12" s="20" t="n">
        <v>0.22786538</v>
      </c>
      <c r="M12" s="18" t="n">
        <v>0</v>
      </c>
      <c r="N12" s="20" t="n">
        <v>0</v>
      </c>
      <c r="O12" s="18" t="n">
        <v>0</v>
      </c>
      <c r="P12" s="20" t="n">
        <v>0</v>
      </c>
      <c r="Q12" s="18" t="n">
        <v>3.17272417</v>
      </c>
      <c r="R12" s="20" t="n">
        <v>0.65474772</v>
      </c>
    </row>
    <row r="13" spans="1:18">
      <c r="A13" s="15" t="s">
        <v>435</v>
      </c>
      <c r="B13" s="17" t="n">
        <v>7161</v>
      </c>
      <c r="C13" s="18">
        <f>(6352.0/B13*100)</f>
        <v/>
      </c>
      <c r="D13" s="19" t="n">
        <v>809</v>
      </c>
      <c r="E13" s="18" t="n">
        <v>41.46312956</v>
      </c>
      <c r="F13" s="20" t="n">
        <v>2.23662734</v>
      </c>
      <c r="G13" s="18" t="n">
        <v>55.0499158</v>
      </c>
      <c r="H13" s="20" t="n">
        <v>2.35525109</v>
      </c>
      <c r="I13" s="18" t="n">
        <v>0</v>
      </c>
      <c r="J13" s="20" t="n">
        <v>0</v>
      </c>
      <c r="K13" s="18" t="n">
        <v>1.73062046</v>
      </c>
      <c r="L13" s="20" t="n">
        <v>0.39039801</v>
      </c>
      <c r="M13" s="18" t="n">
        <v>0</v>
      </c>
      <c r="N13" s="20" t="n">
        <v>0</v>
      </c>
      <c r="O13" s="18" t="n">
        <v>0</v>
      </c>
      <c r="P13" s="20" t="n">
        <v>0</v>
      </c>
      <c r="Q13" s="18" t="n">
        <v>1.75633419</v>
      </c>
      <c r="R13" s="20" t="n">
        <v>0.56706502</v>
      </c>
    </row>
    <row r="14" spans="1:18">
      <c r="A14" s="15" t="s">
        <v>436</v>
      </c>
      <c r="B14" s="17" t="n">
        <v>5587</v>
      </c>
      <c r="C14" s="18">
        <f>(4917.0/B14*100)</f>
        <v/>
      </c>
      <c r="D14" s="19" t="n">
        <v>670</v>
      </c>
      <c r="E14" s="18" t="n">
        <v>42.9710966</v>
      </c>
      <c r="F14" s="20" t="n">
        <v>1.94404222</v>
      </c>
      <c r="G14" s="18" t="n">
        <v>55.14447214</v>
      </c>
      <c r="H14" s="20" t="n">
        <v>1.93534347</v>
      </c>
      <c r="I14" s="18" t="n">
        <v>0</v>
      </c>
      <c r="J14" s="20" t="n">
        <v>0</v>
      </c>
      <c r="K14" s="18" t="n">
        <v>0.81028448</v>
      </c>
      <c r="L14" s="20" t="n">
        <v>0.30553372</v>
      </c>
      <c r="M14" s="18" t="n">
        <v>0</v>
      </c>
      <c r="N14" s="20" t="n">
        <v>0</v>
      </c>
      <c r="O14" s="18" t="n">
        <v>0</v>
      </c>
      <c r="P14" s="20" t="n">
        <v>0</v>
      </c>
      <c r="Q14" s="18" t="n">
        <v>1.07414678</v>
      </c>
      <c r="R14" s="20" t="n">
        <v>0.3730266</v>
      </c>
    </row>
    <row r="15" spans="1:18">
      <c r="A15" s="15" t="s">
        <v>437</v>
      </c>
      <c r="B15" s="17" t="n">
        <v>5882</v>
      </c>
      <c r="C15" s="18">
        <f>(5173.0/B15*100)</f>
        <v/>
      </c>
      <c r="D15" s="19" t="n">
        <v>709</v>
      </c>
      <c r="E15" s="18" t="n">
        <v>35.4594096</v>
      </c>
      <c r="F15" s="20" t="n">
        <v>1.81577568</v>
      </c>
      <c r="G15" s="18" t="n">
        <v>62.53936761</v>
      </c>
      <c r="H15" s="20" t="n">
        <v>1.86776732</v>
      </c>
      <c r="I15" s="18" t="n">
        <v>0</v>
      </c>
      <c r="J15" s="20" t="n">
        <v>0</v>
      </c>
      <c r="K15" s="18" t="n">
        <v>0.5344207600000001</v>
      </c>
      <c r="L15" s="20" t="n">
        <v>0.27317321</v>
      </c>
      <c r="M15" s="18" t="n">
        <v>0</v>
      </c>
      <c r="N15" s="20" t="n">
        <v>0</v>
      </c>
      <c r="O15" s="18" t="n">
        <v>0</v>
      </c>
      <c r="P15" s="20" t="n">
        <v>0</v>
      </c>
      <c r="Q15" s="18" t="n">
        <v>1.46680203</v>
      </c>
      <c r="R15" s="20" t="n">
        <v>0.44994989</v>
      </c>
    </row>
    <row r="16" spans="1:18">
      <c r="A16" s="15" t="s">
        <v>438</v>
      </c>
      <c r="B16" s="17" t="n">
        <v>6108</v>
      </c>
      <c r="C16" s="18">
        <f>(5362.0/B16*100)</f>
        <v/>
      </c>
      <c r="D16" s="19" t="n">
        <v>746</v>
      </c>
      <c r="E16" s="18" t="n">
        <v>39.72495652</v>
      </c>
      <c r="F16" s="20" t="n">
        <v>1.62487996</v>
      </c>
      <c r="G16" s="18" t="n">
        <v>52.60772628</v>
      </c>
      <c r="H16" s="20" t="n">
        <v>1.67611211</v>
      </c>
      <c r="I16" s="18" t="n">
        <v>0</v>
      </c>
      <c r="J16" s="20" t="n">
        <v>0</v>
      </c>
      <c r="K16" s="18" t="n">
        <v>3.62840509</v>
      </c>
      <c r="L16" s="20" t="n">
        <v>0.90703882</v>
      </c>
      <c r="M16" s="18" t="n">
        <v>0</v>
      </c>
      <c r="N16" s="20" t="n">
        <v>0</v>
      </c>
      <c r="O16" s="18" t="n">
        <v>0</v>
      </c>
      <c r="P16" s="20" t="n">
        <v>0</v>
      </c>
      <c r="Q16" s="18" t="n">
        <v>4.0389121</v>
      </c>
      <c r="R16" s="20" t="n">
        <v>0.73899587</v>
      </c>
    </row>
    <row r="17" spans="1:18">
      <c r="A17" s="15" t="s">
        <v>439</v>
      </c>
      <c r="B17" s="17" t="n">
        <v>6504</v>
      </c>
      <c r="C17" s="18">
        <f>(5736.0/B17*100)</f>
        <v/>
      </c>
      <c r="D17" s="19" t="n">
        <v>768</v>
      </c>
      <c r="E17" s="18" t="n">
        <v>40.93883286</v>
      </c>
      <c r="F17" s="20" t="n">
        <v>1.81575038</v>
      </c>
      <c r="G17" s="18" t="n">
        <v>53.1790042</v>
      </c>
      <c r="H17" s="20" t="n">
        <v>1.90972772</v>
      </c>
      <c r="I17" s="18" t="n">
        <v>0</v>
      </c>
      <c r="J17" s="20" t="n">
        <v>0</v>
      </c>
      <c r="K17" s="18" t="n">
        <v>2.28548154</v>
      </c>
      <c r="L17" s="20" t="n">
        <v>0.5198885</v>
      </c>
      <c r="M17" s="18" t="n">
        <v>0</v>
      </c>
      <c r="N17" s="20" t="n">
        <v>0</v>
      </c>
      <c r="O17" s="18" t="n">
        <v>0</v>
      </c>
      <c r="P17" s="20" t="n">
        <v>0</v>
      </c>
      <c r="Q17" s="18" t="n">
        <v>3.59668139</v>
      </c>
      <c r="R17" s="20" t="n">
        <v>0.61527721</v>
      </c>
    </row>
    <row r="18" spans="1:18">
      <c r="A18" s="15" t="s">
        <v>440</v>
      </c>
      <c r="B18" s="17" t="n">
        <v>5532</v>
      </c>
      <c r="C18" s="18">
        <f>(4855.0/B18*100)</f>
        <v/>
      </c>
      <c r="D18" s="19" t="n">
        <v>677</v>
      </c>
      <c r="E18" s="18" t="n">
        <v>57.94492313</v>
      </c>
      <c r="F18" s="20" t="n">
        <v>2.07565152</v>
      </c>
      <c r="G18" s="18" t="n">
        <v>37.05884245</v>
      </c>
      <c r="H18" s="20" t="n">
        <v>2.04997068</v>
      </c>
      <c r="I18" s="18" t="n">
        <v>0</v>
      </c>
      <c r="J18" s="20" t="n">
        <v>0</v>
      </c>
      <c r="K18" s="18" t="n">
        <v>1.84486743</v>
      </c>
      <c r="L18" s="20" t="n">
        <v>0.55042729</v>
      </c>
      <c r="M18" s="18" t="n">
        <v>0</v>
      </c>
      <c r="N18" s="20" t="n">
        <v>0</v>
      </c>
      <c r="O18" s="18" t="n">
        <v>0</v>
      </c>
      <c r="P18" s="20" t="n">
        <v>0</v>
      </c>
      <c r="Q18" s="18" t="n">
        <v>3.15136699</v>
      </c>
      <c r="R18" s="20" t="n">
        <v>0.91617448</v>
      </c>
    </row>
    <row r="19" spans="1:18">
      <c r="A19" s="15" t="s">
        <v>441</v>
      </c>
      <c r="B19" s="17" t="n">
        <v>5658</v>
      </c>
      <c r="C19" s="18">
        <f>(4991.0/B19*100)</f>
        <v/>
      </c>
      <c r="D19" s="19" t="n">
        <v>667</v>
      </c>
      <c r="E19" s="18" t="n">
        <v>44.6930741</v>
      </c>
      <c r="F19" s="20" t="n">
        <v>2.00896796</v>
      </c>
      <c r="G19" s="18" t="n">
        <v>52.50803482</v>
      </c>
      <c r="H19" s="20" t="n">
        <v>1.91780012</v>
      </c>
      <c r="I19" s="18" t="n">
        <v>0</v>
      </c>
      <c r="J19" s="20" t="n">
        <v>0</v>
      </c>
      <c r="K19" s="18" t="n">
        <v>0.59342415</v>
      </c>
      <c r="L19" s="20" t="n">
        <v>0.30673815</v>
      </c>
      <c r="M19" s="18" t="n">
        <v>0</v>
      </c>
      <c r="N19" s="20" t="n">
        <v>0</v>
      </c>
      <c r="O19" s="18" t="n">
        <v>0</v>
      </c>
      <c r="P19" s="20" t="n">
        <v>0</v>
      </c>
      <c r="Q19" s="18" t="n">
        <v>2.20546693</v>
      </c>
      <c r="R19" s="20" t="n">
        <v>0.68430936</v>
      </c>
    </row>
    <row r="20" spans="1:18">
      <c r="A20" s="15" t="s">
        <v>442</v>
      </c>
      <c r="B20" s="17" t="n">
        <v>3371</v>
      </c>
      <c r="C20" s="18">
        <f>(2974.0/B20*100)</f>
        <v/>
      </c>
      <c r="D20" s="19" t="n">
        <v>397</v>
      </c>
      <c r="E20" s="18" t="n">
        <v>39.21468777</v>
      </c>
      <c r="F20" s="20" t="n">
        <v>2.64673254</v>
      </c>
      <c r="G20" s="18" t="n">
        <v>57.60799554</v>
      </c>
      <c r="H20" s="20" t="n">
        <v>2.66683293</v>
      </c>
      <c r="I20" s="18" t="n">
        <v>0</v>
      </c>
      <c r="J20" s="20" t="n">
        <v>0</v>
      </c>
      <c r="K20" s="18" t="n">
        <v>1.45628487</v>
      </c>
      <c r="L20" s="20" t="n">
        <v>0.5908990200000001</v>
      </c>
      <c r="M20" s="18" t="n">
        <v>0</v>
      </c>
      <c r="N20" s="20" t="n">
        <v>0</v>
      </c>
      <c r="O20" s="18" t="n">
        <v>0</v>
      </c>
      <c r="P20" s="20" t="n">
        <v>0</v>
      </c>
      <c r="Q20" s="18" t="n">
        <v>1.72103182</v>
      </c>
      <c r="R20" s="20" t="n">
        <v>0.65844085</v>
      </c>
    </row>
    <row r="21" spans="1:18">
      <c r="A21" s="15" t="s">
        <v>443</v>
      </c>
      <c r="B21" s="17" t="n">
        <v>5741</v>
      </c>
      <c r="C21" s="18">
        <f>(4805.0/B21*100)</f>
        <v/>
      </c>
      <c r="D21" s="19" t="n">
        <v>936</v>
      </c>
      <c r="E21" s="18" t="n">
        <v>39.85306223</v>
      </c>
      <c r="F21" s="20" t="n">
        <v>1.64564279</v>
      </c>
      <c r="G21" s="18" t="n">
        <v>59.16514225</v>
      </c>
      <c r="H21" s="20" t="n">
        <v>1.58384288</v>
      </c>
      <c r="I21" s="18" t="n">
        <v>0</v>
      </c>
      <c r="J21" s="20" t="n">
        <v>0</v>
      </c>
      <c r="K21" s="18" t="n">
        <v>0.58609736</v>
      </c>
      <c r="L21" s="20" t="n">
        <v>0.24829279</v>
      </c>
      <c r="M21" s="18" t="n">
        <v>0</v>
      </c>
      <c r="N21" s="20" t="n">
        <v>0</v>
      </c>
      <c r="O21" s="18" t="n">
        <v>0</v>
      </c>
      <c r="P21" s="20" t="n">
        <v>0</v>
      </c>
      <c r="Q21" s="18" t="n">
        <v>0.39569816</v>
      </c>
      <c r="R21" s="20" t="n">
        <v>0.20717298</v>
      </c>
    </row>
    <row r="22" spans="1:18">
      <c r="A22" s="15" t="s">
        <v>444</v>
      </c>
      <c r="B22" s="17" t="n">
        <v>6598</v>
      </c>
      <c r="C22" s="18">
        <f>(5784.0/B22*100)</f>
        <v/>
      </c>
      <c r="D22" s="19" t="n">
        <v>814</v>
      </c>
      <c r="E22" s="18" t="n">
        <v>46.58190275</v>
      </c>
      <c r="F22" s="20" t="n">
        <v>1.96541803</v>
      </c>
      <c r="G22" s="18" t="n">
        <v>49.97479013</v>
      </c>
      <c r="H22" s="20" t="n">
        <v>1.97996101</v>
      </c>
      <c r="I22" s="18" t="n">
        <v>0</v>
      </c>
      <c r="J22" s="20" t="n">
        <v>0</v>
      </c>
      <c r="K22" s="18" t="n">
        <v>1.23787718</v>
      </c>
      <c r="L22" s="20" t="n">
        <v>0.4259734</v>
      </c>
      <c r="M22" s="18" t="n">
        <v>0</v>
      </c>
      <c r="N22" s="20" t="n">
        <v>0</v>
      </c>
      <c r="O22" s="18" t="n">
        <v>0</v>
      </c>
      <c r="P22" s="20" t="n">
        <v>0</v>
      </c>
      <c r="Q22" s="18" t="n">
        <v>2.20542993</v>
      </c>
      <c r="R22" s="20" t="n">
        <v>0.46976701</v>
      </c>
    </row>
    <row r="23" spans="1:18">
      <c r="A23" s="15" t="s">
        <v>445</v>
      </c>
      <c r="B23" s="17" t="n">
        <v>11583</v>
      </c>
      <c r="C23" s="18">
        <f>(10200.0/B23*100)</f>
        <v/>
      </c>
      <c r="D23" s="19" t="n">
        <v>1383</v>
      </c>
      <c r="E23" s="18" t="n">
        <v>41.60209139</v>
      </c>
      <c r="F23" s="20" t="n">
        <v>1.82901309</v>
      </c>
      <c r="G23" s="18" t="n">
        <v>51.61801502</v>
      </c>
      <c r="H23" s="20" t="n">
        <v>2.03450179</v>
      </c>
      <c r="I23" s="18" t="n">
        <v>0</v>
      </c>
      <c r="J23" s="20" t="n">
        <v>0</v>
      </c>
      <c r="K23" s="18" t="n">
        <v>2.30608349</v>
      </c>
      <c r="L23" s="20" t="n">
        <v>0.61169726</v>
      </c>
      <c r="M23" s="18" t="n">
        <v>0</v>
      </c>
      <c r="N23" s="20" t="n">
        <v>0</v>
      </c>
      <c r="O23" s="18" t="n">
        <v>0</v>
      </c>
      <c r="P23" s="20" t="n">
        <v>0</v>
      </c>
      <c r="Q23" s="18" t="n">
        <v>4.4738101</v>
      </c>
      <c r="R23" s="20" t="n">
        <v>0.8307908000000001</v>
      </c>
    </row>
    <row r="24" spans="1:18">
      <c r="A24" s="15" t="s">
        <v>446</v>
      </c>
      <c r="B24" s="17" t="n">
        <v>6647</v>
      </c>
      <c r="C24" s="18">
        <f>(5844.0/B24*100)</f>
        <v/>
      </c>
      <c r="D24" s="19" t="n">
        <v>803</v>
      </c>
      <c r="E24" s="18" t="n">
        <v>44.508857</v>
      </c>
      <c r="F24" s="20" t="n">
        <v>1.91025735</v>
      </c>
      <c r="G24" s="18" t="n">
        <v>53.37473181</v>
      </c>
      <c r="H24" s="20" t="n">
        <v>1.98140159</v>
      </c>
      <c r="I24" s="18" t="n">
        <v>0</v>
      </c>
      <c r="J24" s="20" t="n">
        <v>0</v>
      </c>
      <c r="K24" s="18" t="n">
        <v>0.83483754</v>
      </c>
      <c r="L24" s="20" t="n">
        <v>0.31543416</v>
      </c>
      <c r="M24" s="18" t="n">
        <v>0</v>
      </c>
      <c r="N24" s="20" t="n">
        <v>0</v>
      </c>
      <c r="O24" s="18" t="n">
        <v>0</v>
      </c>
      <c r="P24" s="20" t="n">
        <v>0</v>
      </c>
      <c r="Q24" s="18" t="n">
        <v>1.28157365</v>
      </c>
      <c r="R24" s="20" t="n">
        <v>0.4108187</v>
      </c>
    </row>
    <row r="25" spans="1:18">
      <c r="A25" s="15" t="s">
        <v>447</v>
      </c>
      <c r="B25" s="17" t="n">
        <v>5581</v>
      </c>
      <c r="C25" s="18">
        <f>(4886.0/B25*100)</f>
        <v/>
      </c>
      <c r="D25" s="19" t="n">
        <v>695</v>
      </c>
      <c r="E25" s="18" t="n">
        <v>36.43289287</v>
      </c>
      <c r="F25" s="20" t="n">
        <v>2.0344944</v>
      </c>
      <c r="G25" s="18" t="n">
        <v>61.8571231</v>
      </c>
      <c r="H25" s="20" t="n">
        <v>2.03006917</v>
      </c>
      <c r="I25" s="18" t="n">
        <v>0</v>
      </c>
      <c r="J25" s="20" t="n">
        <v>0</v>
      </c>
      <c r="K25" s="18" t="n">
        <v>0.27224113</v>
      </c>
      <c r="L25" s="20" t="n">
        <v>0.19361176</v>
      </c>
      <c r="M25" s="18" t="n">
        <v>0</v>
      </c>
      <c r="N25" s="20" t="n">
        <v>0</v>
      </c>
      <c r="O25" s="18" t="n">
        <v>0</v>
      </c>
      <c r="P25" s="20" t="n">
        <v>0</v>
      </c>
      <c r="Q25" s="18" t="n">
        <v>1.43774291</v>
      </c>
      <c r="R25" s="20" t="n">
        <v>0.46921223</v>
      </c>
    </row>
    <row r="26" spans="1:18">
      <c r="A26" s="15" t="s">
        <v>448</v>
      </c>
      <c r="B26" s="17" t="n">
        <v>4869</v>
      </c>
      <c r="C26" s="18">
        <f>(4285.0/B26*100)</f>
        <v/>
      </c>
      <c r="D26" s="19" t="n">
        <v>584</v>
      </c>
      <c r="E26" s="18" t="n">
        <v>45.15965674</v>
      </c>
      <c r="F26" s="20" t="n">
        <v>2.26448996</v>
      </c>
      <c r="G26" s="18" t="n">
        <v>52.86890494</v>
      </c>
      <c r="H26" s="20" t="n">
        <v>2.33231696</v>
      </c>
      <c r="I26" s="18" t="n">
        <v>0</v>
      </c>
      <c r="J26" s="20" t="n">
        <v>0</v>
      </c>
      <c r="K26" s="18" t="n">
        <v>1.10949582</v>
      </c>
      <c r="L26" s="20" t="n">
        <v>0.41596446</v>
      </c>
      <c r="M26" s="18" t="n">
        <v>0</v>
      </c>
      <c r="N26" s="20" t="n">
        <v>0</v>
      </c>
      <c r="O26" s="18" t="n">
        <v>0</v>
      </c>
      <c r="P26" s="20" t="n">
        <v>0</v>
      </c>
      <c r="Q26" s="18" t="n">
        <v>0.8619424999999999</v>
      </c>
      <c r="R26" s="20" t="n">
        <v>0.35757792</v>
      </c>
    </row>
    <row r="27" spans="1:18">
      <c r="A27" s="15" t="s">
        <v>449</v>
      </c>
      <c r="B27" s="17" t="n">
        <v>5299</v>
      </c>
      <c r="C27" s="18">
        <f>(4673.0/B27*100)</f>
        <v/>
      </c>
      <c r="D27" s="19" t="n">
        <v>626</v>
      </c>
      <c r="E27" s="18" t="n">
        <v>46.27315883</v>
      </c>
      <c r="F27" s="20" t="n">
        <v>1.83275232</v>
      </c>
      <c r="G27" s="18" t="n">
        <v>47.24065118</v>
      </c>
      <c r="H27" s="20" t="n">
        <v>1.77934141</v>
      </c>
      <c r="I27" s="18" t="n">
        <v>0</v>
      </c>
      <c r="J27" s="20" t="n">
        <v>0</v>
      </c>
      <c r="K27" s="18" t="n">
        <v>2.3303612</v>
      </c>
      <c r="L27" s="20" t="n">
        <v>0.67747164</v>
      </c>
      <c r="M27" s="18" t="n">
        <v>0</v>
      </c>
      <c r="N27" s="20" t="n">
        <v>0</v>
      </c>
      <c r="O27" s="18" t="n">
        <v>0</v>
      </c>
      <c r="P27" s="20" t="n">
        <v>0</v>
      </c>
      <c r="Q27" s="18" t="n">
        <v>4.15582879</v>
      </c>
      <c r="R27" s="20" t="n">
        <v>0.76253099</v>
      </c>
    </row>
    <row r="28" spans="1:18">
      <c r="A28" s="15" t="s">
        <v>450</v>
      </c>
      <c r="B28" s="17" t="n">
        <v>7568</v>
      </c>
      <c r="C28" s="18">
        <f>(6756.0/B28*100)</f>
        <v/>
      </c>
      <c r="D28" s="19" t="n">
        <v>812</v>
      </c>
      <c r="E28" s="18" t="n">
        <v>63.35230089</v>
      </c>
      <c r="F28" s="20" t="n">
        <v>1.90488512</v>
      </c>
      <c r="G28" s="18" t="n">
        <v>34.07716248</v>
      </c>
      <c r="H28" s="20" t="n">
        <v>1.8965944</v>
      </c>
      <c r="I28" s="18" t="n">
        <v>0</v>
      </c>
      <c r="J28" s="20" t="n">
        <v>0</v>
      </c>
      <c r="K28" s="18" t="n">
        <v>1.36162584</v>
      </c>
      <c r="L28" s="20" t="n">
        <v>0.46731345</v>
      </c>
      <c r="M28" s="18" t="n">
        <v>0</v>
      </c>
      <c r="N28" s="20" t="n">
        <v>0</v>
      </c>
      <c r="O28" s="18" t="n">
        <v>0</v>
      </c>
      <c r="P28" s="20" t="n">
        <v>0</v>
      </c>
      <c r="Q28" s="18" t="n">
        <v>1.20891079</v>
      </c>
      <c r="R28" s="20" t="n">
        <v>0.32733505</v>
      </c>
    </row>
    <row r="29" spans="1:18">
      <c r="A29" s="15" t="s">
        <v>451</v>
      </c>
      <c r="B29" s="17" t="n">
        <v>5385</v>
      </c>
      <c r="C29" s="18">
        <f>(4727.0/B29*100)</f>
        <v/>
      </c>
      <c r="D29" s="19" t="n">
        <v>658</v>
      </c>
      <c r="E29" s="18" t="n">
        <v>44.44509917</v>
      </c>
      <c r="F29" s="20" t="n">
        <v>1.71657436</v>
      </c>
      <c r="G29" s="18" t="n">
        <v>54.15394868</v>
      </c>
      <c r="H29" s="20" t="n">
        <v>1.73168541</v>
      </c>
      <c r="I29" s="18" t="n">
        <v>0</v>
      </c>
      <c r="J29" s="20" t="n">
        <v>0</v>
      </c>
      <c r="K29" s="18" t="n">
        <v>0.33226406</v>
      </c>
      <c r="L29" s="20" t="n">
        <v>0.21967226</v>
      </c>
      <c r="M29" s="18" t="n">
        <v>0</v>
      </c>
      <c r="N29" s="20" t="n">
        <v>0</v>
      </c>
      <c r="O29" s="18" t="n">
        <v>0</v>
      </c>
      <c r="P29" s="20" t="n">
        <v>0</v>
      </c>
      <c r="Q29" s="18" t="n">
        <v>1.06868809</v>
      </c>
      <c r="R29" s="20" t="n">
        <v>0.36298705</v>
      </c>
    </row>
    <row r="30" spans="1:18">
      <c r="A30" s="15" t="s">
        <v>452</v>
      </c>
      <c r="B30" s="17" t="n">
        <v>4520</v>
      </c>
      <c r="C30" s="18">
        <f>(3981.0/B30*100)</f>
        <v/>
      </c>
      <c r="D30" s="19" t="n">
        <v>539</v>
      </c>
      <c r="E30" s="18" t="n">
        <v>37.14478975</v>
      </c>
      <c r="F30" s="20" t="n">
        <v>2.18032538</v>
      </c>
      <c r="G30" s="18" t="n">
        <v>56.16284769</v>
      </c>
      <c r="H30" s="20" t="n">
        <v>2.17829296</v>
      </c>
      <c r="I30" s="18" t="n">
        <v>0</v>
      </c>
      <c r="J30" s="20" t="n">
        <v>0</v>
      </c>
      <c r="K30" s="18" t="n">
        <v>2.91460283</v>
      </c>
      <c r="L30" s="20" t="n">
        <v>0.98770903</v>
      </c>
      <c r="M30" s="18" t="n">
        <v>0</v>
      </c>
      <c r="N30" s="20" t="n">
        <v>0</v>
      </c>
      <c r="O30" s="18" t="n">
        <v>0</v>
      </c>
      <c r="P30" s="20" t="n">
        <v>0</v>
      </c>
      <c r="Q30" s="18" t="n">
        <v>3.77775973</v>
      </c>
      <c r="R30" s="20" t="n">
        <v>0.85647577</v>
      </c>
    </row>
    <row r="31" spans="1:18">
      <c r="A31" s="15" t="s">
        <v>453</v>
      </c>
      <c r="B31" s="17" t="n">
        <v>5456</v>
      </c>
      <c r="C31" s="18">
        <f>(4782.0/B31*100)</f>
        <v/>
      </c>
      <c r="D31" s="19" t="n">
        <v>674</v>
      </c>
      <c r="E31" s="18" t="n">
        <v>40.49125124</v>
      </c>
      <c r="F31" s="20" t="n">
        <v>1.86805241</v>
      </c>
      <c r="G31" s="18" t="n">
        <v>55.40856912</v>
      </c>
      <c r="H31" s="20" t="n">
        <v>1.94476263</v>
      </c>
      <c r="I31" s="18" t="n">
        <v>0</v>
      </c>
      <c r="J31" s="20" t="n">
        <v>0</v>
      </c>
      <c r="K31" s="18" t="n">
        <v>2.01574185</v>
      </c>
      <c r="L31" s="20" t="n">
        <v>0.58531891</v>
      </c>
      <c r="M31" s="18" t="n">
        <v>0</v>
      </c>
      <c r="N31" s="20" t="n">
        <v>0</v>
      </c>
      <c r="O31" s="18" t="n">
        <v>0</v>
      </c>
      <c r="P31" s="20" t="n">
        <v>0</v>
      </c>
      <c r="Q31" s="18" t="n">
        <v>2.08443778</v>
      </c>
      <c r="R31" s="20" t="n">
        <v>0.56385274</v>
      </c>
    </row>
    <row r="32" spans="1:18">
      <c r="A32" s="15" t="s">
        <v>454</v>
      </c>
      <c r="B32" s="17" t="n">
        <v>4478</v>
      </c>
      <c r="C32" s="18">
        <f>(3741.0/B32*100)</f>
        <v/>
      </c>
      <c r="D32" s="19" t="n">
        <v>737</v>
      </c>
      <c r="E32" s="18" t="n">
        <v>44.19359101</v>
      </c>
      <c r="F32" s="20" t="n">
        <v>1.72345927</v>
      </c>
      <c r="G32" s="18" t="n">
        <v>53.97732383</v>
      </c>
      <c r="H32" s="20" t="n">
        <v>1.77781104</v>
      </c>
      <c r="I32" s="18" t="n">
        <v>0</v>
      </c>
      <c r="J32" s="20" t="n">
        <v>0</v>
      </c>
      <c r="K32" s="18" t="n">
        <v>0.76967497</v>
      </c>
      <c r="L32" s="20" t="n">
        <v>0.31357544</v>
      </c>
      <c r="M32" s="18" t="n">
        <v>0</v>
      </c>
      <c r="N32" s="20" t="n">
        <v>0</v>
      </c>
      <c r="O32" s="18" t="n">
        <v>0</v>
      </c>
      <c r="P32" s="20" t="n">
        <v>0</v>
      </c>
      <c r="Q32" s="18" t="n">
        <v>1.05941019</v>
      </c>
      <c r="R32" s="20" t="n">
        <v>0.41724996</v>
      </c>
    </row>
    <row r="33" spans="1:18">
      <c r="A33" s="15" t="s">
        <v>455</v>
      </c>
      <c r="B33" s="17" t="n">
        <v>7325</v>
      </c>
      <c r="C33" s="18">
        <f>(6468.0/B33*100)</f>
        <v/>
      </c>
      <c r="D33" s="19" t="n">
        <v>857</v>
      </c>
      <c r="E33" s="18" t="n">
        <v>51.18468684</v>
      </c>
      <c r="F33" s="20" t="n">
        <v>2.01880337</v>
      </c>
      <c r="G33" s="18" t="n">
        <v>45.16322249</v>
      </c>
      <c r="H33" s="20" t="n">
        <v>2.10760324</v>
      </c>
      <c r="I33" s="18" t="n">
        <v>0</v>
      </c>
      <c r="J33" s="20" t="n">
        <v>0</v>
      </c>
      <c r="K33" s="18" t="n">
        <v>1.37945192</v>
      </c>
      <c r="L33" s="20" t="n">
        <v>0.51028586</v>
      </c>
      <c r="M33" s="18" t="n">
        <v>0</v>
      </c>
      <c r="N33" s="20" t="n">
        <v>0</v>
      </c>
      <c r="O33" s="18" t="n">
        <v>0</v>
      </c>
      <c r="P33" s="20" t="n">
        <v>0</v>
      </c>
      <c r="Q33" s="18" t="n">
        <v>2.27263875</v>
      </c>
      <c r="R33" s="20" t="n">
        <v>0.54987363</v>
      </c>
    </row>
    <row r="34" spans="1:18">
      <c r="A34" s="15" t="s">
        <v>456</v>
      </c>
      <c r="B34" s="17" t="n">
        <v>6350</v>
      </c>
      <c r="C34" s="18">
        <f>(5599.0/B34*100)</f>
        <v/>
      </c>
      <c r="D34" s="19" t="n">
        <v>751</v>
      </c>
      <c r="E34" s="18" t="n">
        <v>52.27376901</v>
      </c>
      <c r="F34" s="20" t="n">
        <v>1.6947124</v>
      </c>
      <c r="G34" s="18" t="n">
        <v>45.26124481</v>
      </c>
      <c r="H34" s="20" t="n">
        <v>1.75230814</v>
      </c>
      <c r="I34" s="18" t="n">
        <v>0</v>
      </c>
      <c r="J34" s="20" t="n">
        <v>0</v>
      </c>
      <c r="K34" s="18" t="n">
        <v>0.5614072</v>
      </c>
      <c r="L34" s="20" t="n">
        <v>0.24756982</v>
      </c>
      <c r="M34" s="18" t="n">
        <v>0</v>
      </c>
      <c r="N34" s="20" t="n">
        <v>0</v>
      </c>
      <c r="O34" s="18" t="n">
        <v>0</v>
      </c>
      <c r="P34" s="20" t="n">
        <v>0</v>
      </c>
      <c r="Q34" s="18" t="n">
        <v>1.90357898</v>
      </c>
      <c r="R34" s="20" t="n">
        <v>0.54117396</v>
      </c>
    </row>
    <row r="35" spans="1:18">
      <c r="A35" s="15" t="s">
        <v>457</v>
      </c>
      <c r="B35" s="17" t="n">
        <v>6406</v>
      </c>
      <c r="C35" s="18">
        <f>(5625.0/B35*100)</f>
        <v/>
      </c>
      <c r="D35" s="19" t="n">
        <v>781</v>
      </c>
      <c r="E35" s="18" t="n">
        <v>42.02310398</v>
      </c>
      <c r="F35" s="20" t="n">
        <v>2.35074252</v>
      </c>
      <c r="G35" s="18" t="n">
        <v>55.65544641</v>
      </c>
      <c r="H35" s="20" t="n">
        <v>2.34053746</v>
      </c>
      <c r="I35" s="18" t="n">
        <v>0</v>
      </c>
      <c r="J35" s="20" t="n">
        <v>0</v>
      </c>
      <c r="K35" s="18" t="n">
        <v>0.43187417</v>
      </c>
      <c r="L35" s="20" t="n">
        <v>0.19904671</v>
      </c>
      <c r="M35" s="18" t="n">
        <v>0</v>
      </c>
      <c r="N35" s="20" t="n">
        <v>0</v>
      </c>
      <c r="O35" s="18" t="n">
        <v>0</v>
      </c>
      <c r="P35" s="20" t="n">
        <v>0</v>
      </c>
      <c r="Q35" s="18" t="n">
        <v>1.88957544</v>
      </c>
      <c r="R35" s="20" t="n">
        <v>0.43601061</v>
      </c>
    </row>
    <row r="36" spans="1:18">
      <c r="A36" s="15" t="s">
        <v>458</v>
      </c>
      <c r="B36" s="17" t="n">
        <v>6736</v>
      </c>
      <c r="C36" s="18">
        <f>(5942.0/B36*100)</f>
        <v/>
      </c>
      <c r="D36" s="19" t="n">
        <v>794</v>
      </c>
      <c r="E36" s="18" t="n">
        <v>51.34626172</v>
      </c>
      <c r="F36" s="20" t="n">
        <v>1.97718871</v>
      </c>
      <c r="G36" s="18" t="n">
        <v>45.15982208</v>
      </c>
      <c r="H36" s="20" t="n">
        <v>1.90985039</v>
      </c>
      <c r="I36" s="18" t="n">
        <v>0</v>
      </c>
      <c r="J36" s="20" t="n">
        <v>0</v>
      </c>
      <c r="K36" s="18" t="n">
        <v>1.99387767</v>
      </c>
      <c r="L36" s="20" t="n">
        <v>0.59237719</v>
      </c>
      <c r="M36" s="18" t="n">
        <v>0</v>
      </c>
      <c r="N36" s="20" t="n">
        <v>0</v>
      </c>
      <c r="O36" s="18" t="n">
        <v>0</v>
      </c>
      <c r="P36" s="20" t="n">
        <v>0</v>
      </c>
      <c r="Q36" s="18" t="n">
        <v>1.50003853</v>
      </c>
      <c r="R36" s="20" t="n">
        <v>0.4621174</v>
      </c>
    </row>
    <row r="37" spans="1:18">
      <c r="A37" s="15" t="s">
        <v>459</v>
      </c>
      <c r="B37" s="17" t="n">
        <v>5458</v>
      </c>
      <c r="C37" s="18">
        <f>(4837.0/B37*100)</f>
        <v/>
      </c>
      <c r="D37" s="19" t="n">
        <v>621</v>
      </c>
      <c r="E37" s="18" t="n">
        <v>38.98852835</v>
      </c>
      <c r="F37" s="20" t="n">
        <v>1.89828325</v>
      </c>
      <c r="G37" s="18" t="n">
        <v>54.50890491</v>
      </c>
      <c r="H37" s="20" t="n">
        <v>1.90625765</v>
      </c>
      <c r="I37" s="18" t="n">
        <v>0</v>
      </c>
      <c r="J37" s="20" t="n">
        <v>0</v>
      </c>
      <c r="K37" s="18" t="n">
        <v>3.17408835</v>
      </c>
      <c r="L37" s="20" t="n">
        <v>0.6277646099999999</v>
      </c>
      <c r="M37" s="18" t="n">
        <v>0</v>
      </c>
      <c r="N37" s="20" t="n">
        <v>0</v>
      </c>
      <c r="O37" s="18" t="n">
        <v>0</v>
      </c>
      <c r="P37" s="20" t="n">
        <v>0</v>
      </c>
      <c r="Q37" s="18" t="n">
        <v>3.3284784</v>
      </c>
      <c r="R37" s="20" t="n">
        <v>0.74067647</v>
      </c>
    </row>
    <row r="38" spans="1:18">
      <c r="A38" s="15" t="s">
        <v>460</v>
      </c>
      <c r="B38" s="17" t="n">
        <v>5860</v>
      </c>
      <c r="C38" s="18">
        <f>(4921.0/B38*100)</f>
        <v/>
      </c>
      <c r="D38" s="19" t="n">
        <v>939</v>
      </c>
      <c r="E38" s="18" t="n">
        <v>40.72790334</v>
      </c>
      <c r="F38" s="20" t="n">
        <v>2.06266313</v>
      </c>
      <c r="G38" s="18" t="n">
        <v>53.41757306</v>
      </c>
      <c r="H38" s="20" t="n">
        <v>2.22338108</v>
      </c>
      <c r="I38" s="18" t="n">
        <v>0</v>
      </c>
      <c r="J38" s="20" t="n">
        <v>0</v>
      </c>
      <c r="K38" s="18" t="n">
        <v>2.47839252</v>
      </c>
      <c r="L38" s="20" t="n">
        <v>0.53671356</v>
      </c>
      <c r="M38" s="18" t="n">
        <v>0</v>
      </c>
      <c r="N38" s="20" t="n">
        <v>0</v>
      </c>
      <c r="O38" s="18" t="n">
        <v>0</v>
      </c>
      <c r="P38" s="20" t="n">
        <v>0</v>
      </c>
      <c r="Q38" s="18" t="n">
        <v>3.37613108</v>
      </c>
      <c r="R38" s="20" t="n">
        <v>0.7935692600000001</v>
      </c>
    </row>
    <row r="39" spans="1:18">
      <c r="A39" s="15" t="s">
        <v>461</v>
      </c>
      <c r="B39" s="17" t="n">
        <v>5895</v>
      </c>
      <c r="C39" s="18">
        <f>(5171.0/B39*100)</f>
        <v/>
      </c>
      <c r="D39" s="19" t="n">
        <v>724</v>
      </c>
      <c r="E39" s="18" t="n">
        <v>60.96454445</v>
      </c>
      <c r="F39" s="20" t="n">
        <v>1.49470903</v>
      </c>
      <c r="G39" s="18" t="n">
        <v>36.19765918</v>
      </c>
      <c r="H39" s="20" t="n">
        <v>1.56185919</v>
      </c>
      <c r="I39" s="18" t="n">
        <v>0</v>
      </c>
      <c r="J39" s="20" t="n">
        <v>0</v>
      </c>
      <c r="K39" s="18" t="n">
        <v>0.92219927</v>
      </c>
      <c r="L39" s="20" t="n">
        <v>0.40975746</v>
      </c>
      <c r="M39" s="18" t="n">
        <v>0</v>
      </c>
      <c r="N39" s="20" t="n">
        <v>0</v>
      </c>
      <c r="O39" s="18" t="n">
        <v>0</v>
      </c>
      <c r="P39" s="20" t="n">
        <v>0</v>
      </c>
      <c r="Q39" s="18" t="n">
        <v>1.9155971</v>
      </c>
      <c r="R39" s="20" t="n">
        <v>0.49722709</v>
      </c>
    </row>
    <row r="40" spans="1:18">
      <c r="A40" s="15" t="s">
        <v>462</v>
      </c>
      <c r="B40" s="17" t="n">
        <v>14157</v>
      </c>
      <c r="C40" s="18">
        <f>(12447.0/B40*100)</f>
        <v/>
      </c>
      <c r="D40" s="19" t="n">
        <v>1710</v>
      </c>
      <c r="E40" s="18" t="n">
        <v>39.49468244</v>
      </c>
      <c r="F40" s="20" t="n">
        <v>1.88059644</v>
      </c>
      <c r="G40" s="18" t="n">
        <v>56.98976841</v>
      </c>
      <c r="H40" s="20" t="n">
        <v>1.87661002</v>
      </c>
      <c r="I40" s="18" t="n">
        <v>0</v>
      </c>
      <c r="J40" s="20" t="n">
        <v>0</v>
      </c>
      <c r="K40" s="18" t="n">
        <v>0.93075139</v>
      </c>
      <c r="L40" s="20" t="n">
        <v>0.29711375</v>
      </c>
      <c r="M40" s="18" t="n">
        <v>0</v>
      </c>
      <c r="N40" s="20" t="n">
        <v>0</v>
      </c>
      <c r="O40" s="18" t="n">
        <v>0</v>
      </c>
      <c r="P40" s="20" t="n">
        <v>0</v>
      </c>
      <c r="Q40" s="18" t="n">
        <v>2.58479776</v>
      </c>
      <c r="R40" s="20" t="n">
        <v>0.63963583</v>
      </c>
    </row>
    <row r="41" spans="1:18">
      <c r="A41" s="15" t="s">
        <v>463</v>
      </c>
      <c r="B41" s="17" t="n">
        <v>5712</v>
      </c>
      <c r="C41" s="18">
        <f>(5056.0/B41*100)</f>
        <v/>
      </c>
      <c r="D41" s="19" t="n">
        <v>656</v>
      </c>
      <c r="E41" s="18" t="n">
        <v>40.70481899</v>
      </c>
      <c r="F41" s="20" t="n">
        <v>1.93545709</v>
      </c>
      <c r="G41" s="18" t="n">
        <v>57.38278602</v>
      </c>
      <c r="H41" s="20" t="n">
        <v>2.02753609</v>
      </c>
      <c r="I41" s="18" t="n">
        <v>0</v>
      </c>
      <c r="J41" s="20" t="n">
        <v>0</v>
      </c>
      <c r="K41" s="18" t="n">
        <v>0.8449475400000001</v>
      </c>
      <c r="L41" s="20" t="n">
        <v>0.33789518</v>
      </c>
      <c r="M41" s="18" t="n">
        <v>0</v>
      </c>
      <c r="N41" s="20" t="n">
        <v>0</v>
      </c>
      <c r="O41" s="18" t="n">
        <v>0</v>
      </c>
      <c r="P41" s="20" t="n">
        <v>0</v>
      </c>
      <c r="Q41" s="18" t="n">
        <v>1.06744745</v>
      </c>
      <c r="R41" s="20" t="n">
        <v>0.37732935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(20935.0/B46*100)</f>
        <v/>
      </c>
      <c r="D46" s="19" t="n">
        <v>2206</v>
      </c>
      <c r="E46" s="18" t="n">
        <v>66.02819266</v>
      </c>
      <c r="F46" s="20" t="n">
        <v>1.39261004</v>
      </c>
      <c r="G46" s="18" t="n">
        <v>27.96019716</v>
      </c>
      <c r="H46" s="20" t="n">
        <v>1.31819776</v>
      </c>
      <c r="I46" s="18" t="n">
        <v>0</v>
      </c>
      <c r="J46" s="20" t="n">
        <v>0</v>
      </c>
      <c r="K46" s="18" t="n">
        <v>2.5897357</v>
      </c>
      <c r="L46" s="20" t="n">
        <v>0.4512192</v>
      </c>
      <c r="M46" s="18" t="n">
        <v>0</v>
      </c>
      <c r="N46" s="20" t="n">
        <v>0</v>
      </c>
      <c r="O46" s="18" t="n">
        <v>0</v>
      </c>
      <c r="P46" s="20" t="n">
        <v>0</v>
      </c>
      <c r="Q46" s="18" t="n">
        <v>3.42187449</v>
      </c>
      <c r="R46" s="20" t="n">
        <v>0.45411258</v>
      </c>
    </row>
    <row r="47" spans="1:18">
      <c r="A47" s="15" t="s">
        <v>470</v>
      </c>
      <c r="B47" s="17" t="n">
        <v>5928</v>
      </c>
      <c r="C47" s="18">
        <f>(5243.0/B47*100)</f>
        <v/>
      </c>
      <c r="D47" s="19" t="n">
        <v>685</v>
      </c>
      <c r="E47" s="18" t="n">
        <v>51.10988689</v>
      </c>
      <c r="F47" s="20" t="n">
        <v>2.0066879</v>
      </c>
      <c r="G47" s="18" t="n">
        <v>45.31813386</v>
      </c>
      <c r="H47" s="20" t="n">
        <v>1.98478401</v>
      </c>
      <c r="I47" s="18" t="n">
        <v>0</v>
      </c>
      <c r="J47" s="20" t="n">
        <v>0</v>
      </c>
      <c r="K47" s="18" t="n">
        <v>1.31044649</v>
      </c>
      <c r="L47" s="20" t="n">
        <v>0.52097794</v>
      </c>
      <c r="M47" s="18" t="n">
        <v>0</v>
      </c>
      <c r="N47" s="20" t="n">
        <v>0</v>
      </c>
      <c r="O47" s="18" t="n">
        <v>0</v>
      </c>
      <c r="P47" s="20" t="n">
        <v>0</v>
      </c>
      <c r="Q47" s="18" t="n">
        <v>2.26153276</v>
      </c>
      <c r="R47" s="20" t="n">
        <v>0.70171077</v>
      </c>
    </row>
    <row r="48" spans="1:18">
      <c r="A48" s="15" t="s">
        <v>471</v>
      </c>
      <c r="B48" s="17" t="n">
        <v>9841</v>
      </c>
      <c r="C48" s="18">
        <f>(8607.0/B48*100)</f>
        <v/>
      </c>
      <c r="D48" s="19" t="n">
        <v>1234</v>
      </c>
      <c r="E48" s="18" t="n">
        <v>41.83133888</v>
      </c>
      <c r="F48" s="20" t="n">
        <v>2.35428026</v>
      </c>
      <c r="G48" s="18" t="n">
        <v>56.39573865</v>
      </c>
      <c r="H48" s="20" t="n">
        <v>2.49091755</v>
      </c>
      <c r="I48" s="18" t="n">
        <v>0</v>
      </c>
      <c r="J48" s="20" t="n">
        <v>0</v>
      </c>
      <c r="K48" s="18" t="n">
        <v>0.94832951</v>
      </c>
      <c r="L48" s="20" t="n">
        <v>0.41610649</v>
      </c>
      <c r="M48" s="18" t="n">
        <v>0</v>
      </c>
      <c r="N48" s="20" t="n">
        <v>0</v>
      </c>
      <c r="O48" s="18" t="n">
        <v>0</v>
      </c>
      <c r="P48" s="20" t="n">
        <v>0</v>
      </c>
      <c r="Q48" s="18" t="n">
        <v>0.82459296</v>
      </c>
      <c r="R48" s="20" t="n">
        <v>0.34752783</v>
      </c>
    </row>
    <row r="49" spans="1:18">
      <c r="A49" s="15" t="s">
        <v>472</v>
      </c>
      <c r="B49" s="17" t="n">
        <v>11795</v>
      </c>
      <c r="C49" s="18">
        <f>(10431.0/B49*100)</f>
        <v/>
      </c>
      <c r="D49" s="19" t="n">
        <v>1364</v>
      </c>
      <c r="E49" s="18" t="n">
        <v>60.70885919</v>
      </c>
      <c r="F49" s="20" t="n">
        <v>1.67406402</v>
      </c>
      <c r="G49" s="18" t="n">
        <v>34.15298636</v>
      </c>
      <c r="H49" s="20" t="n">
        <v>1.65619206</v>
      </c>
      <c r="I49" s="18" t="n">
        <v>0</v>
      </c>
      <c r="J49" s="20" t="n">
        <v>0</v>
      </c>
      <c r="K49" s="18" t="n">
        <v>3.09159777</v>
      </c>
      <c r="L49" s="20" t="n">
        <v>0.56992136</v>
      </c>
      <c r="M49" s="18" t="n">
        <v>0</v>
      </c>
      <c r="N49" s="20" t="n">
        <v>0</v>
      </c>
      <c r="O49" s="18" t="n">
        <v>0</v>
      </c>
      <c r="P49" s="20" t="n">
        <v>0</v>
      </c>
      <c r="Q49" s="18" t="n">
        <v>2.04655668</v>
      </c>
      <c r="R49" s="20" t="n">
        <v>0.38887959</v>
      </c>
    </row>
    <row r="50" spans="1:18">
      <c r="A50" s="15" t="s">
        <v>473</v>
      </c>
      <c r="B50" s="17" t="n">
        <v>6866</v>
      </c>
      <c r="C50" s="18">
        <f>(6189.0/B50*100)</f>
        <v/>
      </c>
      <c r="D50" s="19" t="n">
        <v>677</v>
      </c>
      <c r="E50" s="18" t="n">
        <v>55.92166717</v>
      </c>
      <c r="F50" s="20" t="n">
        <v>2.23857312</v>
      </c>
      <c r="G50" s="18" t="n">
        <v>39.76869366</v>
      </c>
      <c r="H50" s="20" t="n">
        <v>2.33096966</v>
      </c>
      <c r="I50" s="18" t="n">
        <v>0</v>
      </c>
      <c r="J50" s="20" t="n">
        <v>0</v>
      </c>
      <c r="K50" s="18" t="n">
        <v>0.9949440899999999</v>
      </c>
      <c r="L50" s="20" t="n">
        <v>0.40897121</v>
      </c>
      <c r="M50" s="18" t="n">
        <v>0</v>
      </c>
      <c r="N50" s="20" t="n">
        <v>0</v>
      </c>
      <c r="O50" s="18" t="n">
        <v>0</v>
      </c>
      <c r="P50" s="20" t="n">
        <v>0</v>
      </c>
      <c r="Q50" s="18" t="n">
        <v>3.31469508</v>
      </c>
      <c r="R50" s="20" t="n">
        <v>0.60082998</v>
      </c>
    </row>
    <row r="51" spans="1:18">
      <c r="A51" s="15" t="s">
        <v>474</v>
      </c>
      <c r="B51" s="17" t="n">
        <v>5809</v>
      </c>
      <c r="C51" s="18">
        <f>(5100.0/B51*100)</f>
        <v/>
      </c>
      <c r="D51" s="19" t="n">
        <v>709</v>
      </c>
      <c r="E51" s="18" t="n">
        <v>45.92897991</v>
      </c>
      <c r="F51" s="20" t="n">
        <v>2.02920004</v>
      </c>
      <c r="G51" s="18" t="n">
        <v>50.57808463</v>
      </c>
      <c r="H51" s="20" t="n">
        <v>2.07075379</v>
      </c>
      <c r="I51" s="18" t="n">
        <v>0</v>
      </c>
      <c r="J51" s="20" t="n">
        <v>0</v>
      </c>
      <c r="K51" s="18" t="n">
        <v>0.99872989</v>
      </c>
      <c r="L51" s="20" t="n">
        <v>0.37815466</v>
      </c>
      <c r="M51" s="18" t="n">
        <v>0</v>
      </c>
      <c r="N51" s="20" t="n">
        <v>0</v>
      </c>
      <c r="O51" s="18" t="n">
        <v>0</v>
      </c>
      <c r="P51" s="20" t="n">
        <v>0</v>
      </c>
      <c r="Q51" s="18" t="n">
        <v>2.49420557</v>
      </c>
      <c r="R51" s="20" t="n">
        <v>0.64453763</v>
      </c>
    </row>
    <row r="52" spans="1:18">
      <c r="A52" s="15" t="s">
        <v>475</v>
      </c>
      <c r="B52" s="17" t="n">
        <v>5571</v>
      </c>
      <c r="C52" s="18">
        <f>(4912.0/B52*100)</f>
        <v/>
      </c>
      <c r="D52" s="19" t="n">
        <v>659</v>
      </c>
      <c r="E52" s="18" t="n">
        <v>64.12947428</v>
      </c>
      <c r="F52" s="20" t="n">
        <v>2.02742298</v>
      </c>
      <c r="G52" s="18" t="n">
        <v>31.84908203</v>
      </c>
      <c r="H52" s="20" t="n">
        <v>1.92401222</v>
      </c>
      <c r="I52" s="18" t="n">
        <v>0</v>
      </c>
      <c r="J52" s="20" t="n">
        <v>0</v>
      </c>
      <c r="K52" s="18" t="n">
        <v>2.28926836</v>
      </c>
      <c r="L52" s="20" t="n">
        <v>0.58907765</v>
      </c>
      <c r="M52" s="18" t="n">
        <v>0</v>
      </c>
      <c r="N52" s="20" t="n">
        <v>0</v>
      </c>
      <c r="O52" s="18" t="n">
        <v>0</v>
      </c>
      <c r="P52" s="20" t="n">
        <v>0</v>
      </c>
      <c r="Q52" s="18" t="n">
        <v>1.73217533</v>
      </c>
      <c r="R52" s="20" t="n">
        <v>0.50358724</v>
      </c>
    </row>
    <row r="53" spans="1:18">
      <c r="A53" s="15" t="s">
        <v>476</v>
      </c>
      <c r="B53" s="17" t="n">
        <v>4740</v>
      </c>
      <c r="C53" s="18">
        <f>(3947.0/B53*100)</f>
        <v/>
      </c>
      <c r="D53" s="19" t="n">
        <v>793</v>
      </c>
      <c r="E53" s="18" t="n">
        <v>48.82326516</v>
      </c>
      <c r="F53" s="20" t="n">
        <v>1.94713009</v>
      </c>
      <c r="G53" s="18" t="n">
        <v>24.50949243</v>
      </c>
      <c r="H53" s="20" t="n">
        <v>1.50516588</v>
      </c>
      <c r="I53" s="18" t="n">
        <v>0</v>
      </c>
      <c r="J53" s="20" t="n">
        <v>0</v>
      </c>
      <c r="K53" s="18" t="n">
        <v>21.33626475</v>
      </c>
      <c r="L53" s="20" t="n">
        <v>1.57263436</v>
      </c>
      <c r="M53" s="18" t="n">
        <v>0</v>
      </c>
      <c r="N53" s="20" t="n">
        <v>0</v>
      </c>
      <c r="O53" s="18" t="n">
        <v>0</v>
      </c>
      <c r="P53" s="20" t="n">
        <v>0</v>
      </c>
      <c r="Q53" s="18" t="n">
        <v>5.33097766</v>
      </c>
      <c r="R53" s="20" t="n">
        <v>1.02735529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(4695.0/B55*100)</f>
        <v/>
      </c>
      <c r="D55" s="19" t="n">
        <v>664</v>
      </c>
      <c r="E55" s="18" t="n">
        <v>35.3948237</v>
      </c>
      <c r="F55" s="20" t="n">
        <v>1.76010154</v>
      </c>
      <c r="G55" s="18" t="n">
        <v>63.47750376</v>
      </c>
      <c r="H55" s="20" t="n">
        <v>1.74213939</v>
      </c>
      <c r="I55" s="18" t="n">
        <v>0</v>
      </c>
      <c r="J55" s="20" t="n">
        <v>0</v>
      </c>
      <c r="K55" s="18" t="n">
        <v>0.49999173</v>
      </c>
      <c r="L55" s="20" t="n">
        <v>0.29139402</v>
      </c>
      <c r="M55" s="18" t="n">
        <v>0</v>
      </c>
      <c r="N55" s="20" t="n">
        <v>0</v>
      </c>
      <c r="O55" s="18" t="n">
        <v>0</v>
      </c>
      <c r="P55" s="20" t="n">
        <v>0</v>
      </c>
      <c r="Q55" s="18" t="n">
        <v>0.62768081</v>
      </c>
      <c r="R55" s="20" t="n">
        <v>0.32384291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(5750.0/B61*100)</f>
        <v/>
      </c>
      <c r="D61" s="19" t="n">
        <v>775</v>
      </c>
      <c r="E61" s="18" t="n">
        <v>51.52532111</v>
      </c>
      <c r="F61" s="20" t="n">
        <v>2.36988877</v>
      </c>
      <c r="G61" s="18" t="n">
        <v>45.46082313</v>
      </c>
      <c r="H61" s="20" t="n">
        <v>2.42647159</v>
      </c>
      <c r="I61" s="18" t="n">
        <v>0</v>
      </c>
      <c r="J61" s="20" t="n">
        <v>0</v>
      </c>
      <c r="K61" s="18" t="n">
        <v>0.75603181</v>
      </c>
      <c r="L61" s="20" t="n">
        <v>0.30627478</v>
      </c>
      <c r="M61" s="18" t="n">
        <v>0</v>
      </c>
      <c r="N61" s="20" t="n">
        <v>0</v>
      </c>
      <c r="O61" s="18" t="n">
        <v>0</v>
      </c>
      <c r="P61" s="20" t="n">
        <v>0</v>
      </c>
      <c r="Q61" s="18" t="n">
        <v>2.25782395</v>
      </c>
      <c r="R61" s="20" t="n">
        <v>0.5888373</v>
      </c>
    </row>
    <row r="62" spans="1:18">
      <c r="A62" s="15" t="s">
        <v>486</v>
      </c>
      <c r="B62" s="17" t="n">
        <v>4476</v>
      </c>
      <c r="C62" s="18">
        <f>(3948.0/B62*100)</f>
        <v/>
      </c>
      <c r="D62" s="19" t="n">
        <v>528</v>
      </c>
      <c r="E62" s="18" t="n">
        <v>40.89593308</v>
      </c>
      <c r="F62" s="20" t="n">
        <v>2.1319534</v>
      </c>
      <c r="G62" s="18" t="n">
        <v>58.91593674</v>
      </c>
      <c r="H62" s="20" t="n">
        <v>2.13720663</v>
      </c>
      <c r="I62" s="18" t="n">
        <v>0</v>
      </c>
      <c r="J62" s="20" t="n">
        <v>0</v>
      </c>
      <c r="K62" s="18" t="n">
        <v>0</v>
      </c>
      <c r="L62" s="20" t="n">
        <v>0</v>
      </c>
      <c r="M62" s="18" t="n">
        <v>0</v>
      </c>
      <c r="N62" s="20" t="n">
        <v>0</v>
      </c>
      <c r="O62" s="18" t="n">
        <v>0</v>
      </c>
      <c r="P62" s="20" t="n">
        <v>0</v>
      </c>
      <c r="Q62" s="18" t="n">
        <v>0.18813017</v>
      </c>
      <c r="R62" s="20" t="n">
        <v>0.18855195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(4997.0/B67*100)</f>
        <v/>
      </c>
      <c r="D67" s="19" t="n">
        <v>668</v>
      </c>
      <c r="E67" s="18" t="n">
        <v>54.53310142</v>
      </c>
      <c r="F67" s="20" t="n">
        <v>2.00727984</v>
      </c>
      <c r="G67" s="18" t="n">
        <v>35.77376924</v>
      </c>
      <c r="H67" s="20" t="n">
        <v>2.23177701</v>
      </c>
      <c r="I67" s="18" t="n">
        <v>0</v>
      </c>
      <c r="J67" s="20" t="n">
        <v>0</v>
      </c>
      <c r="K67" s="18" t="n">
        <v>3.1617693</v>
      </c>
      <c r="L67" s="20" t="n">
        <v>0.64951594</v>
      </c>
      <c r="M67" s="18" t="n">
        <v>0</v>
      </c>
      <c r="N67" s="20" t="n">
        <v>0</v>
      </c>
      <c r="O67" s="18" t="n">
        <v>0</v>
      </c>
      <c r="P67" s="20" t="n">
        <v>0</v>
      </c>
      <c r="Q67" s="18" t="n">
        <v>6.53136004</v>
      </c>
      <c r="R67" s="20" t="n">
        <v>0.98899677</v>
      </c>
    </row>
    <row r="68" spans="1:18">
      <c r="A68" s="15" t="s">
        <v>492</v>
      </c>
      <c r="B68" s="17" t="n">
        <v>6971</v>
      </c>
      <c r="C68" s="18">
        <f>(6284.0/B68*100)</f>
        <v/>
      </c>
      <c r="D68" s="19" t="n">
        <v>687</v>
      </c>
      <c r="E68" s="18" t="n">
        <v>54.53672418</v>
      </c>
      <c r="F68" s="20" t="n">
        <v>1.95213604</v>
      </c>
      <c r="G68" s="18" t="n">
        <v>41.84669641</v>
      </c>
      <c r="H68" s="20" t="n">
        <v>2.03442091</v>
      </c>
      <c r="I68" s="18" t="n">
        <v>0</v>
      </c>
      <c r="J68" s="20" t="n">
        <v>0</v>
      </c>
      <c r="K68" s="18" t="n">
        <v>1.17301292</v>
      </c>
      <c r="L68" s="20" t="n">
        <v>0.38010293</v>
      </c>
      <c r="M68" s="18" t="n">
        <v>0</v>
      </c>
      <c r="N68" s="20" t="n">
        <v>0</v>
      </c>
      <c r="O68" s="18" t="n">
        <v>0</v>
      </c>
      <c r="P68" s="20" t="n">
        <v>0</v>
      </c>
      <c r="Q68" s="18" t="n">
        <v>2.44356648</v>
      </c>
      <c r="R68" s="20" t="n">
        <v>0.61126042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(10072.0/B70*100)</f>
        <v/>
      </c>
      <c r="D70" s="19" t="n">
        <v>2011</v>
      </c>
      <c r="E70" s="18" t="n">
        <v>56.8644719</v>
      </c>
      <c r="F70" s="20" t="n">
        <v>1.13941799</v>
      </c>
      <c r="G70" s="18" t="n">
        <v>34.05576131</v>
      </c>
      <c r="H70" s="20" t="n">
        <v>1.05257502</v>
      </c>
      <c r="I70" s="18" t="n">
        <v>0</v>
      </c>
      <c r="J70" s="20" t="n">
        <v>0</v>
      </c>
      <c r="K70" s="18" t="n">
        <v>5.59662778</v>
      </c>
      <c r="L70" s="20" t="n">
        <v>0.5226423</v>
      </c>
      <c r="M70" s="18" t="n">
        <v>0</v>
      </c>
      <c r="N70" s="20" t="n">
        <v>0</v>
      </c>
      <c r="O70" s="18" t="n">
        <v>0</v>
      </c>
      <c r="P70" s="20" t="n">
        <v>0</v>
      </c>
      <c r="Q70" s="18" t="n">
        <v>3.48313902</v>
      </c>
      <c r="R70" s="20" t="n">
        <v>0.42993878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(5347.0/B72*100)</f>
        <v/>
      </c>
      <c r="D72" s="19" t="n">
        <v>689</v>
      </c>
      <c r="E72" s="18" t="n">
        <v>48.54417981</v>
      </c>
      <c r="F72" s="20" t="n">
        <v>1.92407329</v>
      </c>
      <c r="G72" s="18" t="n">
        <v>47.0407908</v>
      </c>
      <c r="H72" s="20" t="n">
        <v>2.05913753</v>
      </c>
      <c r="I72" s="18" t="n">
        <v>0</v>
      </c>
      <c r="J72" s="20" t="n">
        <v>0</v>
      </c>
      <c r="K72" s="18" t="n">
        <v>1.49487418</v>
      </c>
      <c r="L72" s="20" t="n">
        <v>0.57020955</v>
      </c>
      <c r="M72" s="18" t="n">
        <v>0</v>
      </c>
      <c r="N72" s="20" t="n">
        <v>0</v>
      </c>
      <c r="O72" s="18" t="n">
        <v>0</v>
      </c>
      <c r="P72" s="20" t="n">
        <v>0</v>
      </c>
      <c r="Q72" s="18" t="n">
        <v>2.9201552</v>
      </c>
      <c r="R72" s="20" t="n">
        <v>0.5433294</v>
      </c>
    </row>
    <row r="73" spans="1:18">
      <c r="A73" s="15" t="s">
        <v>497</v>
      </c>
      <c r="B73" s="17" t="n">
        <v>6115</v>
      </c>
      <c r="C73" s="18">
        <f>(5363.0/B73*100)</f>
        <v/>
      </c>
      <c r="D73" s="19" t="n">
        <v>752</v>
      </c>
      <c r="E73" s="18" t="n">
        <v>34.53105258</v>
      </c>
      <c r="F73" s="20" t="n">
        <v>1.60226019</v>
      </c>
      <c r="G73" s="18" t="n">
        <v>64.48979665</v>
      </c>
      <c r="H73" s="20" t="n">
        <v>1.70383579</v>
      </c>
      <c r="I73" s="18" t="n">
        <v>0</v>
      </c>
      <c r="J73" s="20" t="n">
        <v>0</v>
      </c>
      <c r="K73" s="18" t="n">
        <v>0.29426855</v>
      </c>
      <c r="L73" s="20" t="n">
        <v>0.18086836</v>
      </c>
      <c r="M73" s="18" t="n">
        <v>0</v>
      </c>
      <c r="N73" s="20" t="n">
        <v>0</v>
      </c>
      <c r="O73" s="18" t="n">
        <v>0</v>
      </c>
      <c r="P73" s="20" t="n">
        <v>0</v>
      </c>
      <c r="Q73" s="18" t="n">
        <v>0.68488222</v>
      </c>
      <c r="R73" s="20" t="n">
        <v>0.33436621</v>
      </c>
    </row>
    <row r="74" spans="1:18">
      <c r="A74" s="15" t="s">
        <v>498</v>
      </c>
      <c r="B74" s="17" t="n">
        <v>7708</v>
      </c>
      <c r="C74" s="18">
        <f>(6766.0/B74*100)</f>
        <v/>
      </c>
      <c r="D74" s="19" t="n">
        <v>942</v>
      </c>
      <c r="E74" s="18" t="n">
        <v>40.640845</v>
      </c>
      <c r="F74" s="20" t="n">
        <v>1.44172079</v>
      </c>
      <c r="G74" s="18" t="n">
        <v>58.57849085</v>
      </c>
      <c r="H74" s="20" t="n">
        <v>1.40973645</v>
      </c>
      <c r="I74" s="18" t="n">
        <v>0</v>
      </c>
      <c r="J74" s="20" t="n">
        <v>0</v>
      </c>
      <c r="K74" s="18" t="n">
        <v>0.4373533</v>
      </c>
      <c r="L74" s="20" t="n">
        <v>0.22498992</v>
      </c>
      <c r="M74" s="18" t="n">
        <v>0</v>
      </c>
      <c r="N74" s="20" t="n">
        <v>0</v>
      </c>
      <c r="O74" s="18" t="n">
        <v>0</v>
      </c>
      <c r="P74" s="20" t="n">
        <v>0</v>
      </c>
      <c r="Q74" s="18" t="n">
        <v>0.34331084</v>
      </c>
      <c r="R74" s="20" t="n">
        <v>0.20385968</v>
      </c>
    </row>
    <row r="75" spans="1:18">
      <c r="A75" s="15" t="s">
        <v>499</v>
      </c>
      <c r="B75" s="17" t="n">
        <v>8249</v>
      </c>
      <c r="C75" s="18">
        <f>(7314.0/B75*100)</f>
        <v/>
      </c>
      <c r="D75" s="19" t="n">
        <v>935</v>
      </c>
      <c r="E75" s="18" t="n">
        <v>67.93521302000001</v>
      </c>
      <c r="F75" s="20" t="n">
        <v>1.80200136</v>
      </c>
      <c r="G75" s="18" t="n">
        <v>30.93294606</v>
      </c>
      <c r="H75" s="20" t="n">
        <v>1.75452764</v>
      </c>
      <c r="I75" s="18" t="n">
        <v>0</v>
      </c>
      <c r="J75" s="20" t="n">
        <v>0</v>
      </c>
      <c r="K75" s="18" t="n">
        <v>0.01091865</v>
      </c>
      <c r="L75" s="20" t="n">
        <v>0.007918440000000001</v>
      </c>
      <c r="M75" s="18" t="n">
        <v>0</v>
      </c>
      <c r="N75" s="20" t="n">
        <v>0</v>
      </c>
      <c r="O75" s="18" t="n">
        <v>0</v>
      </c>
      <c r="P75" s="20" t="n">
        <v>0</v>
      </c>
      <c r="Q75" s="18" t="n">
        <v>1.12092226</v>
      </c>
      <c r="R75" s="20" t="n">
        <v>0.3858219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(4804.0/B77*100)</f>
        <v/>
      </c>
      <c r="D77" s="19" t="n">
        <v>571</v>
      </c>
      <c r="E77" s="18" t="n">
        <v>67.19996524</v>
      </c>
      <c r="F77" s="20" t="n">
        <v>2.01852462</v>
      </c>
      <c r="G77" s="18" t="n">
        <v>23.07048274</v>
      </c>
      <c r="H77" s="20" t="n">
        <v>1.8006183</v>
      </c>
      <c r="I77" s="18" t="n">
        <v>0</v>
      </c>
      <c r="J77" s="20" t="n">
        <v>0</v>
      </c>
      <c r="K77" s="18" t="n">
        <v>6.1521404</v>
      </c>
      <c r="L77" s="20" t="n">
        <v>1.0736358</v>
      </c>
      <c r="M77" s="18" t="n">
        <v>0</v>
      </c>
      <c r="N77" s="20" t="n">
        <v>0</v>
      </c>
      <c r="O77" s="18" t="n">
        <v>0</v>
      </c>
      <c r="P77" s="20" t="n">
        <v>0</v>
      </c>
      <c r="Q77" s="18" t="n">
        <v>3.57741161</v>
      </c>
      <c r="R77" s="20" t="n">
        <v>0.80607504</v>
      </c>
    </row>
    <row r="78" spans="1:18">
      <c r="A78" s="15" t="s">
        <v>502</v>
      </c>
      <c r="B78" s="17" t="n">
        <v>14167</v>
      </c>
      <c r="C78" s="18">
        <f>(12452.0/B78*100)</f>
        <v/>
      </c>
      <c r="D78" s="19" t="n">
        <v>1715</v>
      </c>
      <c r="E78" s="18" t="n">
        <v>55.09323851</v>
      </c>
      <c r="F78" s="20" t="n">
        <v>1.45251133</v>
      </c>
      <c r="G78" s="18" t="n">
        <v>40.64806175</v>
      </c>
      <c r="H78" s="20" t="n">
        <v>1.50940941</v>
      </c>
      <c r="I78" s="18" t="n">
        <v>0</v>
      </c>
      <c r="J78" s="20" t="n">
        <v>0</v>
      </c>
      <c r="K78" s="18" t="n">
        <v>1.6573965</v>
      </c>
      <c r="L78" s="20" t="n">
        <v>0.33569683</v>
      </c>
      <c r="M78" s="18" t="n">
        <v>0</v>
      </c>
      <c r="N78" s="20" t="n">
        <v>0</v>
      </c>
      <c r="O78" s="18" t="n">
        <v>0</v>
      </c>
      <c r="P78" s="20" t="n">
        <v>0</v>
      </c>
      <c r="Q78" s="18" t="n">
        <v>2.60130324</v>
      </c>
      <c r="R78" s="20" t="n">
        <v>0.45236447</v>
      </c>
    </row>
    <row r="79" spans="1:18">
      <c r="A79" s="15" t="s">
        <v>503</v>
      </c>
      <c r="B79" s="17" t="n">
        <v>6062</v>
      </c>
      <c r="C79" s="18">
        <f>(5409.0/B79*100)</f>
        <v/>
      </c>
      <c r="D79" s="19" t="n">
        <v>653</v>
      </c>
      <c r="E79" s="18" t="n">
        <v>48.90080876</v>
      </c>
      <c r="F79" s="20" t="n">
        <v>2.12602004</v>
      </c>
      <c r="G79" s="18" t="n">
        <v>37.45043271</v>
      </c>
      <c r="H79" s="20" t="n">
        <v>2.1123372</v>
      </c>
      <c r="I79" s="18" t="n">
        <v>0</v>
      </c>
      <c r="J79" s="20" t="n">
        <v>0</v>
      </c>
      <c r="K79" s="18" t="n">
        <v>6.46384916</v>
      </c>
      <c r="L79" s="20" t="n">
        <v>1.01199087</v>
      </c>
      <c r="M79" s="18" t="n">
        <v>0</v>
      </c>
      <c r="N79" s="20" t="n">
        <v>0</v>
      </c>
      <c r="O79" s="18" t="n">
        <v>0</v>
      </c>
      <c r="P79" s="20" t="n">
        <v>0</v>
      </c>
      <c r="Q79" s="18" t="n">
        <v>7.18490936</v>
      </c>
      <c r="R79" s="20" t="n">
        <v>1.03797094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(28514.0/B82*100)</f>
        <v/>
      </c>
      <c r="D82" s="19" t="n">
        <v>3816</v>
      </c>
      <c r="E82" s="18" t="n">
        <v>49.34575688</v>
      </c>
      <c r="F82" s="20" t="n">
        <v>1.11738861</v>
      </c>
      <c r="G82" s="18" t="n">
        <v>47.15106701</v>
      </c>
      <c r="H82" s="20" t="n">
        <v>1.07978987</v>
      </c>
      <c r="I82" s="18" t="n">
        <v>0</v>
      </c>
      <c r="J82" s="20" t="n">
        <v>0</v>
      </c>
      <c r="K82" s="18" t="n">
        <v>1.61174277</v>
      </c>
      <c r="L82" s="20" t="n">
        <v>0.26084562</v>
      </c>
      <c r="M82" s="18" t="n">
        <v>0</v>
      </c>
      <c r="N82" s="20" t="n">
        <v>0</v>
      </c>
      <c r="O82" s="18" t="n">
        <v>0</v>
      </c>
      <c r="P82" s="20" t="n">
        <v>0</v>
      </c>
      <c r="Q82" s="18" t="n">
        <v>1.89143334</v>
      </c>
      <c r="R82" s="20" t="n">
        <v>0.34932338</v>
      </c>
    </row>
    <row r="83" spans="1:18">
      <c r="A83" s="15" t="s">
        <v>507</v>
      </c>
      <c r="B83" s="17" t="n">
        <v>1652</v>
      </c>
      <c r="C83" s="18">
        <f>(1463.0/B83*100)</f>
        <v/>
      </c>
      <c r="D83" s="19" t="n">
        <v>189</v>
      </c>
      <c r="E83" s="18" t="n">
        <v>39.45355894</v>
      </c>
      <c r="F83" s="20" t="n">
        <v>4.33487098</v>
      </c>
      <c r="G83" s="18" t="n">
        <v>59.48518014</v>
      </c>
      <c r="H83" s="20" t="n">
        <v>4.4083195</v>
      </c>
      <c r="I83" s="18" t="n">
        <v>0</v>
      </c>
      <c r="J83" s="20" t="n">
        <v>0</v>
      </c>
      <c r="K83" s="18" t="n">
        <v>0.5729294700000001</v>
      </c>
      <c r="L83" s="20" t="n">
        <v>0.61024548</v>
      </c>
      <c r="M83" s="18" t="n">
        <v>0</v>
      </c>
      <c r="N83" s="20" t="n">
        <v>0</v>
      </c>
      <c r="O83" s="18" t="n">
        <v>0</v>
      </c>
      <c r="P83" s="20" t="n">
        <v>0</v>
      </c>
      <c r="Q83" s="18" t="n">
        <v>0.48833145</v>
      </c>
      <c r="R83" s="20" t="n">
        <v>0.481389</v>
      </c>
    </row>
    <row r="84" spans="1:18">
      <c r="A84" s="23" t="s">
        <v>508</v>
      </c>
      <c r="B84" s="24" t="n">
        <v>1887</v>
      </c>
      <c r="C84" s="25">
        <f>(1657.0/B84*100)</f>
        <v/>
      </c>
      <c r="D84" s="19" t="n">
        <v>230</v>
      </c>
      <c r="E84" s="18" t="n">
        <v>45.49242741</v>
      </c>
      <c r="F84" s="20" t="n">
        <v>4.22740344</v>
      </c>
      <c r="G84" s="18" t="n">
        <v>53.99502956</v>
      </c>
      <c r="H84" s="20" t="n">
        <v>4.1069311</v>
      </c>
      <c r="I84" s="18" t="n">
        <v>0</v>
      </c>
      <c r="J84" s="20" t="n">
        <v>0</v>
      </c>
      <c r="K84" s="18" t="n">
        <v>0.51254302</v>
      </c>
      <c r="L84" s="20" t="n">
        <v>0.52127342</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(12763.0/B7*100)</f>
        <v/>
      </c>
      <c r="D7" s="19" t="n">
        <v>1767</v>
      </c>
      <c r="E7" s="18" t="n">
        <v>43.5524121</v>
      </c>
      <c r="F7" s="20" t="n">
        <v>1.38731864</v>
      </c>
      <c r="G7" s="18" t="n">
        <v>54.83141338</v>
      </c>
      <c r="H7" s="20" t="n">
        <v>1.40485594</v>
      </c>
      <c r="I7" s="18" t="n">
        <v>0</v>
      </c>
      <c r="J7" s="20" t="n">
        <v>0</v>
      </c>
      <c r="K7" s="18" t="n">
        <v>0.9262789299999999</v>
      </c>
      <c r="L7" s="20" t="n">
        <v>0.21476159</v>
      </c>
      <c r="M7" s="18" t="n">
        <v>0</v>
      </c>
      <c r="N7" s="20" t="n">
        <v>0</v>
      </c>
      <c r="O7" s="18" t="n">
        <v>0</v>
      </c>
      <c r="P7" s="20" t="n">
        <v>0</v>
      </c>
      <c r="Q7" s="18" t="n">
        <v>0.68989559</v>
      </c>
      <c r="R7" s="20" t="n">
        <v>0.19793974</v>
      </c>
    </row>
    <row r="8" spans="1:18">
      <c r="A8" s="15" t="s">
        <v>430</v>
      </c>
      <c r="B8" s="17" t="n">
        <v>7007</v>
      </c>
      <c r="C8" s="18">
        <f>(6175.0/B8*100)</f>
        <v/>
      </c>
      <c r="D8" s="19" t="n">
        <v>832</v>
      </c>
      <c r="E8" s="18" t="n">
        <v>33.79901261</v>
      </c>
      <c r="F8" s="20" t="n">
        <v>1.66490878</v>
      </c>
      <c r="G8" s="18" t="n">
        <v>63.57819131</v>
      </c>
      <c r="H8" s="20" t="n">
        <v>1.7265956</v>
      </c>
      <c r="I8" s="18" t="n">
        <v>0</v>
      </c>
      <c r="J8" s="20" t="n">
        <v>0</v>
      </c>
      <c r="K8" s="18" t="n">
        <v>1.55006898</v>
      </c>
      <c r="L8" s="20" t="n">
        <v>0.40228978</v>
      </c>
      <c r="M8" s="18" t="n">
        <v>0</v>
      </c>
      <c r="N8" s="20" t="n">
        <v>0</v>
      </c>
      <c r="O8" s="18" t="n">
        <v>0</v>
      </c>
      <c r="P8" s="20" t="n">
        <v>0</v>
      </c>
      <c r="Q8" s="18" t="n">
        <v>1.0727271</v>
      </c>
      <c r="R8" s="20" t="n">
        <v>0.34857618</v>
      </c>
    </row>
    <row r="9" spans="1:18">
      <c r="A9" s="15" t="s">
        <v>431</v>
      </c>
      <c r="B9" s="17" t="n">
        <v>9651</v>
      </c>
      <c r="C9" s="18">
        <f>(8545.0/B9*100)</f>
        <v/>
      </c>
      <c r="D9" s="19" t="n">
        <v>1106</v>
      </c>
      <c r="E9" s="18" t="n">
        <v>28.57070655</v>
      </c>
      <c r="F9" s="20" t="n">
        <v>1.56419146</v>
      </c>
      <c r="G9" s="18" t="n">
        <v>69.20169186</v>
      </c>
      <c r="H9" s="20" t="n">
        <v>1.59279494</v>
      </c>
      <c r="I9" s="18" t="n">
        <v>0</v>
      </c>
      <c r="J9" s="20" t="n">
        <v>0</v>
      </c>
      <c r="K9" s="18" t="n">
        <v>1.7293845</v>
      </c>
      <c r="L9" s="20" t="n">
        <v>0.33242739</v>
      </c>
      <c r="M9" s="18" t="n">
        <v>0</v>
      </c>
      <c r="N9" s="20" t="n">
        <v>0</v>
      </c>
      <c r="O9" s="18" t="n">
        <v>0</v>
      </c>
      <c r="P9" s="20" t="n">
        <v>0</v>
      </c>
      <c r="Q9" s="18" t="n">
        <v>0.49821709</v>
      </c>
      <c r="R9" s="20" t="n">
        <v>0.32344005</v>
      </c>
    </row>
    <row r="10" spans="1:18">
      <c r="A10" s="15" t="s">
        <v>432</v>
      </c>
      <c r="B10" s="17" t="n">
        <v>20058</v>
      </c>
      <c r="C10" s="18">
        <f>(17667.0/B10*100)</f>
        <v/>
      </c>
      <c r="D10" s="19" t="n">
        <v>2391</v>
      </c>
      <c r="E10" s="18" t="n">
        <v>35.18263062</v>
      </c>
      <c r="F10" s="20" t="n">
        <v>1.44657815</v>
      </c>
      <c r="G10" s="18" t="n">
        <v>62.9461102</v>
      </c>
      <c r="H10" s="20" t="n">
        <v>1.46209948</v>
      </c>
      <c r="I10" s="18" t="n">
        <v>0</v>
      </c>
      <c r="J10" s="20" t="n">
        <v>0</v>
      </c>
      <c r="K10" s="18" t="n">
        <v>1.10508219</v>
      </c>
      <c r="L10" s="20" t="n">
        <v>0.31107112</v>
      </c>
      <c r="M10" s="18" t="n">
        <v>0</v>
      </c>
      <c r="N10" s="20" t="n">
        <v>0</v>
      </c>
      <c r="O10" s="18" t="n">
        <v>0</v>
      </c>
      <c r="P10" s="20" t="n">
        <v>0</v>
      </c>
      <c r="Q10" s="18" t="n">
        <v>0.766177</v>
      </c>
      <c r="R10" s="20" t="n">
        <v>0.20606909</v>
      </c>
    </row>
    <row r="11" spans="1:18">
      <c r="A11" s="15" t="s">
        <v>433</v>
      </c>
      <c r="B11" s="17" t="n">
        <v>7053</v>
      </c>
      <c r="C11" s="18">
        <f>(6238.0/B11*100)</f>
        <v/>
      </c>
      <c r="D11" s="19" t="n">
        <v>815</v>
      </c>
      <c r="E11" s="18" t="n">
        <v>34.77770489</v>
      </c>
      <c r="F11" s="20" t="n">
        <v>2.08442698</v>
      </c>
      <c r="G11" s="18" t="n">
        <v>60.08960304</v>
      </c>
      <c r="H11" s="20" t="n">
        <v>2.09157939</v>
      </c>
      <c r="I11" s="18" t="n">
        <v>0</v>
      </c>
      <c r="J11" s="20" t="n">
        <v>0</v>
      </c>
      <c r="K11" s="18" t="n">
        <v>3.62813789</v>
      </c>
      <c r="L11" s="20" t="n">
        <v>0.76338977</v>
      </c>
      <c r="M11" s="18" t="n">
        <v>0</v>
      </c>
      <c r="N11" s="20" t="n">
        <v>0</v>
      </c>
      <c r="O11" s="18" t="n">
        <v>0</v>
      </c>
      <c r="P11" s="20" t="n">
        <v>0</v>
      </c>
      <c r="Q11" s="18" t="n">
        <v>1.50455418</v>
      </c>
      <c r="R11" s="20" t="n">
        <v>0.53269659</v>
      </c>
    </row>
    <row r="12" spans="1:18">
      <c r="A12" s="15" t="s">
        <v>434</v>
      </c>
      <c r="B12" s="17" t="n">
        <v>6894</v>
      </c>
      <c r="C12" s="18">
        <f>(6082.0/B12*100)</f>
        <v/>
      </c>
      <c r="D12" s="19" t="n">
        <v>812</v>
      </c>
      <c r="E12" s="18" t="n">
        <v>38.96263622</v>
      </c>
      <c r="F12" s="20" t="n">
        <v>1.83261565</v>
      </c>
      <c r="G12" s="18" t="n">
        <v>58.5153131</v>
      </c>
      <c r="H12" s="20" t="n">
        <v>1.78577529</v>
      </c>
      <c r="I12" s="18" t="n">
        <v>0</v>
      </c>
      <c r="J12" s="20" t="n">
        <v>0</v>
      </c>
      <c r="K12" s="18" t="n">
        <v>1.07656229</v>
      </c>
      <c r="L12" s="20" t="n">
        <v>0.39347699</v>
      </c>
      <c r="M12" s="18" t="n">
        <v>0</v>
      </c>
      <c r="N12" s="20" t="n">
        <v>0</v>
      </c>
      <c r="O12" s="18" t="n">
        <v>0</v>
      </c>
      <c r="P12" s="20" t="n">
        <v>0</v>
      </c>
      <c r="Q12" s="18" t="n">
        <v>1.44548839</v>
      </c>
      <c r="R12" s="20" t="n">
        <v>0.52246264</v>
      </c>
    </row>
    <row r="13" spans="1:18">
      <c r="A13" s="15" t="s">
        <v>435</v>
      </c>
      <c r="B13" s="17" t="n">
        <v>7161</v>
      </c>
      <c r="C13" s="18">
        <f>(6354.0/B13*100)</f>
        <v/>
      </c>
      <c r="D13" s="19" t="n">
        <v>807</v>
      </c>
      <c r="E13" s="18" t="n">
        <v>50.50676505</v>
      </c>
      <c r="F13" s="20" t="n">
        <v>2.01998649</v>
      </c>
      <c r="G13" s="18" t="n">
        <v>46.2635962</v>
      </c>
      <c r="H13" s="20" t="n">
        <v>2.07749456</v>
      </c>
      <c r="I13" s="18" t="n">
        <v>0</v>
      </c>
      <c r="J13" s="20" t="n">
        <v>0</v>
      </c>
      <c r="K13" s="18" t="n">
        <v>2.03611226</v>
      </c>
      <c r="L13" s="20" t="n">
        <v>0.46430144</v>
      </c>
      <c r="M13" s="18" t="n">
        <v>0</v>
      </c>
      <c r="N13" s="20" t="n">
        <v>0</v>
      </c>
      <c r="O13" s="18" t="n">
        <v>0</v>
      </c>
      <c r="P13" s="20" t="n">
        <v>0</v>
      </c>
      <c r="Q13" s="18" t="n">
        <v>1.19352649</v>
      </c>
      <c r="R13" s="20" t="n">
        <v>0.47781162</v>
      </c>
    </row>
    <row r="14" spans="1:18">
      <c r="A14" s="15" t="s">
        <v>436</v>
      </c>
      <c r="B14" s="17" t="n">
        <v>5587</v>
      </c>
      <c r="C14" s="18">
        <f>(4921.0/B14*100)</f>
        <v/>
      </c>
      <c r="D14" s="19" t="n">
        <v>666</v>
      </c>
      <c r="E14" s="18" t="n">
        <v>46.02895149</v>
      </c>
      <c r="F14" s="20" t="n">
        <v>2.04697714</v>
      </c>
      <c r="G14" s="18" t="n">
        <v>52.68581125</v>
      </c>
      <c r="H14" s="20" t="n">
        <v>2.00289346</v>
      </c>
      <c r="I14" s="18" t="n">
        <v>0</v>
      </c>
      <c r="J14" s="20" t="n">
        <v>0</v>
      </c>
      <c r="K14" s="18" t="n">
        <v>1.04511807</v>
      </c>
      <c r="L14" s="20" t="n">
        <v>0.34906943</v>
      </c>
      <c r="M14" s="18" t="n">
        <v>0</v>
      </c>
      <c r="N14" s="20" t="n">
        <v>0</v>
      </c>
      <c r="O14" s="18" t="n">
        <v>0</v>
      </c>
      <c r="P14" s="20" t="n">
        <v>0</v>
      </c>
      <c r="Q14" s="18" t="n">
        <v>0.24011919</v>
      </c>
      <c r="R14" s="20" t="n">
        <v>0.16863048</v>
      </c>
    </row>
    <row r="15" spans="1:18">
      <c r="A15" s="15" t="s">
        <v>437</v>
      </c>
      <c r="B15" s="17" t="n">
        <v>5882</v>
      </c>
      <c r="C15" s="18">
        <f>(5174.0/B15*100)</f>
        <v/>
      </c>
      <c r="D15" s="19" t="n">
        <v>708</v>
      </c>
      <c r="E15" s="18" t="n">
        <v>20.1182844</v>
      </c>
      <c r="F15" s="20" t="n">
        <v>1.66585063</v>
      </c>
      <c r="G15" s="18" t="n">
        <v>78.41648549</v>
      </c>
      <c r="H15" s="20" t="n">
        <v>1.66834686</v>
      </c>
      <c r="I15" s="18" t="n">
        <v>0</v>
      </c>
      <c r="J15" s="20" t="n">
        <v>0</v>
      </c>
      <c r="K15" s="18" t="n">
        <v>0.67468426</v>
      </c>
      <c r="L15" s="20" t="n">
        <v>0.30669878</v>
      </c>
      <c r="M15" s="18" t="n">
        <v>0</v>
      </c>
      <c r="N15" s="20" t="n">
        <v>0</v>
      </c>
      <c r="O15" s="18" t="n">
        <v>0</v>
      </c>
      <c r="P15" s="20" t="n">
        <v>0</v>
      </c>
      <c r="Q15" s="18" t="n">
        <v>0.79054586</v>
      </c>
      <c r="R15" s="20" t="n">
        <v>0.27438526</v>
      </c>
    </row>
    <row r="16" spans="1:18">
      <c r="A16" s="15" t="s">
        <v>438</v>
      </c>
      <c r="B16" s="17" t="n">
        <v>6108</v>
      </c>
      <c r="C16" s="18">
        <f>(5363.0/B16*100)</f>
        <v/>
      </c>
      <c r="D16" s="19" t="n">
        <v>745</v>
      </c>
      <c r="E16" s="18" t="n">
        <v>29.15210685</v>
      </c>
      <c r="F16" s="20" t="n">
        <v>1.69656318</v>
      </c>
      <c r="G16" s="18" t="n">
        <v>66.35898191</v>
      </c>
      <c r="H16" s="20" t="n">
        <v>1.82973836</v>
      </c>
      <c r="I16" s="18" t="n">
        <v>0</v>
      </c>
      <c r="J16" s="20" t="n">
        <v>0</v>
      </c>
      <c r="K16" s="18" t="n">
        <v>3.89906915</v>
      </c>
      <c r="L16" s="20" t="n">
        <v>0.90224061</v>
      </c>
      <c r="M16" s="18" t="n">
        <v>0</v>
      </c>
      <c r="N16" s="20" t="n">
        <v>0</v>
      </c>
      <c r="O16" s="18" t="n">
        <v>0</v>
      </c>
      <c r="P16" s="20" t="n">
        <v>0</v>
      </c>
      <c r="Q16" s="18" t="n">
        <v>0.58984209</v>
      </c>
      <c r="R16" s="20" t="n">
        <v>0.32709728</v>
      </c>
    </row>
    <row r="17" spans="1:18">
      <c r="A17" s="15" t="s">
        <v>439</v>
      </c>
      <c r="B17" s="17" t="n">
        <v>6504</v>
      </c>
      <c r="C17" s="18">
        <f>(5742.0/B17*100)</f>
        <v/>
      </c>
      <c r="D17" s="19" t="n">
        <v>762</v>
      </c>
      <c r="E17" s="18" t="n">
        <v>25.92238904</v>
      </c>
      <c r="F17" s="20" t="n">
        <v>1.55993244</v>
      </c>
      <c r="G17" s="18" t="n">
        <v>70.23733953999999</v>
      </c>
      <c r="H17" s="20" t="n">
        <v>1.70683774</v>
      </c>
      <c r="I17" s="18" t="n">
        <v>0</v>
      </c>
      <c r="J17" s="20" t="n">
        <v>0</v>
      </c>
      <c r="K17" s="18" t="n">
        <v>2.56291065</v>
      </c>
      <c r="L17" s="20" t="n">
        <v>0.53015794</v>
      </c>
      <c r="M17" s="18" t="n">
        <v>0</v>
      </c>
      <c r="N17" s="20" t="n">
        <v>0</v>
      </c>
      <c r="O17" s="18" t="n">
        <v>0</v>
      </c>
      <c r="P17" s="20" t="n">
        <v>0</v>
      </c>
      <c r="Q17" s="18" t="n">
        <v>1.27736077</v>
      </c>
      <c r="R17" s="20" t="n">
        <v>0.39458509</v>
      </c>
    </row>
    <row r="18" spans="1:18">
      <c r="A18" s="15" t="s">
        <v>440</v>
      </c>
      <c r="B18" s="17" t="n">
        <v>5532</v>
      </c>
      <c r="C18" s="18">
        <f>(4855.0/B18*100)</f>
        <v/>
      </c>
      <c r="D18" s="19" t="n">
        <v>677</v>
      </c>
      <c r="E18" s="18" t="n">
        <v>40.04138417</v>
      </c>
      <c r="F18" s="20" t="n">
        <v>2.23896498</v>
      </c>
      <c r="G18" s="18" t="n">
        <v>56.34970626</v>
      </c>
      <c r="H18" s="20" t="n">
        <v>2.27023558</v>
      </c>
      <c r="I18" s="18" t="n">
        <v>0</v>
      </c>
      <c r="J18" s="20" t="n">
        <v>0</v>
      </c>
      <c r="K18" s="18" t="n">
        <v>2.45374907</v>
      </c>
      <c r="L18" s="20" t="n">
        <v>0.66484478</v>
      </c>
      <c r="M18" s="18" t="n">
        <v>0</v>
      </c>
      <c r="N18" s="20" t="n">
        <v>0</v>
      </c>
      <c r="O18" s="18" t="n">
        <v>0</v>
      </c>
      <c r="P18" s="20" t="n">
        <v>0</v>
      </c>
      <c r="Q18" s="18" t="n">
        <v>1.1551605</v>
      </c>
      <c r="R18" s="20" t="n">
        <v>0.4928969</v>
      </c>
    </row>
    <row r="19" spans="1:18">
      <c r="A19" s="15" t="s">
        <v>441</v>
      </c>
      <c r="B19" s="17" t="n">
        <v>5658</v>
      </c>
      <c r="C19" s="18">
        <f>(4996.0/B19*100)</f>
        <v/>
      </c>
      <c r="D19" s="19" t="n">
        <v>662</v>
      </c>
      <c r="E19" s="18" t="n">
        <v>48.00503608</v>
      </c>
      <c r="F19" s="20" t="n">
        <v>1.87242078</v>
      </c>
      <c r="G19" s="18" t="n">
        <v>50.10746627</v>
      </c>
      <c r="H19" s="20" t="n">
        <v>1.86126046</v>
      </c>
      <c r="I19" s="18" t="n">
        <v>0</v>
      </c>
      <c r="J19" s="20" t="n">
        <v>0</v>
      </c>
      <c r="K19" s="18" t="n">
        <v>0.59936471</v>
      </c>
      <c r="L19" s="20" t="n">
        <v>0.30969361</v>
      </c>
      <c r="M19" s="18" t="n">
        <v>0</v>
      </c>
      <c r="N19" s="20" t="n">
        <v>0</v>
      </c>
      <c r="O19" s="18" t="n">
        <v>0</v>
      </c>
      <c r="P19" s="20" t="n">
        <v>0</v>
      </c>
      <c r="Q19" s="18" t="n">
        <v>1.28813294</v>
      </c>
      <c r="R19" s="20" t="n">
        <v>0.7257755</v>
      </c>
    </row>
    <row r="20" spans="1:18">
      <c r="A20" s="15" t="s">
        <v>442</v>
      </c>
      <c r="B20" s="17" t="n">
        <v>3371</v>
      </c>
      <c r="C20" s="18">
        <f>(2979.0/B20*100)</f>
        <v/>
      </c>
      <c r="D20" s="19" t="n">
        <v>392</v>
      </c>
      <c r="E20" s="18" t="n">
        <v>40.91414481</v>
      </c>
      <c r="F20" s="20" t="n">
        <v>2.20386793</v>
      </c>
      <c r="G20" s="18" t="n">
        <v>56.37455297</v>
      </c>
      <c r="H20" s="20" t="n">
        <v>2.35302521</v>
      </c>
      <c r="I20" s="18" t="n">
        <v>0</v>
      </c>
      <c r="J20" s="20" t="n">
        <v>0</v>
      </c>
      <c r="K20" s="18" t="n">
        <v>1.47543804</v>
      </c>
      <c r="L20" s="20" t="n">
        <v>0.59676628</v>
      </c>
      <c r="M20" s="18" t="n">
        <v>0</v>
      </c>
      <c r="N20" s="20" t="n">
        <v>0</v>
      </c>
      <c r="O20" s="18" t="n">
        <v>0</v>
      </c>
      <c r="P20" s="20" t="n">
        <v>0</v>
      </c>
      <c r="Q20" s="18" t="n">
        <v>1.23586418</v>
      </c>
      <c r="R20" s="20" t="n">
        <v>0.6877572199999999</v>
      </c>
    </row>
    <row r="21" spans="1:18">
      <c r="A21" s="15" t="s">
        <v>443</v>
      </c>
      <c r="B21" s="17" t="n">
        <v>5741</v>
      </c>
      <c r="C21" s="18">
        <f>(4809.0/B21*100)</f>
        <v/>
      </c>
      <c r="D21" s="19" t="n">
        <v>932</v>
      </c>
      <c r="E21" s="18" t="n">
        <v>45.70284664</v>
      </c>
      <c r="F21" s="20" t="n">
        <v>1.59524638</v>
      </c>
      <c r="G21" s="18" t="n">
        <v>53.27393521</v>
      </c>
      <c r="H21" s="20" t="n">
        <v>1.56559461</v>
      </c>
      <c r="I21" s="18" t="n">
        <v>0</v>
      </c>
      <c r="J21" s="20" t="n">
        <v>0</v>
      </c>
      <c r="K21" s="18" t="n">
        <v>0.6835399</v>
      </c>
      <c r="L21" s="20" t="n">
        <v>0.26649583</v>
      </c>
      <c r="M21" s="18" t="n">
        <v>0</v>
      </c>
      <c r="N21" s="20" t="n">
        <v>0</v>
      </c>
      <c r="O21" s="18" t="n">
        <v>0</v>
      </c>
      <c r="P21" s="20" t="n">
        <v>0</v>
      </c>
      <c r="Q21" s="18" t="n">
        <v>0.33967825</v>
      </c>
      <c r="R21" s="20" t="n">
        <v>0.18790967</v>
      </c>
    </row>
    <row r="22" spans="1:18">
      <c r="A22" s="15" t="s">
        <v>444</v>
      </c>
      <c r="B22" s="17" t="n">
        <v>6598</v>
      </c>
      <c r="C22" s="18">
        <f>(5786.0/B22*100)</f>
        <v/>
      </c>
      <c r="D22" s="19" t="n">
        <v>812</v>
      </c>
      <c r="E22" s="18" t="n">
        <v>32.19543222</v>
      </c>
      <c r="F22" s="20" t="n">
        <v>1.58230406</v>
      </c>
      <c r="G22" s="18" t="n">
        <v>63.75594396</v>
      </c>
      <c r="H22" s="20" t="n">
        <v>1.71280269</v>
      </c>
      <c r="I22" s="18" t="n">
        <v>0</v>
      </c>
      <c r="J22" s="20" t="n">
        <v>0</v>
      </c>
      <c r="K22" s="18" t="n">
        <v>1.46574245</v>
      </c>
      <c r="L22" s="20" t="n">
        <v>0.45530501</v>
      </c>
      <c r="M22" s="18" t="n">
        <v>0</v>
      </c>
      <c r="N22" s="20" t="n">
        <v>0</v>
      </c>
      <c r="O22" s="18" t="n">
        <v>0</v>
      </c>
      <c r="P22" s="20" t="n">
        <v>0</v>
      </c>
      <c r="Q22" s="18" t="n">
        <v>2.58288138</v>
      </c>
      <c r="R22" s="20" t="n">
        <v>0.64556039</v>
      </c>
    </row>
    <row r="23" spans="1:18">
      <c r="A23" s="15" t="s">
        <v>445</v>
      </c>
      <c r="B23" s="17" t="n">
        <v>11583</v>
      </c>
      <c r="C23" s="18">
        <f>(10204.0/B23*100)</f>
        <v/>
      </c>
      <c r="D23" s="19" t="n">
        <v>1379</v>
      </c>
      <c r="E23" s="18" t="n">
        <v>25.27273804</v>
      </c>
      <c r="F23" s="20" t="n">
        <v>1.47383779</v>
      </c>
      <c r="G23" s="18" t="n">
        <v>70.56814443</v>
      </c>
      <c r="H23" s="20" t="n">
        <v>1.62917836</v>
      </c>
      <c r="I23" s="18" t="n">
        <v>0</v>
      </c>
      <c r="J23" s="20" t="n">
        <v>0</v>
      </c>
      <c r="K23" s="18" t="n">
        <v>2.38555325</v>
      </c>
      <c r="L23" s="20" t="n">
        <v>0.61953209</v>
      </c>
      <c r="M23" s="18" t="n">
        <v>0</v>
      </c>
      <c r="N23" s="20" t="n">
        <v>0</v>
      </c>
      <c r="O23" s="18" t="n">
        <v>0</v>
      </c>
      <c r="P23" s="20" t="n">
        <v>0</v>
      </c>
      <c r="Q23" s="18" t="n">
        <v>1.77356428</v>
      </c>
      <c r="R23" s="20" t="n">
        <v>0.54060327</v>
      </c>
    </row>
    <row r="24" spans="1:18">
      <c r="A24" s="15" t="s">
        <v>446</v>
      </c>
      <c r="B24" s="17" t="n">
        <v>6647</v>
      </c>
      <c r="C24" s="18">
        <f>(5851.0/B24*100)</f>
        <v/>
      </c>
      <c r="D24" s="19" t="n">
        <v>796</v>
      </c>
      <c r="E24" s="18" t="n">
        <v>41.1681114</v>
      </c>
      <c r="F24" s="20" t="n">
        <v>1.92187906</v>
      </c>
      <c r="G24" s="18" t="n">
        <v>56.73066522</v>
      </c>
      <c r="H24" s="20" t="n">
        <v>2.08322684</v>
      </c>
      <c r="I24" s="18" t="n">
        <v>0</v>
      </c>
      <c r="J24" s="20" t="n">
        <v>0</v>
      </c>
      <c r="K24" s="18" t="n">
        <v>1.47794194</v>
      </c>
      <c r="L24" s="20" t="n">
        <v>0.44988156</v>
      </c>
      <c r="M24" s="18" t="n">
        <v>0</v>
      </c>
      <c r="N24" s="20" t="n">
        <v>0</v>
      </c>
      <c r="O24" s="18" t="n">
        <v>0</v>
      </c>
      <c r="P24" s="20" t="n">
        <v>0</v>
      </c>
      <c r="Q24" s="18" t="n">
        <v>0.62328144</v>
      </c>
      <c r="R24" s="20" t="n">
        <v>0.23764429</v>
      </c>
    </row>
    <row r="25" spans="1:18">
      <c r="A25" s="15" t="s">
        <v>447</v>
      </c>
      <c r="B25" s="17" t="n">
        <v>5581</v>
      </c>
      <c r="C25" s="18">
        <f>(4886.0/B25*100)</f>
        <v/>
      </c>
      <c r="D25" s="19" t="n">
        <v>695</v>
      </c>
      <c r="E25" s="18" t="n">
        <v>34.01635811</v>
      </c>
      <c r="F25" s="20" t="n">
        <v>1.76742975</v>
      </c>
      <c r="G25" s="18" t="n">
        <v>64.55821385</v>
      </c>
      <c r="H25" s="20" t="n">
        <v>1.79654495</v>
      </c>
      <c r="I25" s="18" t="n">
        <v>0</v>
      </c>
      <c r="J25" s="20" t="n">
        <v>0</v>
      </c>
      <c r="K25" s="18" t="n">
        <v>0.56522942</v>
      </c>
      <c r="L25" s="20" t="n">
        <v>0.28354397</v>
      </c>
      <c r="M25" s="18" t="n">
        <v>0</v>
      </c>
      <c r="N25" s="20" t="n">
        <v>0</v>
      </c>
      <c r="O25" s="18" t="n">
        <v>0</v>
      </c>
      <c r="P25" s="20" t="n">
        <v>0</v>
      </c>
      <c r="Q25" s="18" t="n">
        <v>0.86019862</v>
      </c>
      <c r="R25" s="20" t="n">
        <v>0.40525021</v>
      </c>
    </row>
    <row r="26" spans="1:18">
      <c r="A26" s="15" t="s">
        <v>448</v>
      </c>
      <c r="B26" s="17" t="n">
        <v>4869</v>
      </c>
      <c r="C26" s="18">
        <f>(4288.0/B26*100)</f>
        <v/>
      </c>
      <c r="D26" s="19" t="n">
        <v>581</v>
      </c>
      <c r="E26" s="18" t="n">
        <v>31.44074238</v>
      </c>
      <c r="F26" s="20" t="n">
        <v>1.97722477</v>
      </c>
      <c r="G26" s="18" t="n">
        <v>67.44206056</v>
      </c>
      <c r="H26" s="20" t="n">
        <v>1.95443064</v>
      </c>
      <c r="I26" s="18" t="n">
        <v>0</v>
      </c>
      <c r="J26" s="20" t="n">
        <v>0</v>
      </c>
      <c r="K26" s="18" t="n">
        <v>1.11719706</v>
      </c>
      <c r="L26" s="20" t="n">
        <v>0.41864709</v>
      </c>
      <c r="M26" s="18" t="n">
        <v>0</v>
      </c>
      <c r="N26" s="20" t="n">
        <v>0</v>
      </c>
      <c r="O26" s="18" t="n">
        <v>0</v>
      </c>
      <c r="P26" s="20" t="n">
        <v>0</v>
      </c>
      <c r="Q26" s="18" t="n">
        <v>0</v>
      </c>
      <c r="R26" s="20" t="n">
        <v>0</v>
      </c>
    </row>
    <row r="27" spans="1:18">
      <c r="A27" s="15" t="s">
        <v>449</v>
      </c>
      <c r="B27" s="17" t="n">
        <v>5299</v>
      </c>
      <c r="C27" s="18">
        <f>(4677.0/B27*100)</f>
        <v/>
      </c>
      <c r="D27" s="19" t="n">
        <v>622</v>
      </c>
      <c r="E27" s="18" t="n">
        <v>33.66316362</v>
      </c>
      <c r="F27" s="20" t="n">
        <v>1.83853185</v>
      </c>
      <c r="G27" s="18" t="n">
        <v>62.86553609</v>
      </c>
      <c r="H27" s="20" t="n">
        <v>1.83690649</v>
      </c>
      <c r="I27" s="18" t="n">
        <v>0</v>
      </c>
      <c r="J27" s="20" t="n">
        <v>0</v>
      </c>
      <c r="K27" s="18" t="n">
        <v>2.34479457</v>
      </c>
      <c r="L27" s="20" t="n">
        <v>0.6814353399999999</v>
      </c>
      <c r="M27" s="18" t="n">
        <v>0</v>
      </c>
      <c r="N27" s="20" t="n">
        <v>0</v>
      </c>
      <c r="O27" s="18" t="n">
        <v>0</v>
      </c>
      <c r="P27" s="20" t="n">
        <v>0</v>
      </c>
      <c r="Q27" s="18" t="n">
        <v>1.12650571</v>
      </c>
      <c r="R27" s="20" t="n">
        <v>0.42243531</v>
      </c>
    </row>
    <row r="28" spans="1:18">
      <c r="A28" s="15" t="s">
        <v>450</v>
      </c>
      <c r="B28" s="17" t="n">
        <v>7568</v>
      </c>
      <c r="C28" s="18">
        <f>(6768.0/B28*100)</f>
        <v/>
      </c>
      <c r="D28" s="19" t="n">
        <v>800</v>
      </c>
      <c r="E28" s="18" t="n">
        <v>52.08466245</v>
      </c>
      <c r="F28" s="20" t="n">
        <v>1.787956</v>
      </c>
      <c r="G28" s="18" t="n">
        <v>45.72550125</v>
      </c>
      <c r="H28" s="20" t="n">
        <v>1.91096254</v>
      </c>
      <c r="I28" s="18" t="n">
        <v>0</v>
      </c>
      <c r="J28" s="20" t="n">
        <v>0</v>
      </c>
      <c r="K28" s="18" t="n">
        <v>1.45735041</v>
      </c>
      <c r="L28" s="20" t="n">
        <v>0.48068839</v>
      </c>
      <c r="M28" s="18" t="n">
        <v>0</v>
      </c>
      <c r="N28" s="20" t="n">
        <v>0</v>
      </c>
      <c r="O28" s="18" t="n">
        <v>0</v>
      </c>
      <c r="P28" s="20" t="n">
        <v>0</v>
      </c>
      <c r="Q28" s="18" t="n">
        <v>0.73248588</v>
      </c>
      <c r="R28" s="20" t="n">
        <v>0.33474841</v>
      </c>
    </row>
    <row r="29" spans="1:18">
      <c r="A29" s="15" t="s">
        <v>451</v>
      </c>
      <c r="B29" s="17" t="n">
        <v>5385</v>
      </c>
      <c r="C29" s="18">
        <f>(4727.0/B29*100)</f>
        <v/>
      </c>
      <c r="D29" s="19" t="n">
        <v>658</v>
      </c>
      <c r="E29" s="18" t="n">
        <v>28.46948668</v>
      </c>
      <c r="F29" s="20" t="n">
        <v>1.71902873</v>
      </c>
      <c r="G29" s="18" t="n">
        <v>70.81557014000001</v>
      </c>
      <c r="H29" s="20" t="n">
        <v>1.75753358</v>
      </c>
      <c r="I29" s="18" t="n">
        <v>0</v>
      </c>
      <c r="J29" s="20" t="n">
        <v>0</v>
      </c>
      <c r="K29" s="18" t="n">
        <v>0.33226406</v>
      </c>
      <c r="L29" s="20" t="n">
        <v>0.21967226</v>
      </c>
      <c r="M29" s="18" t="n">
        <v>0</v>
      </c>
      <c r="N29" s="20" t="n">
        <v>0</v>
      </c>
      <c r="O29" s="18" t="n">
        <v>0</v>
      </c>
      <c r="P29" s="20" t="n">
        <v>0</v>
      </c>
      <c r="Q29" s="18" t="n">
        <v>0.38267912</v>
      </c>
      <c r="R29" s="20" t="n">
        <v>0.23044228</v>
      </c>
    </row>
    <row r="30" spans="1:18">
      <c r="A30" s="15" t="s">
        <v>452</v>
      </c>
      <c r="B30" s="17" t="n">
        <v>4520</v>
      </c>
      <c r="C30" s="18">
        <f>(3984.0/B30*100)</f>
        <v/>
      </c>
      <c r="D30" s="19" t="n">
        <v>536</v>
      </c>
      <c r="E30" s="18" t="n">
        <v>45.41293541</v>
      </c>
      <c r="F30" s="20" t="n">
        <v>2.29821428</v>
      </c>
      <c r="G30" s="18" t="n">
        <v>50.45689728</v>
      </c>
      <c r="H30" s="20" t="n">
        <v>2.05016625</v>
      </c>
      <c r="I30" s="18" t="n">
        <v>0</v>
      </c>
      <c r="J30" s="20" t="n">
        <v>0</v>
      </c>
      <c r="K30" s="18" t="n">
        <v>3.18029469</v>
      </c>
      <c r="L30" s="20" t="n">
        <v>1.02545937</v>
      </c>
      <c r="M30" s="18" t="n">
        <v>0</v>
      </c>
      <c r="N30" s="20" t="n">
        <v>0</v>
      </c>
      <c r="O30" s="18" t="n">
        <v>0</v>
      </c>
      <c r="P30" s="20" t="n">
        <v>0</v>
      </c>
      <c r="Q30" s="18" t="n">
        <v>0.94987263</v>
      </c>
      <c r="R30" s="20" t="n">
        <v>0.42867921</v>
      </c>
    </row>
    <row r="31" spans="1:18">
      <c r="A31" s="15" t="s">
        <v>453</v>
      </c>
      <c r="B31" s="17" t="n">
        <v>5456</v>
      </c>
      <c r="C31" s="18">
        <f>(4784.0/B31*100)</f>
        <v/>
      </c>
      <c r="D31" s="19" t="n">
        <v>672</v>
      </c>
      <c r="E31" s="18" t="n">
        <v>38.17065279</v>
      </c>
      <c r="F31" s="20" t="n">
        <v>2.00327419</v>
      </c>
      <c r="G31" s="18" t="n">
        <v>59.65777775</v>
      </c>
      <c r="H31" s="20" t="n">
        <v>2.01535064</v>
      </c>
      <c r="I31" s="18" t="n">
        <v>0</v>
      </c>
      <c r="J31" s="20" t="n">
        <v>0</v>
      </c>
      <c r="K31" s="18" t="n">
        <v>2.17156946</v>
      </c>
      <c r="L31" s="20" t="n">
        <v>0.56826436</v>
      </c>
      <c r="M31" s="18" t="n">
        <v>0</v>
      </c>
      <c r="N31" s="20" t="n">
        <v>0</v>
      </c>
      <c r="O31" s="18" t="n">
        <v>0</v>
      </c>
      <c r="P31" s="20" t="n">
        <v>0</v>
      </c>
      <c r="Q31" s="18" t="n">
        <v>0</v>
      </c>
      <c r="R31" s="20" t="n">
        <v>0</v>
      </c>
    </row>
    <row r="32" spans="1:18">
      <c r="A32" s="15" t="s">
        <v>454</v>
      </c>
      <c r="B32" s="17" t="n">
        <v>4478</v>
      </c>
      <c r="C32" s="18">
        <f>(3742.0/B32*100)</f>
        <v/>
      </c>
      <c r="D32" s="19" t="n">
        <v>736</v>
      </c>
      <c r="E32" s="18" t="n">
        <v>40.29614095</v>
      </c>
      <c r="F32" s="20" t="n">
        <v>1.69353148</v>
      </c>
      <c r="G32" s="18" t="n">
        <v>58.80471649</v>
      </c>
      <c r="H32" s="20" t="n">
        <v>1.72952546</v>
      </c>
      <c r="I32" s="18" t="n">
        <v>0</v>
      </c>
      <c r="J32" s="20" t="n">
        <v>0</v>
      </c>
      <c r="K32" s="18" t="n">
        <v>0.7707236</v>
      </c>
      <c r="L32" s="20" t="n">
        <v>0.3139882</v>
      </c>
      <c r="M32" s="18" t="n">
        <v>0</v>
      </c>
      <c r="N32" s="20" t="n">
        <v>0</v>
      </c>
      <c r="O32" s="18" t="n">
        <v>0</v>
      </c>
      <c r="P32" s="20" t="n">
        <v>0</v>
      </c>
      <c r="Q32" s="18" t="n">
        <v>0.12841896</v>
      </c>
      <c r="R32" s="20" t="n">
        <v>0.12852904</v>
      </c>
    </row>
    <row r="33" spans="1:18">
      <c r="A33" s="15" t="s">
        <v>455</v>
      </c>
      <c r="B33" s="17" t="n">
        <v>7325</v>
      </c>
      <c r="C33" s="18">
        <f>(6480.0/B33*100)</f>
        <v/>
      </c>
      <c r="D33" s="19" t="n">
        <v>845</v>
      </c>
      <c r="E33" s="18" t="n">
        <v>38.96618309</v>
      </c>
      <c r="F33" s="20" t="n">
        <v>1.93248796</v>
      </c>
      <c r="G33" s="18" t="n">
        <v>59.14074563</v>
      </c>
      <c r="H33" s="20" t="n">
        <v>1.90738173</v>
      </c>
      <c r="I33" s="18" t="n">
        <v>0</v>
      </c>
      <c r="J33" s="20" t="n">
        <v>0</v>
      </c>
      <c r="K33" s="18" t="n">
        <v>1.4021141</v>
      </c>
      <c r="L33" s="20" t="n">
        <v>0.51894096</v>
      </c>
      <c r="M33" s="18" t="n">
        <v>0</v>
      </c>
      <c r="N33" s="20" t="n">
        <v>0</v>
      </c>
      <c r="O33" s="18" t="n">
        <v>0</v>
      </c>
      <c r="P33" s="20" t="n">
        <v>0</v>
      </c>
      <c r="Q33" s="18" t="n">
        <v>0.49095718</v>
      </c>
      <c r="R33" s="20" t="n">
        <v>0.31367395</v>
      </c>
    </row>
    <row r="34" spans="1:18">
      <c r="A34" s="15" t="s">
        <v>456</v>
      </c>
      <c r="B34" s="17" t="n">
        <v>6350</v>
      </c>
      <c r="C34" s="18">
        <f>(5605.0/B34*100)</f>
        <v/>
      </c>
      <c r="D34" s="19" t="n">
        <v>745</v>
      </c>
      <c r="E34" s="18" t="n">
        <v>41.30207171</v>
      </c>
      <c r="F34" s="20" t="n">
        <v>1.92800439</v>
      </c>
      <c r="G34" s="18" t="n">
        <v>57.11570451</v>
      </c>
      <c r="H34" s="20" t="n">
        <v>1.89494177</v>
      </c>
      <c r="I34" s="18" t="n">
        <v>0</v>
      </c>
      <c r="J34" s="20" t="n">
        <v>0</v>
      </c>
      <c r="K34" s="18" t="n">
        <v>0.87651021</v>
      </c>
      <c r="L34" s="20" t="n">
        <v>0.33405492</v>
      </c>
      <c r="M34" s="18" t="n">
        <v>0</v>
      </c>
      <c r="N34" s="20" t="n">
        <v>0</v>
      </c>
      <c r="O34" s="18" t="n">
        <v>0</v>
      </c>
      <c r="P34" s="20" t="n">
        <v>0</v>
      </c>
      <c r="Q34" s="18" t="n">
        <v>0.70571358</v>
      </c>
      <c r="R34" s="20" t="n">
        <v>0.35836401</v>
      </c>
    </row>
    <row r="35" spans="1:18">
      <c r="A35" s="15" t="s">
        <v>457</v>
      </c>
      <c r="B35" s="17" t="n">
        <v>6406</v>
      </c>
      <c r="C35" s="18">
        <f>(5626.0/B35*100)</f>
        <v/>
      </c>
      <c r="D35" s="19" t="n">
        <v>780</v>
      </c>
      <c r="E35" s="18" t="n">
        <v>33.71983966</v>
      </c>
      <c r="F35" s="20" t="n">
        <v>2.07480605</v>
      </c>
      <c r="G35" s="18" t="n">
        <v>65.43821086</v>
      </c>
      <c r="H35" s="20" t="n">
        <v>2.0438044</v>
      </c>
      <c r="I35" s="18" t="n">
        <v>0</v>
      </c>
      <c r="J35" s="20" t="n">
        <v>0</v>
      </c>
      <c r="K35" s="18" t="n">
        <v>0.4326556</v>
      </c>
      <c r="L35" s="20" t="n">
        <v>0.19940962</v>
      </c>
      <c r="M35" s="18" t="n">
        <v>0</v>
      </c>
      <c r="N35" s="20" t="n">
        <v>0</v>
      </c>
      <c r="O35" s="18" t="n">
        <v>0</v>
      </c>
      <c r="P35" s="20" t="n">
        <v>0</v>
      </c>
      <c r="Q35" s="18" t="n">
        <v>0.40929388</v>
      </c>
      <c r="R35" s="20" t="n">
        <v>0.24801703</v>
      </c>
    </row>
    <row r="36" spans="1:18">
      <c r="A36" s="15" t="s">
        <v>458</v>
      </c>
      <c r="B36" s="17" t="n">
        <v>6736</v>
      </c>
      <c r="C36" s="18">
        <f>(5947.0/B36*100)</f>
        <v/>
      </c>
      <c r="D36" s="19" t="n">
        <v>789</v>
      </c>
      <c r="E36" s="18" t="n">
        <v>40.36016248</v>
      </c>
      <c r="F36" s="20" t="n">
        <v>2.17578478</v>
      </c>
      <c r="G36" s="18" t="n">
        <v>56.32892289</v>
      </c>
      <c r="H36" s="20" t="n">
        <v>2.07986914</v>
      </c>
      <c r="I36" s="18" t="n">
        <v>0</v>
      </c>
      <c r="J36" s="20" t="n">
        <v>0</v>
      </c>
      <c r="K36" s="18" t="n">
        <v>2.24082972</v>
      </c>
      <c r="L36" s="20" t="n">
        <v>0.61735301</v>
      </c>
      <c r="M36" s="18" t="n">
        <v>0</v>
      </c>
      <c r="N36" s="20" t="n">
        <v>0</v>
      </c>
      <c r="O36" s="18" t="n">
        <v>0</v>
      </c>
      <c r="P36" s="20" t="n">
        <v>0</v>
      </c>
      <c r="Q36" s="18" t="n">
        <v>1.0700849</v>
      </c>
      <c r="R36" s="20" t="n">
        <v>0.3225421</v>
      </c>
    </row>
    <row r="37" spans="1:18">
      <c r="A37" s="15" t="s">
        <v>459</v>
      </c>
      <c r="B37" s="17" t="n">
        <v>5458</v>
      </c>
      <c r="C37" s="18">
        <f>(4842.0/B37*100)</f>
        <v/>
      </c>
      <c r="D37" s="19" t="n">
        <v>616</v>
      </c>
      <c r="E37" s="18" t="n">
        <v>34.89665305</v>
      </c>
      <c r="F37" s="20" t="n">
        <v>1.78639231</v>
      </c>
      <c r="G37" s="18" t="n">
        <v>60.19857375</v>
      </c>
      <c r="H37" s="20" t="n">
        <v>1.87453874</v>
      </c>
      <c r="I37" s="18" t="n">
        <v>0</v>
      </c>
      <c r="J37" s="20" t="n">
        <v>0</v>
      </c>
      <c r="K37" s="18" t="n">
        <v>3.94800972</v>
      </c>
      <c r="L37" s="20" t="n">
        <v>0.71770596</v>
      </c>
      <c r="M37" s="18" t="n">
        <v>0</v>
      </c>
      <c r="N37" s="20" t="n">
        <v>0</v>
      </c>
      <c r="O37" s="18" t="n">
        <v>0</v>
      </c>
      <c r="P37" s="20" t="n">
        <v>0</v>
      </c>
      <c r="Q37" s="18" t="n">
        <v>0.95676348</v>
      </c>
      <c r="R37" s="20" t="n">
        <v>0.44109899</v>
      </c>
    </row>
    <row r="38" spans="1:18">
      <c r="A38" s="15" t="s">
        <v>460</v>
      </c>
      <c r="B38" s="17" t="n">
        <v>5860</v>
      </c>
      <c r="C38" s="18">
        <f>(4925.0/B38*100)</f>
        <v/>
      </c>
      <c r="D38" s="19" t="n">
        <v>935</v>
      </c>
      <c r="E38" s="18" t="n">
        <v>30.18849825</v>
      </c>
      <c r="F38" s="20" t="n">
        <v>1.75592866</v>
      </c>
      <c r="G38" s="18" t="n">
        <v>65.86436901</v>
      </c>
      <c r="H38" s="20" t="n">
        <v>1.84537995</v>
      </c>
      <c r="I38" s="18" t="n">
        <v>0</v>
      </c>
      <c r="J38" s="20" t="n">
        <v>0</v>
      </c>
      <c r="K38" s="18" t="n">
        <v>2.51856028</v>
      </c>
      <c r="L38" s="20" t="n">
        <v>0.54547014</v>
      </c>
      <c r="M38" s="18" t="n">
        <v>0</v>
      </c>
      <c r="N38" s="20" t="n">
        <v>0</v>
      </c>
      <c r="O38" s="18" t="n">
        <v>0</v>
      </c>
      <c r="P38" s="20" t="n">
        <v>0</v>
      </c>
      <c r="Q38" s="18" t="n">
        <v>1.42857247</v>
      </c>
      <c r="R38" s="20" t="n">
        <v>0.38295538</v>
      </c>
    </row>
    <row r="39" spans="1:18">
      <c r="A39" s="15" t="s">
        <v>461</v>
      </c>
      <c r="B39" s="17" t="n">
        <v>5895</v>
      </c>
      <c r="C39" s="18">
        <f>(5173.0/B39*100)</f>
        <v/>
      </c>
      <c r="D39" s="19" t="n">
        <v>722</v>
      </c>
      <c r="E39" s="18" t="n">
        <v>34.87999991</v>
      </c>
      <c r="F39" s="20" t="n">
        <v>2.24586603</v>
      </c>
      <c r="G39" s="18" t="n">
        <v>63.36091719</v>
      </c>
      <c r="H39" s="20" t="n">
        <v>2.26124143</v>
      </c>
      <c r="I39" s="18" t="n">
        <v>0</v>
      </c>
      <c r="J39" s="20" t="n">
        <v>0</v>
      </c>
      <c r="K39" s="18" t="n">
        <v>1.02422</v>
      </c>
      <c r="L39" s="20" t="n">
        <v>0.42224138</v>
      </c>
      <c r="M39" s="18" t="n">
        <v>0</v>
      </c>
      <c r="N39" s="20" t="n">
        <v>0</v>
      </c>
      <c r="O39" s="18" t="n">
        <v>0</v>
      </c>
      <c r="P39" s="20" t="n">
        <v>0</v>
      </c>
      <c r="Q39" s="18" t="n">
        <v>0.7348629</v>
      </c>
      <c r="R39" s="20" t="n">
        <v>0.26794244</v>
      </c>
    </row>
    <row r="40" spans="1:18">
      <c r="A40" s="15" t="s">
        <v>462</v>
      </c>
      <c r="B40" s="17" t="n">
        <v>14157</v>
      </c>
      <c r="C40" s="18">
        <f>(12450.0/B40*100)</f>
        <v/>
      </c>
      <c r="D40" s="19" t="n">
        <v>1707</v>
      </c>
      <c r="E40" s="18" t="n">
        <v>48.53249115</v>
      </c>
      <c r="F40" s="20" t="n">
        <v>1.75751675</v>
      </c>
      <c r="G40" s="18" t="n">
        <v>48.99705455</v>
      </c>
      <c r="H40" s="20" t="n">
        <v>1.68670297</v>
      </c>
      <c r="I40" s="18" t="n">
        <v>0</v>
      </c>
      <c r="J40" s="20" t="n">
        <v>0</v>
      </c>
      <c r="K40" s="18" t="n">
        <v>1.14366492</v>
      </c>
      <c r="L40" s="20" t="n">
        <v>0.25372633</v>
      </c>
      <c r="M40" s="18" t="n">
        <v>0</v>
      </c>
      <c r="N40" s="20" t="n">
        <v>0</v>
      </c>
      <c r="O40" s="18" t="n">
        <v>0</v>
      </c>
      <c r="P40" s="20" t="n">
        <v>0</v>
      </c>
      <c r="Q40" s="18" t="n">
        <v>1.32678939</v>
      </c>
      <c r="R40" s="20" t="n">
        <v>0.56939549</v>
      </c>
    </row>
    <row r="41" spans="1:18">
      <c r="A41" s="15" t="s">
        <v>463</v>
      </c>
      <c r="B41" s="17" t="n">
        <v>5712</v>
      </c>
      <c r="C41" s="18">
        <f>(5056.0/B41*100)</f>
        <v/>
      </c>
      <c r="D41" s="19" t="n">
        <v>656</v>
      </c>
      <c r="E41" s="18" t="n">
        <v>46.31302205</v>
      </c>
      <c r="F41" s="20" t="n">
        <v>2.01982756</v>
      </c>
      <c r="G41" s="18" t="n">
        <v>51.75674036</v>
      </c>
      <c r="H41" s="20" t="n">
        <v>2.10974083</v>
      </c>
      <c r="I41" s="18" t="n">
        <v>0</v>
      </c>
      <c r="J41" s="20" t="n">
        <v>0</v>
      </c>
      <c r="K41" s="18" t="n">
        <v>1.02074377</v>
      </c>
      <c r="L41" s="20" t="n">
        <v>0.37460797</v>
      </c>
      <c r="M41" s="18" t="n">
        <v>0</v>
      </c>
      <c r="N41" s="20" t="n">
        <v>0</v>
      </c>
      <c r="O41" s="18" t="n">
        <v>0</v>
      </c>
      <c r="P41" s="20" t="n">
        <v>0</v>
      </c>
      <c r="Q41" s="18" t="n">
        <v>0.90949382</v>
      </c>
      <c r="R41" s="20" t="n">
        <v>0.33472927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(20976.0/B46*100)</f>
        <v/>
      </c>
      <c r="D46" s="19" t="n">
        <v>2165</v>
      </c>
      <c r="E46" s="18" t="n">
        <v>51.38627298</v>
      </c>
      <c r="F46" s="20" t="n">
        <v>1.39669522</v>
      </c>
      <c r="G46" s="18" t="n">
        <v>44.60104796</v>
      </c>
      <c r="H46" s="20" t="n">
        <v>1.36667744</v>
      </c>
      <c r="I46" s="18" t="n">
        <v>0</v>
      </c>
      <c r="J46" s="20" t="n">
        <v>0</v>
      </c>
      <c r="K46" s="18" t="n">
        <v>2.76030564</v>
      </c>
      <c r="L46" s="20" t="n">
        <v>0.46850022</v>
      </c>
      <c r="M46" s="18" t="n">
        <v>0</v>
      </c>
      <c r="N46" s="20" t="n">
        <v>0</v>
      </c>
      <c r="O46" s="18" t="n">
        <v>0</v>
      </c>
      <c r="P46" s="20" t="n">
        <v>0</v>
      </c>
      <c r="Q46" s="18" t="n">
        <v>1.25237342</v>
      </c>
      <c r="R46" s="20" t="n">
        <v>0.26173792</v>
      </c>
    </row>
    <row r="47" spans="1:18">
      <c r="A47" s="15" t="s">
        <v>470</v>
      </c>
      <c r="B47" s="17" t="n">
        <v>5928</v>
      </c>
      <c r="C47" s="18">
        <f>(5246.0/B47*100)</f>
        <v/>
      </c>
      <c r="D47" s="19" t="n">
        <v>682</v>
      </c>
      <c r="E47" s="18" t="n">
        <v>54.08818225</v>
      </c>
      <c r="F47" s="20" t="n">
        <v>2.19301469</v>
      </c>
      <c r="G47" s="18" t="n">
        <v>43.56648974</v>
      </c>
      <c r="H47" s="20" t="n">
        <v>2.24549436</v>
      </c>
      <c r="I47" s="18" t="n">
        <v>0</v>
      </c>
      <c r="J47" s="20" t="n">
        <v>0</v>
      </c>
      <c r="K47" s="18" t="n">
        <v>1.63746686</v>
      </c>
      <c r="L47" s="20" t="n">
        <v>0.56541944</v>
      </c>
      <c r="M47" s="18" t="n">
        <v>0</v>
      </c>
      <c r="N47" s="20" t="n">
        <v>0</v>
      </c>
      <c r="O47" s="18" t="n">
        <v>0</v>
      </c>
      <c r="P47" s="20" t="n">
        <v>0</v>
      </c>
      <c r="Q47" s="18" t="n">
        <v>0.70786114</v>
      </c>
      <c r="R47" s="20" t="n">
        <v>0.31671032</v>
      </c>
    </row>
    <row r="48" spans="1:18">
      <c r="A48" s="15" t="s">
        <v>471</v>
      </c>
      <c r="B48" s="17" t="n">
        <v>9841</v>
      </c>
      <c r="C48" s="18">
        <f>(8607.0/B48*100)</f>
        <v/>
      </c>
      <c r="D48" s="19" t="n">
        <v>1234</v>
      </c>
      <c r="E48" s="18" t="n">
        <v>28.82841563</v>
      </c>
      <c r="F48" s="20" t="n">
        <v>2.01826003</v>
      </c>
      <c r="G48" s="18" t="n">
        <v>69.53125853</v>
      </c>
      <c r="H48" s="20" t="n">
        <v>2.13043803</v>
      </c>
      <c r="I48" s="18" t="n">
        <v>0</v>
      </c>
      <c r="J48" s="20" t="n">
        <v>0</v>
      </c>
      <c r="K48" s="18" t="n">
        <v>0.94832951</v>
      </c>
      <c r="L48" s="20" t="n">
        <v>0.41610649</v>
      </c>
      <c r="M48" s="18" t="n">
        <v>0</v>
      </c>
      <c r="N48" s="20" t="n">
        <v>0</v>
      </c>
      <c r="O48" s="18" t="n">
        <v>0</v>
      </c>
      <c r="P48" s="20" t="n">
        <v>0</v>
      </c>
      <c r="Q48" s="18" t="n">
        <v>0.69199633</v>
      </c>
      <c r="R48" s="20" t="n">
        <v>0.28361476</v>
      </c>
    </row>
    <row r="49" spans="1:18">
      <c r="A49" s="15" t="s">
        <v>472</v>
      </c>
      <c r="B49" s="17" t="n">
        <v>11795</v>
      </c>
      <c r="C49" s="18">
        <f>(10436.0/B49*100)</f>
        <v/>
      </c>
      <c r="D49" s="19" t="n">
        <v>1359</v>
      </c>
      <c r="E49" s="18" t="n">
        <v>41.27806325</v>
      </c>
      <c r="F49" s="20" t="n">
        <v>2.05162671</v>
      </c>
      <c r="G49" s="18" t="n">
        <v>53.35227145</v>
      </c>
      <c r="H49" s="20" t="n">
        <v>2.15154927</v>
      </c>
      <c r="I49" s="18" t="n">
        <v>0</v>
      </c>
      <c r="J49" s="20" t="n">
        <v>0</v>
      </c>
      <c r="K49" s="18" t="n">
        <v>3.73842072</v>
      </c>
      <c r="L49" s="20" t="n">
        <v>0.58394976</v>
      </c>
      <c r="M49" s="18" t="n">
        <v>0</v>
      </c>
      <c r="N49" s="20" t="n">
        <v>0</v>
      </c>
      <c r="O49" s="18" t="n">
        <v>0</v>
      </c>
      <c r="P49" s="20" t="n">
        <v>0</v>
      </c>
      <c r="Q49" s="18" t="n">
        <v>1.63124458</v>
      </c>
      <c r="R49" s="20" t="n">
        <v>0.41843667</v>
      </c>
    </row>
    <row r="50" spans="1:18">
      <c r="A50" s="15" t="s">
        <v>473</v>
      </c>
      <c r="B50" s="17" t="n">
        <v>6866</v>
      </c>
      <c r="C50" s="18">
        <f>(6191.0/B50*100)</f>
        <v/>
      </c>
      <c r="D50" s="19" t="n">
        <v>675</v>
      </c>
      <c r="E50" s="18" t="n">
        <v>37.38281295</v>
      </c>
      <c r="F50" s="20" t="n">
        <v>2.03780956</v>
      </c>
      <c r="G50" s="18" t="n">
        <v>59.22844113</v>
      </c>
      <c r="H50" s="20" t="n">
        <v>2.11431469</v>
      </c>
      <c r="I50" s="18" t="n">
        <v>0</v>
      </c>
      <c r="J50" s="20" t="n">
        <v>0</v>
      </c>
      <c r="K50" s="18" t="n">
        <v>1.15282923</v>
      </c>
      <c r="L50" s="20" t="n">
        <v>0.44100919</v>
      </c>
      <c r="M50" s="18" t="n">
        <v>0</v>
      </c>
      <c r="N50" s="20" t="n">
        <v>0</v>
      </c>
      <c r="O50" s="18" t="n">
        <v>0</v>
      </c>
      <c r="P50" s="20" t="n">
        <v>0</v>
      </c>
      <c r="Q50" s="18" t="n">
        <v>2.23591669</v>
      </c>
      <c r="R50" s="20" t="n">
        <v>0.69762717</v>
      </c>
    </row>
    <row r="51" spans="1:18">
      <c r="A51" s="15" t="s">
        <v>474</v>
      </c>
      <c r="B51" s="17" t="n">
        <v>5809</v>
      </c>
      <c r="C51" s="18">
        <f>(5105.0/B51*100)</f>
        <v/>
      </c>
      <c r="D51" s="19" t="n">
        <v>704</v>
      </c>
      <c r="E51" s="18" t="n">
        <v>54.4013549</v>
      </c>
      <c r="F51" s="20" t="n">
        <v>2.04065502</v>
      </c>
      <c r="G51" s="18" t="n">
        <v>42.67589964</v>
      </c>
      <c r="H51" s="20" t="n">
        <v>2.05720643</v>
      </c>
      <c r="I51" s="18" t="n">
        <v>0</v>
      </c>
      <c r="J51" s="20" t="n">
        <v>0</v>
      </c>
      <c r="K51" s="18" t="n">
        <v>1.25956843</v>
      </c>
      <c r="L51" s="20" t="n">
        <v>0.42278914</v>
      </c>
      <c r="M51" s="18" t="n">
        <v>0</v>
      </c>
      <c r="N51" s="20" t="n">
        <v>0</v>
      </c>
      <c r="O51" s="18" t="n">
        <v>0</v>
      </c>
      <c r="P51" s="20" t="n">
        <v>0</v>
      </c>
      <c r="Q51" s="18" t="n">
        <v>1.66317702</v>
      </c>
      <c r="R51" s="20" t="n">
        <v>0.51780947</v>
      </c>
    </row>
    <row r="52" spans="1:18">
      <c r="A52" s="15" t="s">
        <v>475</v>
      </c>
      <c r="B52" s="17" t="n">
        <v>5571</v>
      </c>
      <c r="C52" s="18">
        <f>(4914.0/B52*100)</f>
        <v/>
      </c>
      <c r="D52" s="19" t="n">
        <v>657</v>
      </c>
      <c r="E52" s="18" t="n">
        <v>47.81646057</v>
      </c>
      <c r="F52" s="20" t="n">
        <v>1.95195632</v>
      </c>
      <c r="G52" s="18" t="n">
        <v>48.49118504</v>
      </c>
      <c r="H52" s="20" t="n">
        <v>1.94935088</v>
      </c>
      <c r="I52" s="18" t="n">
        <v>0</v>
      </c>
      <c r="J52" s="20" t="n">
        <v>0</v>
      </c>
      <c r="K52" s="18" t="n">
        <v>2.29633253</v>
      </c>
      <c r="L52" s="20" t="n">
        <v>0.59025205</v>
      </c>
      <c r="M52" s="18" t="n">
        <v>0</v>
      </c>
      <c r="N52" s="20" t="n">
        <v>0</v>
      </c>
      <c r="O52" s="18" t="n">
        <v>0</v>
      </c>
      <c r="P52" s="20" t="n">
        <v>0</v>
      </c>
      <c r="Q52" s="18" t="n">
        <v>1.39602185</v>
      </c>
      <c r="R52" s="20" t="n">
        <v>0.48478485</v>
      </c>
    </row>
    <row r="53" spans="1:18">
      <c r="A53" s="15" t="s">
        <v>476</v>
      </c>
      <c r="B53" s="17" t="n">
        <v>4740</v>
      </c>
      <c r="C53" s="18">
        <f>(3949.0/B53*100)</f>
        <v/>
      </c>
      <c r="D53" s="19" t="n">
        <v>791</v>
      </c>
      <c r="E53" s="18" t="n">
        <v>51.05007749</v>
      </c>
      <c r="F53" s="20" t="n">
        <v>1.92830984</v>
      </c>
      <c r="G53" s="18" t="n">
        <v>24.20999176</v>
      </c>
      <c r="H53" s="20" t="n">
        <v>1.7873019</v>
      </c>
      <c r="I53" s="18" t="n">
        <v>0</v>
      </c>
      <c r="J53" s="20" t="n">
        <v>0</v>
      </c>
      <c r="K53" s="18" t="n">
        <v>23.18186949</v>
      </c>
      <c r="L53" s="20" t="n">
        <v>1.57835608</v>
      </c>
      <c r="M53" s="18" t="n">
        <v>0</v>
      </c>
      <c r="N53" s="20" t="n">
        <v>0</v>
      </c>
      <c r="O53" s="18" t="n">
        <v>0</v>
      </c>
      <c r="P53" s="20" t="n">
        <v>0</v>
      </c>
      <c r="Q53" s="18" t="n">
        <v>1.55806127</v>
      </c>
      <c r="R53" s="20" t="n">
        <v>0.4689932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25.8423504</v>
      </c>
      <c r="F55" s="20" t="n">
        <v>2.06715059</v>
      </c>
      <c r="G55" s="18" t="n">
        <v>73.65659126</v>
      </c>
      <c r="H55" s="20" t="n">
        <v>1.99219871</v>
      </c>
      <c r="I55" s="18" t="n">
        <v>0</v>
      </c>
      <c r="J55" s="20" t="n">
        <v>0</v>
      </c>
      <c r="K55" s="18" t="n">
        <v>0.50105834</v>
      </c>
      <c r="L55" s="20" t="n">
        <v>0.29205083</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(5751.0/B61*100)</f>
        <v/>
      </c>
      <c r="D61" s="19" t="n">
        <v>774</v>
      </c>
      <c r="E61" s="18" t="n">
        <v>41.79534577</v>
      </c>
      <c r="F61" s="20" t="n">
        <v>1.83663321</v>
      </c>
      <c r="G61" s="18" t="n">
        <v>56.91856488</v>
      </c>
      <c r="H61" s="20" t="n">
        <v>1.88334743</v>
      </c>
      <c r="I61" s="18" t="n">
        <v>0</v>
      </c>
      <c r="J61" s="20" t="n">
        <v>0</v>
      </c>
      <c r="K61" s="18" t="n">
        <v>0.9046143</v>
      </c>
      <c r="L61" s="20" t="n">
        <v>0.34439452</v>
      </c>
      <c r="M61" s="18" t="n">
        <v>0</v>
      </c>
      <c r="N61" s="20" t="n">
        <v>0</v>
      </c>
      <c r="O61" s="18" t="n">
        <v>0</v>
      </c>
      <c r="P61" s="20" t="n">
        <v>0</v>
      </c>
      <c r="Q61" s="18" t="n">
        <v>0.38147506</v>
      </c>
      <c r="R61" s="20" t="n">
        <v>0.21025606</v>
      </c>
    </row>
    <row r="62" spans="1:18">
      <c r="A62" s="15" t="s">
        <v>486</v>
      </c>
      <c r="B62" s="17" t="n">
        <v>4476</v>
      </c>
      <c r="C62" s="18">
        <f>(3950.0/B62*100)</f>
        <v/>
      </c>
      <c r="D62" s="19" t="n">
        <v>526</v>
      </c>
      <c r="E62" s="18" t="n">
        <v>28.92043318</v>
      </c>
      <c r="F62" s="20" t="n">
        <v>1.94371188</v>
      </c>
      <c r="G62" s="18" t="n">
        <v>70.89072612</v>
      </c>
      <c r="H62" s="20" t="n">
        <v>1.95653318</v>
      </c>
      <c r="I62" s="18" t="n">
        <v>0</v>
      </c>
      <c r="J62" s="20" t="n">
        <v>0</v>
      </c>
      <c r="K62" s="18" t="n">
        <v>0</v>
      </c>
      <c r="L62" s="20" t="n">
        <v>0</v>
      </c>
      <c r="M62" s="18" t="n">
        <v>0</v>
      </c>
      <c r="N62" s="20" t="n">
        <v>0</v>
      </c>
      <c r="O62" s="18" t="n">
        <v>0</v>
      </c>
      <c r="P62" s="20" t="n">
        <v>0</v>
      </c>
      <c r="Q62" s="18" t="n">
        <v>0.18884071</v>
      </c>
      <c r="R62" s="20" t="n">
        <v>0.18925244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(5000.0/B67*100)</f>
        <v/>
      </c>
      <c r="D67" s="19" t="n">
        <v>665</v>
      </c>
      <c r="E67" s="18" t="n">
        <v>58.6217223</v>
      </c>
      <c r="F67" s="20" t="n">
        <v>1.93628345</v>
      </c>
      <c r="G67" s="18" t="n">
        <v>33.7191883</v>
      </c>
      <c r="H67" s="20" t="n">
        <v>1.86916218</v>
      </c>
      <c r="I67" s="18" t="n">
        <v>0</v>
      </c>
      <c r="J67" s="20" t="n">
        <v>0</v>
      </c>
      <c r="K67" s="18" t="n">
        <v>4.12566991</v>
      </c>
      <c r="L67" s="20" t="n">
        <v>0.77091708</v>
      </c>
      <c r="M67" s="18" t="n">
        <v>0</v>
      </c>
      <c r="N67" s="20" t="n">
        <v>0</v>
      </c>
      <c r="O67" s="18" t="n">
        <v>0</v>
      </c>
      <c r="P67" s="20" t="n">
        <v>0</v>
      </c>
      <c r="Q67" s="18" t="n">
        <v>3.53341949</v>
      </c>
      <c r="R67" s="20" t="n">
        <v>0.7450511399999999</v>
      </c>
    </row>
    <row r="68" spans="1:18">
      <c r="A68" s="15" t="s">
        <v>492</v>
      </c>
      <c r="B68" s="17" t="n">
        <v>6971</v>
      </c>
      <c r="C68" s="18">
        <f>(6293.0/B68*100)</f>
        <v/>
      </c>
      <c r="D68" s="19" t="n">
        <v>678</v>
      </c>
      <c r="E68" s="18" t="n">
        <v>40.57619156</v>
      </c>
      <c r="F68" s="20" t="n">
        <v>1.9246923</v>
      </c>
      <c r="G68" s="18" t="n">
        <v>57.23276287</v>
      </c>
      <c r="H68" s="20" t="n">
        <v>1.94362606</v>
      </c>
      <c r="I68" s="18" t="n">
        <v>0</v>
      </c>
      <c r="J68" s="20" t="n">
        <v>0</v>
      </c>
      <c r="K68" s="18" t="n">
        <v>1.18977897</v>
      </c>
      <c r="L68" s="20" t="n">
        <v>0.38502263</v>
      </c>
      <c r="M68" s="18" t="n">
        <v>0</v>
      </c>
      <c r="N68" s="20" t="n">
        <v>0</v>
      </c>
      <c r="O68" s="18" t="n">
        <v>0</v>
      </c>
      <c r="P68" s="20" t="n">
        <v>0</v>
      </c>
      <c r="Q68" s="18" t="n">
        <v>1.0012666</v>
      </c>
      <c r="R68" s="20" t="n">
        <v>0.47252757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(10073.0/B70*100)</f>
        <v/>
      </c>
      <c r="D70" s="19" t="n">
        <v>2010</v>
      </c>
      <c r="E70" s="18" t="n">
        <v>55.59905523</v>
      </c>
      <c r="F70" s="20" t="n">
        <v>1.1133283</v>
      </c>
      <c r="G70" s="18" t="n">
        <v>36.53813203</v>
      </c>
      <c r="H70" s="20" t="n">
        <v>1.00518401</v>
      </c>
      <c r="I70" s="18" t="n">
        <v>0</v>
      </c>
      <c r="J70" s="20" t="n">
        <v>0</v>
      </c>
      <c r="K70" s="18" t="n">
        <v>5.89028853</v>
      </c>
      <c r="L70" s="20" t="n">
        <v>0.55947579</v>
      </c>
      <c r="M70" s="18" t="n">
        <v>0</v>
      </c>
      <c r="N70" s="20" t="n">
        <v>0</v>
      </c>
      <c r="O70" s="18" t="n">
        <v>0</v>
      </c>
      <c r="P70" s="20" t="n">
        <v>0</v>
      </c>
      <c r="Q70" s="18" t="n">
        <v>1.9725242</v>
      </c>
      <c r="R70" s="20" t="n">
        <v>0.29362104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(5350.0/B72*100)</f>
        <v/>
      </c>
      <c r="D72" s="19" t="n">
        <v>686</v>
      </c>
      <c r="E72" s="18" t="n">
        <v>36.15252658</v>
      </c>
      <c r="F72" s="20" t="n">
        <v>2.31212501</v>
      </c>
      <c r="G72" s="18" t="n">
        <v>61.80354701</v>
      </c>
      <c r="H72" s="20" t="n">
        <v>2.46948007</v>
      </c>
      <c r="I72" s="18" t="n">
        <v>0</v>
      </c>
      <c r="J72" s="20" t="n">
        <v>0</v>
      </c>
      <c r="K72" s="18" t="n">
        <v>1.63724121</v>
      </c>
      <c r="L72" s="20" t="n">
        <v>0.57902513</v>
      </c>
      <c r="M72" s="18" t="n">
        <v>0</v>
      </c>
      <c r="N72" s="20" t="n">
        <v>0</v>
      </c>
      <c r="O72" s="18" t="n">
        <v>0</v>
      </c>
      <c r="P72" s="20" t="n">
        <v>0</v>
      </c>
      <c r="Q72" s="18" t="n">
        <v>0.4066852</v>
      </c>
      <c r="R72" s="20" t="n">
        <v>0.18593487</v>
      </c>
    </row>
    <row r="73" spans="1:18">
      <c r="A73" s="15" t="s">
        <v>497</v>
      </c>
      <c r="B73" s="17" t="n">
        <v>6115</v>
      </c>
      <c r="C73" s="18">
        <f>(5362.0/B73*100)</f>
        <v/>
      </c>
      <c r="D73" s="19" t="n">
        <v>753</v>
      </c>
      <c r="E73" s="18" t="n">
        <v>39.39043431</v>
      </c>
      <c r="F73" s="20" t="n">
        <v>2.11581878</v>
      </c>
      <c r="G73" s="18" t="n">
        <v>60.13845603</v>
      </c>
      <c r="H73" s="20" t="n">
        <v>2.1528866</v>
      </c>
      <c r="I73" s="18" t="n">
        <v>0</v>
      </c>
      <c r="J73" s="20" t="n">
        <v>0</v>
      </c>
      <c r="K73" s="18" t="n">
        <v>0.29386489</v>
      </c>
      <c r="L73" s="20" t="n">
        <v>0.18062203</v>
      </c>
      <c r="M73" s="18" t="n">
        <v>0</v>
      </c>
      <c r="N73" s="20" t="n">
        <v>0</v>
      </c>
      <c r="O73" s="18" t="n">
        <v>0</v>
      </c>
      <c r="P73" s="20" t="n">
        <v>0</v>
      </c>
      <c r="Q73" s="18" t="n">
        <v>0.17724478</v>
      </c>
      <c r="R73" s="20" t="n">
        <v>0.12542153</v>
      </c>
    </row>
    <row r="74" spans="1:18">
      <c r="A74" s="15" t="s">
        <v>498</v>
      </c>
      <c r="B74" s="17" t="n">
        <v>7708</v>
      </c>
      <c r="C74" s="18">
        <f>(6768.0/B74*100)</f>
        <v/>
      </c>
      <c r="D74" s="19" t="n">
        <v>940</v>
      </c>
      <c r="E74" s="18" t="n">
        <v>30.49603816</v>
      </c>
      <c r="F74" s="20" t="n">
        <v>1.5303666</v>
      </c>
      <c r="G74" s="18" t="n">
        <v>68.78360388</v>
      </c>
      <c r="H74" s="20" t="n">
        <v>1.51371131</v>
      </c>
      <c r="I74" s="18" t="n">
        <v>0</v>
      </c>
      <c r="J74" s="20" t="n">
        <v>0</v>
      </c>
      <c r="K74" s="18" t="n">
        <v>0.43826156</v>
      </c>
      <c r="L74" s="20" t="n">
        <v>0.22545026</v>
      </c>
      <c r="M74" s="18" t="n">
        <v>0</v>
      </c>
      <c r="N74" s="20" t="n">
        <v>0</v>
      </c>
      <c r="O74" s="18" t="n">
        <v>0</v>
      </c>
      <c r="P74" s="20" t="n">
        <v>0</v>
      </c>
      <c r="Q74" s="18" t="n">
        <v>0.2820964</v>
      </c>
      <c r="R74" s="20" t="n">
        <v>0.20077909</v>
      </c>
    </row>
    <row r="75" spans="1:18">
      <c r="A75" s="15" t="s">
        <v>499</v>
      </c>
      <c r="B75" s="17" t="n">
        <v>8249</v>
      </c>
      <c r="C75" s="18">
        <f>(7320.0/B75*100)</f>
        <v/>
      </c>
      <c r="D75" s="19" t="n">
        <v>929</v>
      </c>
      <c r="E75" s="18" t="n">
        <v>58.05637144</v>
      </c>
      <c r="F75" s="20" t="n">
        <v>1.92269469</v>
      </c>
      <c r="G75" s="18" t="n">
        <v>41.77477553</v>
      </c>
      <c r="H75" s="20" t="n">
        <v>1.89229856</v>
      </c>
      <c r="I75" s="18" t="n">
        <v>0</v>
      </c>
      <c r="J75" s="20" t="n">
        <v>0</v>
      </c>
      <c r="K75" s="18" t="n">
        <v>0.01098643</v>
      </c>
      <c r="L75" s="20" t="n">
        <v>0.007966900000000001</v>
      </c>
      <c r="M75" s="18" t="n">
        <v>0</v>
      </c>
      <c r="N75" s="20" t="n">
        <v>0</v>
      </c>
      <c r="O75" s="18" t="n">
        <v>0</v>
      </c>
      <c r="P75" s="20" t="n">
        <v>0</v>
      </c>
      <c r="Q75" s="18" t="n">
        <v>0.1578666</v>
      </c>
      <c r="R75" s="20" t="n">
        <v>0.148282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(4808.0/B77*100)</f>
        <v/>
      </c>
      <c r="D77" s="19" t="n">
        <v>567</v>
      </c>
      <c r="E77" s="18" t="n">
        <v>39.95829251</v>
      </c>
      <c r="F77" s="20" t="n">
        <v>1.93593478</v>
      </c>
      <c r="G77" s="18" t="n">
        <v>51.65817794</v>
      </c>
      <c r="H77" s="20" t="n">
        <v>2.14518891</v>
      </c>
      <c r="I77" s="18" t="n">
        <v>0</v>
      </c>
      <c r="J77" s="20" t="n">
        <v>0</v>
      </c>
      <c r="K77" s="18" t="n">
        <v>6.73187886</v>
      </c>
      <c r="L77" s="20" t="n">
        <v>1.17987553</v>
      </c>
      <c r="M77" s="18" t="n">
        <v>0</v>
      </c>
      <c r="N77" s="20" t="n">
        <v>0</v>
      </c>
      <c r="O77" s="18" t="n">
        <v>0</v>
      </c>
      <c r="P77" s="20" t="n">
        <v>0</v>
      </c>
      <c r="Q77" s="18" t="n">
        <v>1.65165069</v>
      </c>
      <c r="R77" s="20" t="n">
        <v>0.60456414</v>
      </c>
    </row>
    <row r="78" spans="1:18">
      <c r="A78" s="15" t="s">
        <v>502</v>
      </c>
      <c r="B78" s="17" t="n">
        <v>14167</v>
      </c>
      <c r="C78" s="18">
        <f>(12455.0/B78*100)</f>
        <v/>
      </c>
      <c r="D78" s="19" t="n">
        <v>1712</v>
      </c>
      <c r="E78" s="18" t="n">
        <v>53.97131856</v>
      </c>
      <c r="F78" s="20" t="n">
        <v>1.36671867</v>
      </c>
      <c r="G78" s="18" t="n">
        <v>42.96542861</v>
      </c>
      <c r="H78" s="20" t="n">
        <v>1.34787126</v>
      </c>
      <c r="I78" s="18" t="n">
        <v>0</v>
      </c>
      <c r="J78" s="20" t="n">
        <v>0</v>
      </c>
      <c r="K78" s="18" t="n">
        <v>2.11873956</v>
      </c>
      <c r="L78" s="20" t="n">
        <v>0.37355558</v>
      </c>
      <c r="M78" s="18" t="n">
        <v>0</v>
      </c>
      <c r="N78" s="20" t="n">
        <v>0</v>
      </c>
      <c r="O78" s="18" t="n">
        <v>0</v>
      </c>
      <c r="P78" s="20" t="n">
        <v>0</v>
      </c>
      <c r="Q78" s="18" t="n">
        <v>0.94451327</v>
      </c>
      <c r="R78" s="20" t="n">
        <v>0.18692039</v>
      </c>
    </row>
    <row r="79" spans="1:18">
      <c r="A79" s="15" t="s">
        <v>503</v>
      </c>
      <c r="B79" s="17" t="n">
        <v>6062</v>
      </c>
      <c r="C79" s="18">
        <f>(5410.0/B79*100)</f>
        <v/>
      </c>
      <c r="D79" s="19" t="n">
        <v>652</v>
      </c>
      <c r="E79" s="18" t="n">
        <v>37.89885566</v>
      </c>
      <c r="F79" s="20" t="n">
        <v>1.92492566</v>
      </c>
      <c r="G79" s="18" t="n">
        <v>51.8371796</v>
      </c>
      <c r="H79" s="20" t="n">
        <v>2.08590641</v>
      </c>
      <c r="I79" s="18" t="n">
        <v>0</v>
      </c>
      <c r="J79" s="20" t="n">
        <v>0</v>
      </c>
      <c r="K79" s="18" t="n">
        <v>6.76179367</v>
      </c>
      <c r="L79" s="20" t="n">
        <v>1.06641721</v>
      </c>
      <c r="M79" s="18" t="n">
        <v>0</v>
      </c>
      <c r="N79" s="20" t="n">
        <v>0</v>
      </c>
      <c r="O79" s="18" t="n">
        <v>0</v>
      </c>
      <c r="P79" s="20" t="n">
        <v>0</v>
      </c>
      <c r="Q79" s="18" t="n">
        <v>3.50217108</v>
      </c>
      <c r="R79" s="20" t="n">
        <v>0.60458629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(28541.0/B82*100)</f>
        <v/>
      </c>
      <c r="D82" s="19" t="n">
        <v>3789</v>
      </c>
      <c r="E82" s="18" t="n">
        <v>40.66526055</v>
      </c>
      <c r="F82" s="20" t="n">
        <v>1.17720401</v>
      </c>
      <c r="G82" s="18" t="n">
        <v>56.34437836</v>
      </c>
      <c r="H82" s="20" t="n">
        <v>1.23102891</v>
      </c>
      <c r="I82" s="18" t="n">
        <v>0</v>
      </c>
      <c r="J82" s="20" t="n">
        <v>0</v>
      </c>
      <c r="K82" s="18" t="n">
        <v>1.79093718</v>
      </c>
      <c r="L82" s="20" t="n">
        <v>0.26713768</v>
      </c>
      <c r="M82" s="18" t="n">
        <v>0</v>
      </c>
      <c r="N82" s="20" t="n">
        <v>0</v>
      </c>
      <c r="O82" s="18" t="n">
        <v>0</v>
      </c>
      <c r="P82" s="20" t="n">
        <v>0</v>
      </c>
      <c r="Q82" s="18" t="n">
        <v>1.1994239</v>
      </c>
      <c r="R82" s="20" t="n">
        <v>0.27573525</v>
      </c>
    </row>
    <row r="83" spans="1:18">
      <c r="A83" s="15" t="s">
        <v>507</v>
      </c>
      <c r="B83" s="17" t="n">
        <v>1652</v>
      </c>
      <c r="C83" s="18">
        <f>(1464.0/B83*100)</f>
        <v/>
      </c>
      <c r="D83" s="19" t="n">
        <v>188</v>
      </c>
      <c r="E83" s="18" t="n">
        <v>43.04027847</v>
      </c>
      <c r="F83" s="20" t="n">
        <v>4.27864572</v>
      </c>
      <c r="G83" s="18" t="n">
        <v>56.38427913</v>
      </c>
      <c r="H83" s="20" t="n">
        <v>4.18697452</v>
      </c>
      <c r="I83" s="18" t="n">
        <v>0</v>
      </c>
      <c r="J83" s="20" t="n">
        <v>0</v>
      </c>
      <c r="K83" s="18" t="n">
        <v>0.5754424</v>
      </c>
      <c r="L83" s="20" t="n">
        <v>0.61295659</v>
      </c>
      <c r="M83" s="18" t="n">
        <v>0</v>
      </c>
      <c r="N83" s="20" t="n">
        <v>0</v>
      </c>
      <c r="O83" s="18" t="n">
        <v>0</v>
      </c>
      <c r="P83" s="20" t="n">
        <v>0</v>
      </c>
      <c r="Q83" s="18" t="n">
        <v>0</v>
      </c>
      <c r="R83" s="20" t="n">
        <v>0</v>
      </c>
    </row>
    <row r="84" spans="1:18">
      <c r="A84" s="23" t="s">
        <v>508</v>
      </c>
      <c r="B84" s="24" t="n">
        <v>1887</v>
      </c>
      <c r="C84" s="25">
        <f>(1659.0/B84*100)</f>
        <v/>
      </c>
      <c r="D84" s="19" t="n">
        <v>228</v>
      </c>
      <c r="E84" s="18" t="n">
        <v>42.45994901</v>
      </c>
      <c r="F84" s="20" t="n">
        <v>3.35000227</v>
      </c>
      <c r="G84" s="18" t="n">
        <v>56.5052315</v>
      </c>
      <c r="H84" s="20" t="n">
        <v>3.3360824</v>
      </c>
      <c r="I84" s="18" t="n">
        <v>0</v>
      </c>
      <c r="J84" s="20" t="n">
        <v>0</v>
      </c>
      <c r="K84" s="18" t="n">
        <v>1.03481949</v>
      </c>
      <c r="L84" s="20" t="n">
        <v>0.71452459</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(12770.0/B7*100)</f>
        <v/>
      </c>
      <c r="D7" s="19" t="n">
        <v>1760</v>
      </c>
      <c r="E7" s="18" t="n">
        <v>17.97059625</v>
      </c>
      <c r="F7" s="20" t="n">
        <v>0.9735764099999999</v>
      </c>
      <c r="G7" s="18" t="n">
        <v>80.49464072000001</v>
      </c>
      <c r="H7" s="20" t="n">
        <v>0.95435172</v>
      </c>
      <c r="I7" s="18" t="n">
        <v>0</v>
      </c>
      <c r="J7" s="20" t="n">
        <v>0</v>
      </c>
      <c r="K7" s="18" t="n">
        <v>1.04335292</v>
      </c>
      <c r="L7" s="20" t="n">
        <v>0.22509327</v>
      </c>
      <c r="M7" s="18" t="n">
        <v>0</v>
      </c>
      <c r="N7" s="20" t="n">
        <v>0</v>
      </c>
      <c r="O7" s="18" t="n">
        <v>0</v>
      </c>
      <c r="P7" s="20" t="n">
        <v>0</v>
      </c>
      <c r="Q7" s="18" t="n">
        <v>0.49141011</v>
      </c>
      <c r="R7" s="20" t="n">
        <v>0.18560824</v>
      </c>
    </row>
    <row r="8" spans="1:18">
      <c r="A8" s="15" t="s">
        <v>430</v>
      </c>
      <c r="B8" s="17" t="n">
        <v>7007</v>
      </c>
      <c r="C8" s="18">
        <f>(6179.0/B8*100)</f>
        <v/>
      </c>
      <c r="D8" s="19" t="n">
        <v>828</v>
      </c>
      <c r="E8" s="18" t="n">
        <v>15.70943664</v>
      </c>
      <c r="F8" s="20" t="n">
        <v>1.51008731</v>
      </c>
      <c r="G8" s="18" t="n">
        <v>81.44765783</v>
      </c>
      <c r="H8" s="20" t="n">
        <v>1.52970075</v>
      </c>
      <c r="I8" s="18" t="n">
        <v>0</v>
      </c>
      <c r="J8" s="20" t="n">
        <v>0</v>
      </c>
      <c r="K8" s="18" t="n">
        <v>2.12212047</v>
      </c>
      <c r="L8" s="20" t="n">
        <v>0.52564564</v>
      </c>
      <c r="M8" s="18" t="n">
        <v>0</v>
      </c>
      <c r="N8" s="20" t="n">
        <v>0</v>
      </c>
      <c r="O8" s="18" t="n">
        <v>0</v>
      </c>
      <c r="P8" s="20" t="n">
        <v>0</v>
      </c>
      <c r="Q8" s="18" t="n">
        <v>0.72078506</v>
      </c>
      <c r="R8" s="20" t="n">
        <v>0.29268276</v>
      </c>
    </row>
    <row r="9" spans="1:18">
      <c r="A9" s="15" t="s">
        <v>431</v>
      </c>
      <c r="B9" s="17" t="n">
        <v>9651</v>
      </c>
      <c r="C9" s="18">
        <f>(8547.0/B9*100)</f>
        <v/>
      </c>
      <c r="D9" s="19" t="n">
        <v>1104</v>
      </c>
      <c r="E9" s="18" t="n">
        <v>14.13690868</v>
      </c>
      <c r="F9" s="20" t="n">
        <v>1.03508527</v>
      </c>
      <c r="G9" s="18" t="n">
        <v>83.4293151</v>
      </c>
      <c r="H9" s="20" t="n">
        <v>1.02223735</v>
      </c>
      <c r="I9" s="18" t="n">
        <v>0</v>
      </c>
      <c r="J9" s="20" t="n">
        <v>0</v>
      </c>
      <c r="K9" s="18" t="n">
        <v>2.05446172</v>
      </c>
      <c r="L9" s="20" t="n">
        <v>0.38215701</v>
      </c>
      <c r="M9" s="18" t="n">
        <v>0</v>
      </c>
      <c r="N9" s="20" t="n">
        <v>0</v>
      </c>
      <c r="O9" s="18" t="n">
        <v>0</v>
      </c>
      <c r="P9" s="20" t="n">
        <v>0</v>
      </c>
      <c r="Q9" s="18" t="n">
        <v>0.3793145</v>
      </c>
      <c r="R9" s="20" t="n">
        <v>0.1751668</v>
      </c>
    </row>
    <row r="10" spans="1:18">
      <c r="A10" s="15" t="s">
        <v>432</v>
      </c>
      <c r="B10" s="17" t="n">
        <v>20058</v>
      </c>
      <c r="C10" s="18">
        <f>(17669.0/B10*100)</f>
        <v/>
      </c>
      <c r="D10" s="19" t="n">
        <v>2389</v>
      </c>
      <c r="E10" s="18" t="n">
        <v>16.49398377</v>
      </c>
      <c r="F10" s="20" t="n">
        <v>1.05042484</v>
      </c>
      <c r="G10" s="18" t="n">
        <v>81.98386519</v>
      </c>
      <c r="H10" s="20" t="n">
        <v>1.11717744</v>
      </c>
      <c r="I10" s="18" t="n">
        <v>0</v>
      </c>
      <c r="J10" s="20" t="n">
        <v>0</v>
      </c>
      <c r="K10" s="18" t="n">
        <v>1.2716426</v>
      </c>
      <c r="L10" s="20" t="n">
        <v>0.32860947</v>
      </c>
      <c r="M10" s="18" t="n">
        <v>0</v>
      </c>
      <c r="N10" s="20" t="n">
        <v>0</v>
      </c>
      <c r="O10" s="18" t="n">
        <v>0</v>
      </c>
      <c r="P10" s="20" t="n">
        <v>0</v>
      </c>
      <c r="Q10" s="18" t="n">
        <v>0.25050844</v>
      </c>
      <c r="R10" s="20" t="n">
        <v>0.20268383</v>
      </c>
    </row>
    <row r="11" spans="1:18">
      <c r="A11" s="15" t="s">
        <v>433</v>
      </c>
      <c r="B11" s="17" t="n">
        <v>7053</v>
      </c>
      <c r="C11" s="18">
        <f>(6240.0/B11*100)</f>
        <v/>
      </c>
      <c r="D11" s="19" t="n">
        <v>813</v>
      </c>
      <c r="E11" s="18" t="n">
        <v>16.38031362</v>
      </c>
      <c r="F11" s="20" t="n">
        <v>1.45815607</v>
      </c>
      <c r="G11" s="18" t="n">
        <v>79.28079053</v>
      </c>
      <c r="H11" s="20" t="n">
        <v>1.5674299</v>
      </c>
      <c r="I11" s="18" t="n">
        <v>0</v>
      </c>
      <c r="J11" s="20" t="n">
        <v>0</v>
      </c>
      <c r="K11" s="18" t="n">
        <v>3.95662957</v>
      </c>
      <c r="L11" s="20" t="n">
        <v>0.79516268</v>
      </c>
      <c r="M11" s="18" t="n">
        <v>0</v>
      </c>
      <c r="N11" s="20" t="n">
        <v>0</v>
      </c>
      <c r="O11" s="18" t="n">
        <v>0</v>
      </c>
      <c r="P11" s="20" t="n">
        <v>0</v>
      </c>
      <c r="Q11" s="18" t="n">
        <v>0.38226627</v>
      </c>
      <c r="R11" s="20" t="n">
        <v>0.20069764</v>
      </c>
    </row>
    <row r="12" spans="1:18">
      <c r="A12" s="15" t="s">
        <v>434</v>
      </c>
      <c r="B12" s="17" t="n">
        <v>6894</v>
      </c>
      <c r="C12" s="18">
        <f>(6081.0/B12*100)</f>
        <v/>
      </c>
      <c r="D12" s="19" t="n">
        <v>813</v>
      </c>
      <c r="E12" s="18" t="n">
        <v>14.06347747</v>
      </c>
      <c r="F12" s="20" t="n">
        <v>1.66737755</v>
      </c>
      <c r="G12" s="18" t="n">
        <v>83.44363451</v>
      </c>
      <c r="H12" s="20" t="n">
        <v>1.6476227</v>
      </c>
      <c r="I12" s="18" t="n">
        <v>0</v>
      </c>
      <c r="J12" s="20" t="n">
        <v>0</v>
      </c>
      <c r="K12" s="18" t="n">
        <v>1.38754094</v>
      </c>
      <c r="L12" s="20" t="n">
        <v>0.45706477</v>
      </c>
      <c r="M12" s="18" t="n">
        <v>0</v>
      </c>
      <c r="N12" s="20" t="n">
        <v>0</v>
      </c>
      <c r="O12" s="18" t="n">
        <v>0</v>
      </c>
      <c r="P12" s="20" t="n">
        <v>0</v>
      </c>
      <c r="Q12" s="18" t="n">
        <v>1.10534709</v>
      </c>
      <c r="R12" s="20" t="n">
        <v>0.44343078</v>
      </c>
    </row>
    <row r="13" spans="1:18">
      <c r="A13" s="15" t="s">
        <v>435</v>
      </c>
      <c r="B13" s="17" t="n">
        <v>7161</v>
      </c>
      <c r="C13" s="18">
        <f>(6357.0/B13*100)</f>
        <v/>
      </c>
      <c r="D13" s="19" t="n">
        <v>804</v>
      </c>
      <c r="E13" s="18" t="n">
        <v>17.00637485</v>
      </c>
      <c r="F13" s="20" t="n">
        <v>1.62060786</v>
      </c>
      <c r="G13" s="18" t="n">
        <v>80.41763086</v>
      </c>
      <c r="H13" s="20" t="n">
        <v>1.73929862</v>
      </c>
      <c r="I13" s="18" t="n">
        <v>0</v>
      </c>
      <c r="J13" s="20" t="n">
        <v>0</v>
      </c>
      <c r="K13" s="18" t="n">
        <v>2.49649292</v>
      </c>
      <c r="L13" s="20" t="n">
        <v>0.54874775</v>
      </c>
      <c r="M13" s="18" t="n">
        <v>0</v>
      </c>
      <c r="N13" s="20" t="n">
        <v>0</v>
      </c>
      <c r="O13" s="18" t="n">
        <v>0</v>
      </c>
      <c r="P13" s="20" t="n">
        <v>0</v>
      </c>
      <c r="Q13" s="18" t="n">
        <v>0.07950138</v>
      </c>
      <c r="R13" s="20" t="n">
        <v>0.04538918</v>
      </c>
    </row>
    <row r="14" spans="1:18">
      <c r="A14" s="15" t="s">
        <v>436</v>
      </c>
      <c r="B14" s="17" t="n">
        <v>5587</v>
      </c>
      <c r="C14" s="18">
        <f>(4922.0/B14*100)</f>
        <v/>
      </c>
      <c r="D14" s="19" t="n">
        <v>665</v>
      </c>
      <c r="E14" s="18" t="n">
        <v>13.95758379</v>
      </c>
      <c r="F14" s="20" t="n">
        <v>1.30567543</v>
      </c>
      <c r="G14" s="18" t="n">
        <v>84.664845</v>
      </c>
      <c r="H14" s="20" t="n">
        <v>1.3546608</v>
      </c>
      <c r="I14" s="18" t="n">
        <v>0</v>
      </c>
      <c r="J14" s="20" t="n">
        <v>0</v>
      </c>
      <c r="K14" s="18" t="n">
        <v>1.15232461</v>
      </c>
      <c r="L14" s="20" t="n">
        <v>0.33182493</v>
      </c>
      <c r="M14" s="18" t="n">
        <v>0</v>
      </c>
      <c r="N14" s="20" t="n">
        <v>0</v>
      </c>
      <c r="O14" s="18" t="n">
        <v>0</v>
      </c>
      <c r="P14" s="20" t="n">
        <v>0</v>
      </c>
      <c r="Q14" s="18" t="n">
        <v>0.2252466</v>
      </c>
      <c r="R14" s="20" t="n">
        <v>0.16090092</v>
      </c>
    </row>
    <row r="15" spans="1:18">
      <c r="A15" s="15" t="s">
        <v>437</v>
      </c>
      <c r="B15" s="17" t="n">
        <v>5882</v>
      </c>
      <c r="C15" s="18">
        <f>(5175.0/B15*100)</f>
        <v/>
      </c>
      <c r="D15" s="19" t="n">
        <v>707</v>
      </c>
      <c r="E15" s="18" t="n">
        <v>10.39540929</v>
      </c>
      <c r="F15" s="20" t="n">
        <v>1.16569252</v>
      </c>
      <c r="G15" s="18" t="n">
        <v>88.3761628</v>
      </c>
      <c r="H15" s="20" t="n">
        <v>1.23143942</v>
      </c>
      <c r="I15" s="18" t="n">
        <v>0</v>
      </c>
      <c r="J15" s="20" t="n">
        <v>0</v>
      </c>
      <c r="K15" s="18" t="n">
        <v>0.80056289</v>
      </c>
      <c r="L15" s="20" t="n">
        <v>0.32688214</v>
      </c>
      <c r="M15" s="18" t="n">
        <v>0</v>
      </c>
      <c r="N15" s="20" t="n">
        <v>0</v>
      </c>
      <c r="O15" s="18" t="n">
        <v>0</v>
      </c>
      <c r="P15" s="20" t="n">
        <v>0</v>
      </c>
      <c r="Q15" s="18" t="n">
        <v>0.42786503</v>
      </c>
      <c r="R15" s="20" t="n">
        <v>0.24528986</v>
      </c>
    </row>
    <row r="16" spans="1:18">
      <c r="A16" s="15" t="s">
        <v>438</v>
      </c>
      <c r="B16" s="17" t="n">
        <v>6108</v>
      </c>
      <c r="C16" s="18">
        <f>(5365.0/B16*100)</f>
        <v/>
      </c>
      <c r="D16" s="19" t="n">
        <v>743</v>
      </c>
      <c r="E16" s="18" t="n">
        <v>14.82209483</v>
      </c>
      <c r="F16" s="20" t="n">
        <v>1.41457852</v>
      </c>
      <c r="G16" s="18" t="n">
        <v>79.95065649999999</v>
      </c>
      <c r="H16" s="20" t="n">
        <v>1.75619372</v>
      </c>
      <c r="I16" s="18" t="n">
        <v>0</v>
      </c>
      <c r="J16" s="20" t="n">
        <v>0</v>
      </c>
      <c r="K16" s="18" t="n">
        <v>4.30547321</v>
      </c>
      <c r="L16" s="20" t="n">
        <v>0.90451841</v>
      </c>
      <c r="M16" s="18" t="n">
        <v>0</v>
      </c>
      <c r="N16" s="20" t="n">
        <v>0</v>
      </c>
      <c r="O16" s="18" t="n">
        <v>0</v>
      </c>
      <c r="P16" s="20" t="n">
        <v>0</v>
      </c>
      <c r="Q16" s="18" t="n">
        <v>0.92177546</v>
      </c>
      <c r="R16" s="20" t="n">
        <v>0.33494451</v>
      </c>
    </row>
    <row r="17" spans="1:18">
      <c r="A17" s="15" t="s">
        <v>439</v>
      </c>
      <c r="B17" s="17" t="n">
        <v>6504</v>
      </c>
      <c r="C17" s="18">
        <f>(5747.0/B17*100)</f>
        <v/>
      </c>
      <c r="D17" s="19" t="n">
        <v>757</v>
      </c>
      <c r="E17" s="18" t="n">
        <v>11.76244694</v>
      </c>
      <c r="F17" s="20" t="n">
        <v>1.17835146</v>
      </c>
      <c r="G17" s="18" t="n">
        <v>84.45004545</v>
      </c>
      <c r="H17" s="20" t="n">
        <v>1.43731897</v>
      </c>
      <c r="I17" s="18" t="n">
        <v>0</v>
      </c>
      <c r="J17" s="20" t="n">
        <v>0</v>
      </c>
      <c r="K17" s="18" t="n">
        <v>3.0927109</v>
      </c>
      <c r="L17" s="20" t="n">
        <v>0.64820768</v>
      </c>
      <c r="M17" s="18" t="n">
        <v>0</v>
      </c>
      <c r="N17" s="20" t="n">
        <v>0</v>
      </c>
      <c r="O17" s="18" t="n">
        <v>0</v>
      </c>
      <c r="P17" s="20" t="n">
        <v>0</v>
      </c>
      <c r="Q17" s="18" t="n">
        <v>0.6947967</v>
      </c>
      <c r="R17" s="20" t="n">
        <v>0.31678852</v>
      </c>
    </row>
    <row r="18" spans="1:18">
      <c r="A18" s="15" t="s">
        <v>440</v>
      </c>
      <c r="B18" s="17" t="n">
        <v>5532</v>
      </c>
      <c r="C18" s="18">
        <f>(4856.0/B18*100)</f>
        <v/>
      </c>
      <c r="D18" s="19" t="n">
        <v>676</v>
      </c>
      <c r="E18" s="18" t="n">
        <v>24.97701688</v>
      </c>
      <c r="F18" s="20" t="n">
        <v>1.98787526</v>
      </c>
      <c r="G18" s="18" t="n">
        <v>71.63204874</v>
      </c>
      <c r="H18" s="20" t="n">
        <v>2.2064804</v>
      </c>
      <c r="I18" s="18" t="n">
        <v>0</v>
      </c>
      <c r="J18" s="20" t="n">
        <v>0</v>
      </c>
      <c r="K18" s="18" t="n">
        <v>2.97213066</v>
      </c>
      <c r="L18" s="20" t="n">
        <v>0.76212583</v>
      </c>
      <c r="M18" s="18" t="n">
        <v>0</v>
      </c>
      <c r="N18" s="20" t="n">
        <v>0</v>
      </c>
      <c r="O18" s="18" t="n">
        <v>0</v>
      </c>
      <c r="P18" s="20" t="n">
        <v>0</v>
      </c>
      <c r="Q18" s="18" t="n">
        <v>0.41880372</v>
      </c>
      <c r="R18" s="20" t="n">
        <v>0.24452309</v>
      </c>
    </row>
    <row r="19" spans="1:18">
      <c r="A19" s="15" t="s">
        <v>441</v>
      </c>
      <c r="B19" s="17" t="n">
        <v>5658</v>
      </c>
      <c r="C19" s="18">
        <f>(4998.0/B19*100)</f>
        <v/>
      </c>
      <c r="D19" s="19" t="n">
        <v>660</v>
      </c>
      <c r="E19" s="18" t="n">
        <v>24.34222483</v>
      </c>
      <c r="F19" s="20" t="n">
        <v>1.5906144</v>
      </c>
      <c r="G19" s="18" t="n">
        <v>74.50033157</v>
      </c>
      <c r="H19" s="20" t="n">
        <v>1.58995513</v>
      </c>
      <c r="I19" s="18" t="n">
        <v>0</v>
      </c>
      <c r="J19" s="20" t="n">
        <v>0</v>
      </c>
      <c r="K19" s="18" t="n">
        <v>0.60123734</v>
      </c>
      <c r="L19" s="20" t="n">
        <v>0.31070508</v>
      </c>
      <c r="M19" s="18" t="n">
        <v>0</v>
      </c>
      <c r="N19" s="20" t="n">
        <v>0</v>
      </c>
      <c r="O19" s="18" t="n">
        <v>0</v>
      </c>
      <c r="P19" s="20" t="n">
        <v>0</v>
      </c>
      <c r="Q19" s="18" t="n">
        <v>0.55620626</v>
      </c>
      <c r="R19" s="20" t="n">
        <v>0.26900142</v>
      </c>
    </row>
    <row r="20" spans="1:18">
      <c r="A20" s="15" t="s">
        <v>442</v>
      </c>
      <c r="B20" s="17" t="n">
        <v>3371</v>
      </c>
      <c r="C20" s="18">
        <f>(2980.0/B20*100)</f>
        <v/>
      </c>
      <c r="D20" s="19" t="n">
        <v>391</v>
      </c>
      <c r="E20" s="18" t="n">
        <v>20.90657194</v>
      </c>
      <c r="F20" s="20" t="n">
        <v>2.09711076</v>
      </c>
      <c r="G20" s="18" t="n">
        <v>77.37517617</v>
      </c>
      <c r="H20" s="20" t="n">
        <v>2.1609628</v>
      </c>
      <c r="I20" s="18" t="n">
        <v>0</v>
      </c>
      <c r="J20" s="20" t="n">
        <v>0</v>
      </c>
      <c r="K20" s="18" t="n">
        <v>1.71825188</v>
      </c>
      <c r="L20" s="20" t="n">
        <v>0.54903672</v>
      </c>
      <c r="M20" s="18" t="n">
        <v>0</v>
      </c>
      <c r="N20" s="20" t="n">
        <v>0</v>
      </c>
      <c r="O20" s="18" t="n">
        <v>0</v>
      </c>
      <c r="P20" s="20" t="n">
        <v>0</v>
      </c>
      <c r="Q20" s="18" t="n">
        <v>0</v>
      </c>
      <c r="R20" s="20" t="n">
        <v>0</v>
      </c>
    </row>
    <row r="21" spans="1:18">
      <c r="A21" s="15" t="s">
        <v>443</v>
      </c>
      <c r="B21" s="17" t="n">
        <v>5741</v>
      </c>
      <c r="C21" s="18">
        <f>(4812.0/B21*100)</f>
        <v/>
      </c>
      <c r="D21" s="19" t="n">
        <v>929</v>
      </c>
      <c r="E21" s="18" t="n">
        <v>16.39766796</v>
      </c>
      <c r="F21" s="20" t="n">
        <v>1.34195014</v>
      </c>
      <c r="G21" s="18" t="n">
        <v>81.96154479</v>
      </c>
      <c r="H21" s="20" t="n">
        <v>1.40182571</v>
      </c>
      <c r="I21" s="18" t="n">
        <v>0</v>
      </c>
      <c r="J21" s="20" t="n">
        <v>0</v>
      </c>
      <c r="K21" s="18" t="n">
        <v>1.04811275</v>
      </c>
      <c r="L21" s="20" t="n">
        <v>0.33830782</v>
      </c>
      <c r="M21" s="18" t="n">
        <v>0</v>
      </c>
      <c r="N21" s="20" t="n">
        <v>0</v>
      </c>
      <c r="O21" s="18" t="n">
        <v>0</v>
      </c>
      <c r="P21" s="20" t="n">
        <v>0</v>
      </c>
      <c r="Q21" s="18" t="n">
        <v>0.5926745</v>
      </c>
      <c r="R21" s="20" t="n">
        <v>0.26395354</v>
      </c>
    </row>
    <row r="22" spans="1:18">
      <c r="A22" s="15" t="s">
        <v>444</v>
      </c>
      <c r="B22" s="17" t="n">
        <v>6598</v>
      </c>
      <c r="C22" s="18">
        <f>(5789.0/B22*100)</f>
        <v/>
      </c>
      <c r="D22" s="19" t="n">
        <v>809</v>
      </c>
      <c r="E22" s="18" t="n">
        <v>21.44227771</v>
      </c>
      <c r="F22" s="20" t="n">
        <v>1.65214983</v>
      </c>
      <c r="G22" s="18" t="n">
        <v>75.99125049</v>
      </c>
      <c r="H22" s="20" t="n">
        <v>1.74788142</v>
      </c>
      <c r="I22" s="18" t="n">
        <v>0</v>
      </c>
      <c r="J22" s="20" t="n">
        <v>0</v>
      </c>
      <c r="K22" s="18" t="n">
        <v>1.70633144</v>
      </c>
      <c r="L22" s="20" t="n">
        <v>0.48729287</v>
      </c>
      <c r="M22" s="18" t="n">
        <v>0</v>
      </c>
      <c r="N22" s="20" t="n">
        <v>0</v>
      </c>
      <c r="O22" s="18" t="n">
        <v>0</v>
      </c>
      <c r="P22" s="20" t="n">
        <v>0</v>
      </c>
      <c r="Q22" s="18" t="n">
        <v>0.86014036</v>
      </c>
      <c r="R22" s="20" t="n">
        <v>0.39918554</v>
      </c>
    </row>
    <row r="23" spans="1:18">
      <c r="A23" s="15" t="s">
        <v>445</v>
      </c>
      <c r="B23" s="17" t="n">
        <v>11583</v>
      </c>
      <c r="C23" s="18">
        <f>(10208.0/B23*100)</f>
        <v/>
      </c>
      <c r="D23" s="19" t="n">
        <v>1375</v>
      </c>
      <c r="E23" s="18" t="n">
        <v>16.02444937</v>
      </c>
      <c r="F23" s="20" t="n">
        <v>1.19644019</v>
      </c>
      <c r="G23" s="18" t="n">
        <v>80.28656659000001</v>
      </c>
      <c r="H23" s="20" t="n">
        <v>1.50358075</v>
      </c>
      <c r="I23" s="18" t="n">
        <v>0</v>
      </c>
      <c r="J23" s="20" t="n">
        <v>0</v>
      </c>
      <c r="K23" s="18" t="n">
        <v>2.52439079</v>
      </c>
      <c r="L23" s="20" t="n">
        <v>0.63086806</v>
      </c>
      <c r="M23" s="18" t="n">
        <v>0</v>
      </c>
      <c r="N23" s="20" t="n">
        <v>0</v>
      </c>
      <c r="O23" s="18" t="n">
        <v>0</v>
      </c>
      <c r="P23" s="20" t="n">
        <v>0</v>
      </c>
      <c r="Q23" s="18" t="n">
        <v>1.16459325</v>
      </c>
      <c r="R23" s="20" t="n">
        <v>0.52855329</v>
      </c>
    </row>
    <row r="24" spans="1:18">
      <c r="A24" s="15" t="s">
        <v>446</v>
      </c>
      <c r="B24" s="17" t="n">
        <v>6647</v>
      </c>
      <c r="C24" s="18">
        <f>(5854.0/B24*100)</f>
        <v/>
      </c>
      <c r="D24" s="19" t="n">
        <v>793</v>
      </c>
      <c r="E24" s="18" t="n">
        <v>16.22779363</v>
      </c>
      <c r="F24" s="20" t="n">
        <v>1.47233244</v>
      </c>
      <c r="G24" s="18" t="n">
        <v>81.92788751000001</v>
      </c>
      <c r="H24" s="20" t="n">
        <v>1.67615064</v>
      </c>
      <c r="I24" s="18" t="n">
        <v>0</v>
      </c>
      <c r="J24" s="20" t="n">
        <v>0</v>
      </c>
      <c r="K24" s="18" t="n">
        <v>1.70433516</v>
      </c>
      <c r="L24" s="20" t="n">
        <v>0.4783861</v>
      </c>
      <c r="M24" s="18" t="n">
        <v>0</v>
      </c>
      <c r="N24" s="20" t="n">
        <v>0</v>
      </c>
      <c r="O24" s="18" t="n">
        <v>0</v>
      </c>
      <c r="P24" s="20" t="n">
        <v>0</v>
      </c>
      <c r="Q24" s="18" t="n">
        <v>0.13998371</v>
      </c>
      <c r="R24" s="20" t="n">
        <v>0.14054305</v>
      </c>
    </row>
    <row r="25" spans="1:18">
      <c r="A25" s="15" t="s">
        <v>447</v>
      </c>
      <c r="B25" s="17" t="n">
        <v>5581</v>
      </c>
      <c r="C25" s="18">
        <f>(4886.0/B25*100)</f>
        <v/>
      </c>
      <c r="D25" s="19" t="n">
        <v>695</v>
      </c>
      <c r="E25" s="18" t="n">
        <v>16.93348547</v>
      </c>
      <c r="F25" s="20" t="n">
        <v>1.54389049</v>
      </c>
      <c r="G25" s="18" t="n">
        <v>82.38914389</v>
      </c>
      <c r="H25" s="20" t="n">
        <v>1.52798032</v>
      </c>
      <c r="I25" s="18" t="n">
        <v>0</v>
      </c>
      <c r="J25" s="20" t="n">
        <v>0</v>
      </c>
      <c r="K25" s="18" t="n">
        <v>0.56522942</v>
      </c>
      <c r="L25" s="20" t="n">
        <v>0.28354397</v>
      </c>
      <c r="M25" s="18" t="n">
        <v>0</v>
      </c>
      <c r="N25" s="20" t="n">
        <v>0</v>
      </c>
      <c r="O25" s="18" t="n">
        <v>0</v>
      </c>
      <c r="P25" s="20" t="n">
        <v>0</v>
      </c>
      <c r="Q25" s="18" t="n">
        <v>0.11214122</v>
      </c>
      <c r="R25" s="20" t="n">
        <v>0.11263187</v>
      </c>
    </row>
    <row r="26" spans="1:18">
      <c r="A26" s="15" t="s">
        <v>448</v>
      </c>
      <c r="B26" s="17" t="n">
        <v>4869</v>
      </c>
      <c r="C26" s="18">
        <f>(4289.0/B26*100)</f>
        <v/>
      </c>
      <c r="D26" s="19" t="n">
        <v>580</v>
      </c>
      <c r="E26" s="18" t="n">
        <v>13.76043561</v>
      </c>
      <c r="F26" s="20" t="n">
        <v>1.6397994</v>
      </c>
      <c r="G26" s="18" t="n">
        <v>84.81182638</v>
      </c>
      <c r="H26" s="20" t="n">
        <v>1.66110092</v>
      </c>
      <c r="I26" s="18" t="n">
        <v>0</v>
      </c>
      <c r="J26" s="20" t="n">
        <v>0</v>
      </c>
      <c r="K26" s="18" t="n">
        <v>1.11887368</v>
      </c>
      <c r="L26" s="20" t="n">
        <v>0.41932213</v>
      </c>
      <c r="M26" s="18" t="n">
        <v>0</v>
      </c>
      <c r="N26" s="20" t="n">
        <v>0</v>
      </c>
      <c r="O26" s="18" t="n">
        <v>0</v>
      </c>
      <c r="P26" s="20" t="n">
        <v>0</v>
      </c>
      <c r="Q26" s="18" t="n">
        <v>0.30886433</v>
      </c>
      <c r="R26" s="20" t="n">
        <v>0.17570294</v>
      </c>
    </row>
    <row r="27" spans="1:18">
      <c r="A27" s="15" t="s">
        <v>449</v>
      </c>
      <c r="B27" s="17" t="n">
        <v>5299</v>
      </c>
      <c r="C27" s="18">
        <f>(4682.0/B27*100)</f>
        <v/>
      </c>
      <c r="D27" s="19" t="n">
        <v>617</v>
      </c>
      <c r="E27" s="18" t="n">
        <v>16.59930335</v>
      </c>
      <c r="F27" s="20" t="n">
        <v>1.57173698</v>
      </c>
      <c r="G27" s="18" t="n">
        <v>78.88084990999999</v>
      </c>
      <c r="H27" s="20" t="n">
        <v>1.62388302</v>
      </c>
      <c r="I27" s="18" t="n">
        <v>0</v>
      </c>
      <c r="J27" s="20" t="n">
        <v>0</v>
      </c>
      <c r="K27" s="18" t="n">
        <v>2.68822535</v>
      </c>
      <c r="L27" s="20" t="n">
        <v>0.7142493</v>
      </c>
      <c r="M27" s="18" t="n">
        <v>0</v>
      </c>
      <c r="N27" s="20" t="n">
        <v>0</v>
      </c>
      <c r="O27" s="18" t="n">
        <v>0</v>
      </c>
      <c r="P27" s="20" t="n">
        <v>0</v>
      </c>
      <c r="Q27" s="18" t="n">
        <v>1.8316214</v>
      </c>
      <c r="R27" s="20" t="n">
        <v>0.49464526</v>
      </c>
    </row>
    <row r="28" spans="1:18">
      <c r="A28" s="15" t="s">
        <v>450</v>
      </c>
      <c r="B28" s="17" t="n">
        <v>7568</v>
      </c>
      <c r="C28" s="18">
        <f>(6771.0/B28*100)</f>
        <v/>
      </c>
      <c r="D28" s="19" t="n">
        <v>797</v>
      </c>
      <c r="E28" s="18" t="n">
        <v>33.33891852</v>
      </c>
      <c r="F28" s="20" t="n">
        <v>1.76377625</v>
      </c>
      <c r="G28" s="18" t="n">
        <v>64.21890242000001</v>
      </c>
      <c r="H28" s="20" t="n">
        <v>1.84149014</v>
      </c>
      <c r="I28" s="18" t="n">
        <v>0</v>
      </c>
      <c r="J28" s="20" t="n">
        <v>0</v>
      </c>
      <c r="K28" s="18" t="n">
        <v>1.63081994</v>
      </c>
      <c r="L28" s="20" t="n">
        <v>0.47879753</v>
      </c>
      <c r="M28" s="18" t="n">
        <v>0</v>
      </c>
      <c r="N28" s="20" t="n">
        <v>0</v>
      </c>
      <c r="O28" s="18" t="n">
        <v>0</v>
      </c>
      <c r="P28" s="20" t="n">
        <v>0</v>
      </c>
      <c r="Q28" s="18" t="n">
        <v>0.81135912</v>
      </c>
      <c r="R28" s="20" t="n">
        <v>0.36437872</v>
      </c>
    </row>
    <row r="29" spans="1:18">
      <c r="A29" s="15" t="s">
        <v>451</v>
      </c>
      <c r="B29" s="17" t="n">
        <v>5385</v>
      </c>
      <c r="C29" s="18">
        <f>(4728.0/B29*100)</f>
        <v/>
      </c>
      <c r="D29" s="19" t="n">
        <v>657</v>
      </c>
      <c r="E29" s="18" t="n">
        <v>19.11332716</v>
      </c>
      <c r="F29" s="20" t="n">
        <v>1.56953993</v>
      </c>
      <c r="G29" s="18" t="n">
        <v>80.27364948</v>
      </c>
      <c r="H29" s="20" t="n">
        <v>1.58812766</v>
      </c>
      <c r="I29" s="18" t="n">
        <v>0</v>
      </c>
      <c r="J29" s="20" t="n">
        <v>0</v>
      </c>
      <c r="K29" s="18" t="n">
        <v>0.3329025</v>
      </c>
      <c r="L29" s="20" t="n">
        <v>0.22008674</v>
      </c>
      <c r="M29" s="18" t="n">
        <v>0</v>
      </c>
      <c r="N29" s="20" t="n">
        <v>0</v>
      </c>
      <c r="O29" s="18" t="n">
        <v>0</v>
      </c>
      <c r="P29" s="20" t="n">
        <v>0</v>
      </c>
      <c r="Q29" s="18" t="n">
        <v>0.28012086</v>
      </c>
      <c r="R29" s="20" t="n">
        <v>0.18814278</v>
      </c>
    </row>
    <row r="30" spans="1:18">
      <c r="A30" s="15" t="s">
        <v>452</v>
      </c>
      <c r="B30" s="17" t="n">
        <v>4520</v>
      </c>
      <c r="C30" s="18">
        <f>(3986.0/B30*100)</f>
        <v/>
      </c>
      <c r="D30" s="19" t="n">
        <v>534</v>
      </c>
      <c r="E30" s="18" t="n">
        <v>15.87735808</v>
      </c>
      <c r="F30" s="20" t="n">
        <v>1.44135632</v>
      </c>
      <c r="G30" s="18" t="n">
        <v>79.97595032</v>
      </c>
      <c r="H30" s="20" t="n">
        <v>1.68047588</v>
      </c>
      <c r="I30" s="18" t="n">
        <v>0</v>
      </c>
      <c r="J30" s="20" t="n">
        <v>0</v>
      </c>
      <c r="K30" s="18" t="n">
        <v>3.98170188</v>
      </c>
      <c r="L30" s="20" t="n">
        <v>0.95524288</v>
      </c>
      <c r="M30" s="18" t="n">
        <v>0</v>
      </c>
      <c r="N30" s="20" t="n">
        <v>0</v>
      </c>
      <c r="O30" s="18" t="n">
        <v>0</v>
      </c>
      <c r="P30" s="20" t="n">
        <v>0</v>
      </c>
      <c r="Q30" s="18" t="n">
        <v>0.16498972</v>
      </c>
      <c r="R30" s="20" t="n">
        <v>0.16869331</v>
      </c>
    </row>
    <row r="31" spans="1:18">
      <c r="A31" s="15" t="s">
        <v>453</v>
      </c>
      <c r="B31" s="17" t="n">
        <v>5456</v>
      </c>
      <c r="C31" s="18">
        <f>(4787.0/B31*100)</f>
        <v/>
      </c>
      <c r="D31" s="19" t="n">
        <v>669</v>
      </c>
      <c r="E31" s="18" t="n">
        <v>19.17834215</v>
      </c>
      <c r="F31" s="20" t="n">
        <v>1.37118368</v>
      </c>
      <c r="G31" s="18" t="n">
        <v>78.06051565</v>
      </c>
      <c r="H31" s="20" t="n">
        <v>1.46631243</v>
      </c>
      <c r="I31" s="18" t="n">
        <v>0</v>
      </c>
      <c r="J31" s="20" t="n">
        <v>0</v>
      </c>
      <c r="K31" s="18" t="n">
        <v>2.7611422</v>
      </c>
      <c r="L31" s="20" t="n">
        <v>0.66882046</v>
      </c>
      <c r="M31" s="18" t="n">
        <v>0</v>
      </c>
      <c r="N31" s="20" t="n">
        <v>0</v>
      </c>
      <c r="O31" s="18" t="n">
        <v>0</v>
      </c>
      <c r="P31" s="20" t="n">
        <v>0</v>
      </c>
      <c r="Q31" s="18" t="n">
        <v>0</v>
      </c>
      <c r="R31" s="20" t="n">
        <v>0</v>
      </c>
    </row>
    <row r="32" spans="1:18">
      <c r="A32" s="15" t="s">
        <v>454</v>
      </c>
      <c r="B32" s="17" t="n">
        <v>4478</v>
      </c>
      <c r="C32" s="18">
        <f>(3742.0/B32*100)</f>
        <v/>
      </c>
      <c r="D32" s="19" t="n">
        <v>736</v>
      </c>
      <c r="E32" s="18" t="n">
        <v>13.12923884</v>
      </c>
      <c r="F32" s="20" t="n">
        <v>1.08948163</v>
      </c>
      <c r="G32" s="18" t="n">
        <v>85.98196003</v>
      </c>
      <c r="H32" s="20" t="n">
        <v>1.16194799</v>
      </c>
      <c r="I32" s="18" t="n">
        <v>0</v>
      </c>
      <c r="J32" s="20" t="n">
        <v>0</v>
      </c>
      <c r="K32" s="18" t="n">
        <v>0.8888011300000001</v>
      </c>
      <c r="L32" s="20" t="n">
        <v>0.2894856</v>
      </c>
      <c r="M32" s="18" t="n">
        <v>0</v>
      </c>
      <c r="N32" s="20" t="n">
        <v>0</v>
      </c>
      <c r="O32" s="18" t="n">
        <v>0</v>
      </c>
      <c r="P32" s="20" t="n">
        <v>0</v>
      </c>
      <c r="Q32" s="18" t="n">
        <v>0</v>
      </c>
      <c r="R32" s="20" t="n">
        <v>0</v>
      </c>
    </row>
    <row r="33" spans="1:18">
      <c r="A33" s="15" t="s">
        <v>455</v>
      </c>
      <c r="B33" s="17" t="n">
        <v>7325</v>
      </c>
      <c r="C33" s="18">
        <f>(6487.0/B33*100)</f>
        <v/>
      </c>
      <c r="D33" s="19" t="n">
        <v>838</v>
      </c>
      <c r="E33" s="18" t="n">
        <v>17.06126728</v>
      </c>
      <c r="F33" s="20" t="n">
        <v>1.76793442</v>
      </c>
      <c r="G33" s="18" t="n">
        <v>80.88904841</v>
      </c>
      <c r="H33" s="20" t="n">
        <v>1.77080268</v>
      </c>
      <c r="I33" s="18" t="n">
        <v>0</v>
      </c>
      <c r="J33" s="20" t="n">
        <v>0</v>
      </c>
      <c r="K33" s="18" t="n">
        <v>1.53841392</v>
      </c>
      <c r="L33" s="20" t="n">
        <v>0.5386128</v>
      </c>
      <c r="M33" s="18" t="n">
        <v>0</v>
      </c>
      <c r="N33" s="20" t="n">
        <v>0</v>
      </c>
      <c r="O33" s="18" t="n">
        <v>0</v>
      </c>
      <c r="P33" s="20" t="n">
        <v>0</v>
      </c>
      <c r="Q33" s="18" t="n">
        <v>0.51127039</v>
      </c>
      <c r="R33" s="20" t="n">
        <v>0.27290988</v>
      </c>
    </row>
    <row r="34" spans="1:18">
      <c r="A34" s="15" t="s">
        <v>456</v>
      </c>
      <c r="B34" s="17" t="n">
        <v>6350</v>
      </c>
      <c r="C34" s="18">
        <f>(5608.0/B34*100)</f>
        <v/>
      </c>
      <c r="D34" s="19" t="n">
        <v>742</v>
      </c>
      <c r="E34" s="18" t="n">
        <v>21.20816159</v>
      </c>
      <c r="F34" s="20" t="n">
        <v>1.47139276</v>
      </c>
      <c r="G34" s="18" t="n">
        <v>77.54792053</v>
      </c>
      <c r="H34" s="20" t="n">
        <v>1.54306073</v>
      </c>
      <c r="I34" s="18" t="n">
        <v>0</v>
      </c>
      <c r="J34" s="20" t="n">
        <v>0</v>
      </c>
      <c r="K34" s="18" t="n">
        <v>1.12927718</v>
      </c>
      <c r="L34" s="20" t="n">
        <v>0.38402385</v>
      </c>
      <c r="M34" s="18" t="n">
        <v>0</v>
      </c>
      <c r="N34" s="20" t="n">
        <v>0</v>
      </c>
      <c r="O34" s="18" t="n">
        <v>0</v>
      </c>
      <c r="P34" s="20" t="n">
        <v>0</v>
      </c>
      <c r="Q34" s="18" t="n">
        <v>0.11464071</v>
      </c>
      <c r="R34" s="20" t="n">
        <v>0.11546636</v>
      </c>
    </row>
    <row r="35" spans="1:18">
      <c r="A35" s="15" t="s">
        <v>457</v>
      </c>
      <c r="B35" s="17" t="n">
        <v>6406</v>
      </c>
      <c r="C35" s="18">
        <f>(5626.0/B35*100)</f>
        <v/>
      </c>
      <c r="D35" s="19" t="n">
        <v>780</v>
      </c>
      <c r="E35" s="18" t="n">
        <v>13.75329694</v>
      </c>
      <c r="F35" s="20" t="n">
        <v>1.51116331</v>
      </c>
      <c r="G35" s="18" t="n">
        <v>85.57226084</v>
      </c>
      <c r="H35" s="20" t="n">
        <v>1.50756607</v>
      </c>
      <c r="I35" s="18" t="n">
        <v>0</v>
      </c>
      <c r="J35" s="20" t="n">
        <v>0</v>
      </c>
      <c r="K35" s="18" t="n">
        <v>0.5739667899999999</v>
      </c>
      <c r="L35" s="20" t="n">
        <v>0.24322182</v>
      </c>
      <c r="M35" s="18" t="n">
        <v>0</v>
      </c>
      <c r="N35" s="20" t="n">
        <v>0</v>
      </c>
      <c r="O35" s="18" t="n">
        <v>0</v>
      </c>
      <c r="P35" s="20" t="n">
        <v>0</v>
      </c>
      <c r="Q35" s="18" t="n">
        <v>0.10047543</v>
      </c>
      <c r="R35" s="20" t="n">
        <v>0.10039517</v>
      </c>
    </row>
    <row r="36" spans="1:18">
      <c r="A36" s="15" t="s">
        <v>458</v>
      </c>
      <c r="B36" s="17" t="n">
        <v>6736</v>
      </c>
      <c r="C36" s="18">
        <f>(5951.0/B36*100)</f>
        <v/>
      </c>
      <c r="D36" s="19" t="n">
        <v>785</v>
      </c>
      <c r="E36" s="18" t="n">
        <v>16.01767022</v>
      </c>
      <c r="F36" s="20" t="n">
        <v>1.42875105</v>
      </c>
      <c r="G36" s="18" t="n">
        <v>62.46316146</v>
      </c>
      <c r="H36" s="20" t="n">
        <v>1.78398422</v>
      </c>
      <c r="I36" s="18" t="n">
        <v>0</v>
      </c>
      <c r="J36" s="20" t="n">
        <v>0</v>
      </c>
      <c r="K36" s="18" t="n">
        <v>2.11659915</v>
      </c>
      <c r="L36" s="20" t="n">
        <v>0.60568764</v>
      </c>
      <c r="M36" s="18" t="n">
        <v>19.0933527</v>
      </c>
      <c r="N36" s="20" t="n">
        <v>1.2015554</v>
      </c>
      <c r="O36" s="18" t="n">
        <v>0</v>
      </c>
      <c r="P36" s="20" t="n">
        <v>0</v>
      </c>
      <c r="Q36" s="18" t="n">
        <v>0.30921647</v>
      </c>
      <c r="R36" s="20" t="n">
        <v>0.2876866</v>
      </c>
    </row>
    <row r="37" spans="1:18">
      <c r="A37" s="15" t="s">
        <v>459</v>
      </c>
      <c r="B37" s="17" t="n">
        <v>5458</v>
      </c>
      <c r="C37" s="18">
        <f>(4846.0/B37*100)</f>
        <v/>
      </c>
      <c r="D37" s="19" t="n">
        <v>612</v>
      </c>
      <c r="E37" s="18" t="n">
        <v>14.85950281</v>
      </c>
      <c r="F37" s="20" t="n">
        <v>1.1923224</v>
      </c>
      <c r="G37" s="18" t="n">
        <v>80.12130164</v>
      </c>
      <c r="H37" s="20" t="n">
        <v>1.4330737</v>
      </c>
      <c r="I37" s="18" t="n">
        <v>0</v>
      </c>
      <c r="J37" s="20" t="n">
        <v>0</v>
      </c>
      <c r="K37" s="18" t="n">
        <v>3.97817873</v>
      </c>
      <c r="L37" s="20" t="n">
        <v>0.72550835</v>
      </c>
      <c r="M37" s="18" t="n">
        <v>0</v>
      </c>
      <c r="N37" s="20" t="n">
        <v>0</v>
      </c>
      <c r="O37" s="18" t="n">
        <v>0</v>
      </c>
      <c r="P37" s="20" t="n">
        <v>0</v>
      </c>
      <c r="Q37" s="18" t="n">
        <v>1.04101681</v>
      </c>
      <c r="R37" s="20" t="n">
        <v>0.49350864</v>
      </c>
    </row>
    <row r="38" spans="1:18">
      <c r="A38" s="15" t="s">
        <v>460</v>
      </c>
      <c r="B38" s="17" t="n">
        <v>5860</v>
      </c>
      <c r="C38" s="18">
        <f>(4927.0/B38*100)</f>
        <v/>
      </c>
      <c r="D38" s="19" t="n">
        <v>933</v>
      </c>
      <c r="E38" s="18" t="n">
        <v>13.54324178</v>
      </c>
      <c r="F38" s="20" t="n">
        <v>1.35775333</v>
      </c>
      <c r="G38" s="18" t="n">
        <v>82.5000331</v>
      </c>
      <c r="H38" s="20" t="n">
        <v>1.56606839</v>
      </c>
      <c r="I38" s="18" t="n">
        <v>0</v>
      </c>
      <c r="J38" s="20" t="n">
        <v>0</v>
      </c>
      <c r="K38" s="18" t="n">
        <v>2.90044425</v>
      </c>
      <c r="L38" s="20" t="n">
        <v>0.59039982</v>
      </c>
      <c r="M38" s="18" t="n">
        <v>0</v>
      </c>
      <c r="N38" s="20" t="n">
        <v>0</v>
      </c>
      <c r="O38" s="18" t="n">
        <v>0</v>
      </c>
      <c r="P38" s="20" t="n">
        <v>0</v>
      </c>
      <c r="Q38" s="18" t="n">
        <v>1.05628087</v>
      </c>
      <c r="R38" s="20" t="n">
        <v>0.3687627</v>
      </c>
    </row>
    <row r="39" spans="1:18">
      <c r="A39" s="15" t="s">
        <v>461</v>
      </c>
      <c r="B39" s="17" t="n">
        <v>5895</v>
      </c>
      <c r="C39" s="18">
        <f>(5173.0/B39*100)</f>
        <v/>
      </c>
      <c r="D39" s="19" t="n">
        <v>722</v>
      </c>
      <c r="E39" s="18" t="n">
        <v>29.04424421</v>
      </c>
      <c r="F39" s="20" t="n">
        <v>1.64241083</v>
      </c>
      <c r="G39" s="18" t="n">
        <v>69.10350464</v>
      </c>
      <c r="H39" s="20" t="n">
        <v>1.74231732</v>
      </c>
      <c r="I39" s="18" t="n">
        <v>0</v>
      </c>
      <c r="J39" s="20" t="n">
        <v>0</v>
      </c>
      <c r="K39" s="18" t="n">
        <v>1.2487298</v>
      </c>
      <c r="L39" s="20" t="n">
        <v>0.46062401</v>
      </c>
      <c r="M39" s="18" t="n">
        <v>0</v>
      </c>
      <c r="N39" s="20" t="n">
        <v>0</v>
      </c>
      <c r="O39" s="18" t="n">
        <v>0</v>
      </c>
      <c r="P39" s="20" t="n">
        <v>0</v>
      </c>
      <c r="Q39" s="18" t="n">
        <v>0.60352134</v>
      </c>
      <c r="R39" s="20" t="n">
        <v>0.26068131</v>
      </c>
    </row>
    <row r="40" spans="1:18">
      <c r="A40" s="15" t="s">
        <v>462</v>
      </c>
      <c r="B40" s="17" t="n">
        <v>14157</v>
      </c>
      <c r="C40" s="18">
        <f>(12451.0/B40*100)</f>
        <v/>
      </c>
      <c r="D40" s="19" t="n">
        <v>1706</v>
      </c>
      <c r="E40" s="18" t="n">
        <v>19.25864234</v>
      </c>
      <c r="F40" s="20" t="n">
        <v>1.53040295</v>
      </c>
      <c r="G40" s="18" t="n">
        <v>78.75210959</v>
      </c>
      <c r="H40" s="20" t="n">
        <v>1.52061664</v>
      </c>
      <c r="I40" s="18" t="n">
        <v>0</v>
      </c>
      <c r="J40" s="20" t="n">
        <v>0</v>
      </c>
      <c r="K40" s="18" t="n">
        <v>1.68857521</v>
      </c>
      <c r="L40" s="20" t="n">
        <v>0.36137809</v>
      </c>
      <c r="M40" s="18" t="n">
        <v>0</v>
      </c>
      <c r="N40" s="20" t="n">
        <v>0</v>
      </c>
      <c r="O40" s="18" t="n">
        <v>0</v>
      </c>
      <c r="P40" s="20" t="n">
        <v>0</v>
      </c>
      <c r="Q40" s="18" t="n">
        <v>0.30067286</v>
      </c>
      <c r="R40" s="20" t="n">
        <v>0.19202629</v>
      </c>
    </row>
    <row r="41" spans="1:18">
      <c r="A41" s="15" t="s">
        <v>463</v>
      </c>
      <c r="B41" s="17" t="n">
        <v>5712</v>
      </c>
      <c r="C41" s="18">
        <f>(5059.0/B41*100)</f>
        <v/>
      </c>
      <c r="D41" s="19" t="n">
        <v>653</v>
      </c>
      <c r="E41" s="18" t="n">
        <v>20.68778112</v>
      </c>
      <c r="F41" s="20" t="n">
        <v>1.82247193</v>
      </c>
      <c r="G41" s="18" t="n">
        <v>77.64178088</v>
      </c>
      <c r="H41" s="20" t="n">
        <v>2.0344813</v>
      </c>
      <c r="I41" s="18" t="n">
        <v>0</v>
      </c>
      <c r="J41" s="20" t="n">
        <v>0</v>
      </c>
      <c r="K41" s="18" t="n">
        <v>1.02531798</v>
      </c>
      <c r="L41" s="20" t="n">
        <v>0.3770768</v>
      </c>
      <c r="M41" s="18" t="n">
        <v>0</v>
      </c>
      <c r="N41" s="20" t="n">
        <v>0</v>
      </c>
      <c r="O41" s="18" t="n">
        <v>0</v>
      </c>
      <c r="P41" s="20" t="n">
        <v>0</v>
      </c>
      <c r="Q41" s="18" t="n">
        <v>0.64512002</v>
      </c>
      <c r="R41" s="20" t="n">
        <v>0.30548955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(21009.0/B46*100)</f>
        <v/>
      </c>
      <c r="D46" s="19" t="n">
        <v>2132</v>
      </c>
      <c r="E46" s="18" t="n">
        <v>34.23596279</v>
      </c>
      <c r="F46" s="20" t="n">
        <v>1.32261103</v>
      </c>
      <c r="G46" s="18" t="n">
        <v>61.22329458</v>
      </c>
      <c r="H46" s="20" t="n">
        <v>1.25148722</v>
      </c>
      <c r="I46" s="18" t="n">
        <v>0</v>
      </c>
      <c r="J46" s="20" t="n">
        <v>0</v>
      </c>
      <c r="K46" s="18" t="n">
        <v>3.12078318</v>
      </c>
      <c r="L46" s="20" t="n">
        <v>0.50924365</v>
      </c>
      <c r="M46" s="18" t="n">
        <v>0</v>
      </c>
      <c r="N46" s="20" t="n">
        <v>0</v>
      </c>
      <c r="O46" s="18" t="n">
        <v>0</v>
      </c>
      <c r="P46" s="20" t="n">
        <v>0</v>
      </c>
      <c r="Q46" s="18" t="n">
        <v>1.41995945</v>
      </c>
      <c r="R46" s="20" t="n">
        <v>0.38606781</v>
      </c>
    </row>
    <row r="47" spans="1:18">
      <c r="A47" s="15" t="s">
        <v>470</v>
      </c>
      <c r="B47" s="17" t="n">
        <v>5928</v>
      </c>
      <c r="C47" s="18">
        <f>(5250.0/B47*100)</f>
        <v/>
      </c>
      <c r="D47" s="19" t="n">
        <v>678</v>
      </c>
      <c r="E47" s="18" t="n">
        <v>29.22281886</v>
      </c>
      <c r="F47" s="20" t="n">
        <v>1.71760012</v>
      </c>
      <c r="G47" s="18" t="n">
        <v>68.14767002000001</v>
      </c>
      <c r="H47" s="20" t="n">
        <v>1.77609159</v>
      </c>
      <c r="I47" s="18" t="n">
        <v>0</v>
      </c>
      <c r="J47" s="20" t="n">
        <v>0</v>
      </c>
      <c r="K47" s="18" t="n">
        <v>2.21226536</v>
      </c>
      <c r="L47" s="20" t="n">
        <v>0.60809312</v>
      </c>
      <c r="M47" s="18" t="n">
        <v>0</v>
      </c>
      <c r="N47" s="20" t="n">
        <v>0</v>
      </c>
      <c r="O47" s="18" t="n">
        <v>0</v>
      </c>
      <c r="P47" s="20" t="n">
        <v>0</v>
      </c>
      <c r="Q47" s="18" t="n">
        <v>0.41724576</v>
      </c>
      <c r="R47" s="20" t="n">
        <v>0.23997042</v>
      </c>
    </row>
    <row r="48" spans="1:18">
      <c r="A48" s="15" t="s">
        <v>471</v>
      </c>
      <c r="B48" s="17" t="n">
        <v>9841</v>
      </c>
      <c r="C48" s="18">
        <f>(8608.0/B48*100)</f>
        <v/>
      </c>
      <c r="D48" s="19" t="n">
        <v>1233</v>
      </c>
      <c r="E48" s="18" t="n">
        <v>15.21794606</v>
      </c>
      <c r="F48" s="20" t="n">
        <v>1.2255167</v>
      </c>
      <c r="G48" s="18" t="n">
        <v>83.64052981</v>
      </c>
      <c r="H48" s="20" t="n">
        <v>1.32069627</v>
      </c>
      <c r="I48" s="18" t="n">
        <v>0</v>
      </c>
      <c r="J48" s="20" t="n">
        <v>0</v>
      </c>
      <c r="K48" s="18" t="n">
        <v>1.08757991</v>
      </c>
      <c r="L48" s="20" t="n">
        <v>0.46131876</v>
      </c>
      <c r="M48" s="18" t="n">
        <v>0</v>
      </c>
      <c r="N48" s="20" t="n">
        <v>0</v>
      </c>
      <c r="O48" s="18" t="n">
        <v>0</v>
      </c>
      <c r="P48" s="20" t="n">
        <v>0</v>
      </c>
      <c r="Q48" s="18" t="n">
        <v>0.05394422</v>
      </c>
      <c r="R48" s="20" t="n">
        <v>0.03947039</v>
      </c>
    </row>
    <row r="49" spans="1:18">
      <c r="A49" s="15" t="s">
        <v>472</v>
      </c>
      <c r="B49" s="17" t="n">
        <v>11795</v>
      </c>
      <c r="C49" s="18">
        <f>(10441.0/B49*100)</f>
        <v/>
      </c>
      <c r="D49" s="19" t="n">
        <v>1354</v>
      </c>
      <c r="E49" s="18" t="n">
        <v>24.84267134</v>
      </c>
      <c r="F49" s="20" t="n">
        <v>1.50284659</v>
      </c>
      <c r="G49" s="18" t="n">
        <v>69.58928189</v>
      </c>
      <c r="H49" s="20" t="n">
        <v>1.66826658</v>
      </c>
      <c r="I49" s="18" t="n">
        <v>0</v>
      </c>
      <c r="J49" s="20" t="n">
        <v>0</v>
      </c>
      <c r="K49" s="18" t="n">
        <v>4.71735196</v>
      </c>
      <c r="L49" s="20" t="n">
        <v>0.77504527</v>
      </c>
      <c r="M49" s="18" t="n">
        <v>0</v>
      </c>
      <c r="N49" s="20" t="n">
        <v>0</v>
      </c>
      <c r="O49" s="18" t="n">
        <v>0</v>
      </c>
      <c r="P49" s="20" t="n">
        <v>0</v>
      </c>
      <c r="Q49" s="18" t="n">
        <v>0.85069481</v>
      </c>
      <c r="R49" s="20" t="n">
        <v>0.3776985</v>
      </c>
    </row>
    <row r="50" spans="1:18">
      <c r="A50" s="15" t="s">
        <v>473</v>
      </c>
      <c r="B50" s="17" t="n">
        <v>6866</v>
      </c>
      <c r="C50" s="18">
        <f>(6194.0/B50*100)</f>
        <v/>
      </c>
      <c r="D50" s="19" t="n">
        <v>672</v>
      </c>
      <c r="E50" s="18" t="n">
        <v>21.78687998</v>
      </c>
      <c r="F50" s="20" t="n">
        <v>1.66518953</v>
      </c>
      <c r="G50" s="18" t="n">
        <v>75.96240988</v>
      </c>
      <c r="H50" s="20" t="n">
        <v>1.86542608</v>
      </c>
      <c r="I50" s="18" t="n">
        <v>0</v>
      </c>
      <c r="J50" s="20" t="n">
        <v>0</v>
      </c>
      <c r="K50" s="18" t="n">
        <v>1.57564749</v>
      </c>
      <c r="L50" s="20" t="n">
        <v>0.54533517</v>
      </c>
      <c r="M50" s="18" t="n">
        <v>0</v>
      </c>
      <c r="N50" s="20" t="n">
        <v>0</v>
      </c>
      <c r="O50" s="18" t="n">
        <v>0</v>
      </c>
      <c r="P50" s="20" t="n">
        <v>0</v>
      </c>
      <c r="Q50" s="18" t="n">
        <v>0.67506265</v>
      </c>
      <c r="R50" s="20" t="n">
        <v>0.31991213</v>
      </c>
    </row>
    <row r="51" spans="1:18">
      <c r="A51" s="15" t="s">
        <v>474</v>
      </c>
      <c r="B51" s="17" t="n">
        <v>5809</v>
      </c>
      <c r="C51" s="18">
        <f>(5105.0/B51*100)</f>
        <v/>
      </c>
      <c r="D51" s="19" t="n">
        <v>704</v>
      </c>
      <c r="E51" s="18" t="n">
        <v>19.78037656</v>
      </c>
      <c r="F51" s="20" t="n">
        <v>1.42550805</v>
      </c>
      <c r="G51" s="18" t="n">
        <v>78.59764076</v>
      </c>
      <c r="H51" s="20" t="n">
        <v>1.46398746</v>
      </c>
      <c r="I51" s="18" t="n">
        <v>0</v>
      </c>
      <c r="J51" s="20" t="n">
        <v>0</v>
      </c>
      <c r="K51" s="18" t="n">
        <v>1.25956843</v>
      </c>
      <c r="L51" s="20" t="n">
        <v>0.42278914</v>
      </c>
      <c r="M51" s="18" t="n">
        <v>0</v>
      </c>
      <c r="N51" s="20" t="n">
        <v>0</v>
      </c>
      <c r="O51" s="18" t="n">
        <v>0</v>
      </c>
      <c r="P51" s="20" t="n">
        <v>0</v>
      </c>
      <c r="Q51" s="18" t="n">
        <v>0.36241425</v>
      </c>
      <c r="R51" s="20" t="n">
        <v>0.20186019</v>
      </c>
    </row>
    <row r="52" spans="1:18">
      <c r="A52" s="15" t="s">
        <v>475</v>
      </c>
      <c r="B52" s="17" t="n">
        <v>5571</v>
      </c>
      <c r="C52" s="18">
        <f>(4917.0/B52*100)</f>
        <v/>
      </c>
      <c r="D52" s="19" t="n">
        <v>654</v>
      </c>
      <c r="E52" s="18" t="n">
        <v>32.82706554</v>
      </c>
      <c r="F52" s="20" t="n">
        <v>1.96652452</v>
      </c>
      <c r="G52" s="18" t="n">
        <v>64.01639566999999</v>
      </c>
      <c r="H52" s="20" t="n">
        <v>2.07478263</v>
      </c>
      <c r="I52" s="18" t="n">
        <v>0</v>
      </c>
      <c r="J52" s="20" t="n">
        <v>0</v>
      </c>
      <c r="K52" s="18" t="n">
        <v>2.51773769</v>
      </c>
      <c r="L52" s="20" t="n">
        <v>0.60884413</v>
      </c>
      <c r="M52" s="18" t="n">
        <v>0</v>
      </c>
      <c r="N52" s="20" t="n">
        <v>0</v>
      </c>
      <c r="O52" s="18" t="n">
        <v>0</v>
      </c>
      <c r="P52" s="20" t="n">
        <v>0</v>
      </c>
      <c r="Q52" s="18" t="n">
        <v>0.6388011099999999</v>
      </c>
      <c r="R52" s="20" t="n">
        <v>0.32819345</v>
      </c>
    </row>
    <row r="53" spans="1:18">
      <c r="A53" s="15" t="s">
        <v>476</v>
      </c>
      <c r="B53" s="17" t="n">
        <v>4740</v>
      </c>
      <c r="C53" s="18">
        <f>(3949.0/B53*100)</f>
        <v/>
      </c>
      <c r="D53" s="19" t="n">
        <v>791</v>
      </c>
      <c r="E53" s="18" t="n">
        <v>35.8060312</v>
      </c>
      <c r="F53" s="20" t="n">
        <v>1.66827051</v>
      </c>
      <c r="G53" s="18" t="n">
        <v>39.51253549</v>
      </c>
      <c r="H53" s="20" t="n">
        <v>1.78085328</v>
      </c>
      <c r="I53" s="18" t="n">
        <v>0</v>
      </c>
      <c r="J53" s="20" t="n">
        <v>0</v>
      </c>
      <c r="K53" s="18" t="n">
        <v>23.68543293</v>
      </c>
      <c r="L53" s="20" t="n">
        <v>1.60176192</v>
      </c>
      <c r="M53" s="18" t="n">
        <v>0</v>
      </c>
      <c r="N53" s="20" t="n">
        <v>0</v>
      </c>
      <c r="O53" s="18" t="n">
        <v>0</v>
      </c>
      <c r="P53" s="20" t="n">
        <v>0</v>
      </c>
      <c r="Q53" s="18" t="n">
        <v>0.99600038</v>
      </c>
      <c r="R53" s="20" t="n">
        <v>0.34480045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(4699.0/B55*100)</f>
        <v/>
      </c>
      <c r="D55" s="19" t="n">
        <v>660</v>
      </c>
      <c r="E55" s="18" t="n">
        <v>11.19296192</v>
      </c>
      <c r="F55" s="20" t="n">
        <v>1.37202191</v>
      </c>
      <c r="G55" s="18" t="n">
        <v>88.17719418</v>
      </c>
      <c r="H55" s="20" t="n">
        <v>1.36809215</v>
      </c>
      <c r="I55" s="18" t="n">
        <v>0</v>
      </c>
      <c r="J55" s="20" t="n">
        <v>0</v>
      </c>
      <c r="K55" s="18" t="n">
        <v>0.50233304</v>
      </c>
      <c r="L55" s="20" t="n">
        <v>0.29281905</v>
      </c>
      <c r="M55" s="18" t="n">
        <v>0</v>
      </c>
      <c r="N55" s="20" t="n">
        <v>0</v>
      </c>
      <c r="O55" s="18" t="n">
        <v>0</v>
      </c>
      <c r="P55" s="20" t="n">
        <v>0</v>
      </c>
      <c r="Q55" s="18" t="n">
        <v>0.12751087</v>
      </c>
      <c r="R55" s="20" t="n">
        <v>0.13099839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(5751.0/B61*100)</f>
        <v/>
      </c>
      <c r="D61" s="19" t="n">
        <v>774</v>
      </c>
      <c r="E61" s="18" t="n">
        <v>12.54962399</v>
      </c>
      <c r="F61" s="20" t="n">
        <v>1.72732972</v>
      </c>
      <c r="G61" s="18" t="n">
        <v>85.75938327</v>
      </c>
      <c r="H61" s="20" t="n">
        <v>1.79610214</v>
      </c>
      <c r="I61" s="18" t="n">
        <v>0</v>
      </c>
      <c r="J61" s="20" t="n">
        <v>0</v>
      </c>
      <c r="K61" s="18" t="n">
        <v>1.08791777</v>
      </c>
      <c r="L61" s="20" t="n">
        <v>0.36256676</v>
      </c>
      <c r="M61" s="18" t="n">
        <v>0</v>
      </c>
      <c r="N61" s="20" t="n">
        <v>0</v>
      </c>
      <c r="O61" s="18" t="n">
        <v>0</v>
      </c>
      <c r="P61" s="20" t="n">
        <v>0</v>
      </c>
      <c r="Q61" s="18" t="n">
        <v>0.60307498</v>
      </c>
      <c r="R61" s="20" t="n">
        <v>0.29690012</v>
      </c>
    </row>
    <row r="62" spans="1:18">
      <c r="A62" s="15" t="s">
        <v>486</v>
      </c>
      <c r="B62" s="17" t="n">
        <v>4476</v>
      </c>
      <c r="C62" s="18">
        <f>(3953.0/B62*100)</f>
        <v/>
      </c>
      <c r="D62" s="19" t="n">
        <v>523</v>
      </c>
      <c r="E62" s="18" t="n">
        <v>13.45631421</v>
      </c>
      <c r="F62" s="20" t="n">
        <v>1.53700943</v>
      </c>
      <c r="G62" s="18" t="n">
        <v>86.54368579</v>
      </c>
      <c r="H62" s="20" t="n">
        <v>1.53700943</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(5003.0/B67*100)</f>
        <v/>
      </c>
      <c r="D67" s="19" t="n">
        <v>662</v>
      </c>
      <c r="E67" s="18" t="n">
        <v>32.16124673</v>
      </c>
      <c r="F67" s="20" t="n">
        <v>2.20014545</v>
      </c>
      <c r="G67" s="18" t="n">
        <v>61.6491407</v>
      </c>
      <c r="H67" s="20" t="n">
        <v>2.20160995</v>
      </c>
      <c r="I67" s="18" t="n">
        <v>0</v>
      </c>
      <c r="J67" s="20" t="n">
        <v>0</v>
      </c>
      <c r="K67" s="18" t="n">
        <v>4.72778493</v>
      </c>
      <c r="L67" s="20" t="n">
        <v>0.72465539</v>
      </c>
      <c r="M67" s="18" t="n">
        <v>0</v>
      </c>
      <c r="N67" s="20" t="n">
        <v>0</v>
      </c>
      <c r="O67" s="18" t="n">
        <v>0</v>
      </c>
      <c r="P67" s="20" t="n">
        <v>0</v>
      </c>
      <c r="Q67" s="18" t="n">
        <v>1.46182765</v>
      </c>
      <c r="R67" s="20" t="n">
        <v>0.46125708</v>
      </c>
    </row>
    <row r="68" spans="1:18">
      <c r="A68" s="15" t="s">
        <v>492</v>
      </c>
      <c r="B68" s="17" t="n">
        <v>6971</v>
      </c>
      <c r="C68" s="18">
        <f>(6294.0/B68*100)</f>
        <v/>
      </c>
      <c r="D68" s="19" t="n">
        <v>677</v>
      </c>
      <c r="E68" s="18" t="n">
        <v>27.05342544</v>
      </c>
      <c r="F68" s="20" t="n">
        <v>1.82758357</v>
      </c>
      <c r="G68" s="18" t="n">
        <v>69.98426084</v>
      </c>
      <c r="H68" s="20" t="n">
        <v>1.94966103</v>
      </c>
      <c r="I68" s="18" t="n">
        <v>0</v>
      </c>
      <c r="J68" s="20" t="n">
        <v>0</v>
      </c>
      <c r="K68" s="18" t="n">
        <v>1.4514889</v>
      </c>
      <c r="L68" s="20" t="n">
        <v>0.42635851</v>
      </c>
      <c r="M68" s="18" t="n">
        <v>0</v>
      </c>
      <c r="N68" s="20" t="n">
        <v>0</v>
      </c>
      <c r="O68" s="18" t="n">
        <v>0</v>
      </c>
      <c r="P68" s="20" t="n">
        <v>0</v>
      </c>
      <c r="Q68" s="18" t="n">
        <v>1.51082482</v>
      </c>
      <c r="R68" s="20" t="n">
        <v>0.51642191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(10073.0/B70*100)</f>
        <v/>
      </c>
      <c r="D70" s="19" t="n">
        <v>2010</v>
      </c>
      <c r="E70" s="18" t="n">
        <v>33.27250601</v>
      </c>
      <c r="F70" s="20" t="n">
        <v>1.11079662</v>
      </c>
      <c r="G70" s="18" t="n">
        <v>59.07613597</v>
      </c>
      <c r="H70" s="20" t="n">
        <v>1.10929306</v>
      </c>
      <c r="I70" s="18" t="n">
        <v>0</v>
      </c>
      <c r="J70" s="20" t="n">
        <v>0</v>
      </c>
      <c r="K70" s="18" t="n">
        <v>6.59073733</v>
      </c>
      <c r="L70" s="20" t="n">
        <v>0.58545258</v>
      </c>
      <c r="M70" s="18" t="n">
        <v>0</v>
      </c>
      <c r="N70" s="20" t="n">
        <v>0</v>
      </c>
      <c r="O70" s="18" t="n">
        <v>0</v>
      </c>
      <c r="P70" s="20" t="n">
        <v>0</v>
      </c>
      <c r="Q70" s="18" t="n">
        <v>1.06062068</v>
      </c>
      <c r="R70" s="20" t="n">
        <v>0.22965683</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(5353.0/B72*100)</f>
        <v/>
      </c>
      <c r="D72" s="19" t="n">
        <v>683</v>
      </c>
      <c r="E72" s="18" t="n">
        <v>14.21301079</v>
      </c>
      <c r="F72" s="20" t="n">
        <v>1.51984669</v>
      </c>
      <c r="G72" s="18" t="n">
        <v>83.74081406000001</v>
      </c>
      <c r="H72" s="20" t="n">
        <v>1.5821892</v>
      </c>
      <c r="I72" s="18" t="n">
        <v>0</v>
      </c>
      <c r="J72" s="20" t="n">
        <v>0</v>
      </c>
      <c r="K72" s="18" t="n">
        <v>2.04617516</v>
      </c>
      <c r="L72" s="20" t="n">
        <v>0.58697025</v>
      </c>
      <c r="M72" s="18" t="n">
        <v>0</v>
      </c>
      <c r="N72" s="20" t="n">
        <v>0</v>
      </c>
      <c r="O72" s="18" t="n">
        <v>0</v>
      </c>
      <c r="P72" s="20" t="n">
        <v>0</v>
      </c>
      <c r="Q72" s="18" t="n">
        <v>0</v>
      </c>
      <c r="R72" s="20" t="n">
        <v>0</v>
      </c>
    </row>
    <row r="73" spans="1:18">
      <c r="A73" s="15" t="s">
        <v>497</v>
      </c>
      <c r="B73" s="17" t="n">
        <v>6115</v>
      </c>
      <c r="C73" s="18">
        <f>(5362.0/B73*100)</f>
        <v/>
      </c>
      <c r="D73" s="19" t="n">
        <v>753</v>
      </c>
      <c r="E73" s="18" t="n">
        <v>18.19646679</v>
      </c>
      <c r="F73" s="20" t="n">
        <v>1.31109821</v>
      </c>
      <c r="G73" s="18" t="n">
        <v>81.38546943999999</v>
      </c>
      <c r="H73" s="20" t="n">
        <v>1.32525399</v>
      </c>
      <c r="I73" s="18" t="n">
        <v>0</v>
      </c>
      <c r="J73" s="20" t="n">
        <v>0</v>
      </c>
      <c r="K73" s="18" t="n">
        <v>0.29386489</v>
      </c>
      <c r="L73" s="20" t="n">
        <v>0.18062203</v>
      </c>
      <c r="M73" s="18" t="n">
        <v>0</v>
      </c>
      <c r="N73" s="20" t="n">
        <v>0</v>
      </c>
      <c r="O73" s="18" t="n">
        <v>0</v>
      </c>
      <c r="P73" s="20" t="n">
        <v>0</v>
      </c>
      <c r="Q73" s="18" t="n">
        <v>0.12419888</v>
      </c>
      <c r="R73" s="20" t="n">
        <v>0.1243277</v>
      </c>
    </row>
    <row r="74" spans="1:18">
      <c r="A74" s="15" t="s">
        <v>498</v>
      </c>
      <c r="B74" s="17" t="n">
        <v>7708</v>
      </c>
      <c r="C74" s="18">
        <f>(6767.0/B74*100)</f>
        <v/>
      </c>
      <c r="D74" s="19" t="n">
        <v>941</v>
      </c>
      <c r="E74" s="18" t="n">
        <v>11.3416309</v>
      </c>
      <c r="F74" s="20" t="n">
        <v>1.00165744</v>
      </c>
      <c r="G74" s="18" t="n">
        <v>88.2207267</v>
      </c>
      <c r="H74" s="20" t="n">
        <v>1.00837009</v>
      </c>
      <c r="I74" s="18" t="n">
        <v>0</v>
      </c>
      <c r="J74" s="20" t="n">
        <v>0</v>
      </c>
      <c r="K74" s="18" t="n">
        <v>0.4376424</v>
      </c>
      <c r="L74" s="20" t="n">
        <v>0.22513618</v>
      </c>
      <c r="M74" s="18" t="n">
        <v>0</v>
      </c>
      <c r="N74" s="20" t="n">
        <v>0</v>
      </c>
      <c r="O74" s="18" t="n">
        <v>0</v>
      </c>
      <c r="P74" s="20" t="n">
        <v>0</v>
      </c>
      <c r="Q74" s="18" t="n">
        <v>0</v>
      </c>
      <c r="R74" s="20" t="n">
        <v>0</v>
      </c>
    </row>
    <row r="75" spans="1:18">
      <c r="A75" s="15" t="s">
        <v>499</v>
      </c>
      <c r="B75" s="17" t="n">
        <v>8249</v>
      </c>
      <c r="C75" s="18">
        <f>(7323.0/B75*100)</f>
        <v/>
      </c>
      <c r="D75" s="19" t="n">
        <v>926</v>
      </c>
      <c r="E75" s="18" t="n">
        <v>34.9851611</v>
      </c>
      <c r="F75" s="20" t="n">
        <v>2.02008661</v>
      </c>
      <c r="G75" s="18" t="n">
        <v>64.21991438000001</v>
      </c>
      <c r="H75" s="20" t="n">
        <v>2.01592564</v>
      </c>
      <c r="I75" s="18" t="n">
        <v>0</v>
      </c>
      <c r="J75" s="20" t="n">
        <v>0</v>
      </c>
      <c r="K75" s="18" t="n">
        <v>0.01100633</v>
      </c>
      <c r="L75" s="20" t="n">
        <v>0.007981200000000001</v>
      </c>
      <c r="M75" s="18" t="n">
        <v>0</v>
      </c>
      <c r="N75" s="20" t="n">
        <v>0</v>
      </c>
      <c r="O75" s="18" t="n">
        <v>0</v>
      </c>
      <c r="P75" s="20" t="n">
        <v>0</v>
      </c>
      <c r="Q75" s="18" t="n">
        <v>0.7839182</v>
      </c>
      <c r="R75" s="20" t="n">
        <v>0.36679415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(4810.0/B77*100)</f>
        <v/>
      </c>
      <c r="D77" s="19" t="n">
        <v>565</v>
      </c>
      <c r="E77" s="18" t="n">
        <v>34.02720194</v>
      </c>
      <c r="F77" s="20" t="n">
        <v>2.13237051</v>
      </c>
      <c r="G77" s="18" t="n">
        <v>56.19888162</v>
      </c>
      <c r="H77" s="20" t="n">
        <v>2.31868138</v>
      </c>
      <c r="I77" s="18" t="n">
        <v>0</v>
      </c>
      <c r="J77" s="20" t="n">
        <v>0</v>
      </c>
      <c r="K77" s="18" t="n">
        <v>7.99372593</v>
      </c>
      <c r="L77" s="20" t="n">
        <v>1.2651647</v>
      </c>
      <c r="M77" s="18" t="n">
        <v>0</v>
      </c>
      <c r="N77" s="20" t="n">
        <v>0</v>
      </c>
      <c r="O77" s="18" t="n">
        <v>0</v>
      </c>
      <c r="P77" s="20" t="n">
        <v>0</v>
      </c>
      <c r="Q77" s="18" t="n">
        <v>1.78019051</v>
      </c>
      <c r="R77" s="20" t="n">
        <v>0.62009937</v>
      </c>
    </row>
    <row r="78" spans="1:18">
      <c r="A78" s="15" t="s">
        <v>502</v>
      </c>
      <c r="B78" s="17" t="n">
        <v>14167</v>
      </c>
      <c r="C78" s="18">
        <f>(12455.0/B78*100)</f>
        <v/>
      </c>
      <c r="D78" s="19" t="n">
        <v>1712</v>
      </c>
      <c r="E78" s="18" t="n">
        <v>29.60829697</v>
      </c>
      <c r="F78" s="20" t="n">
        <v>1.14510492</v>
      </c>
      <c r="G78" s="18" t="n">
        <v>67.25161771</v>
      </c>
      <c r="H78" s="20" t="n">
        <v>1.27556906</v>
      </c>
      <c r="I78" s="18" t="n">
        <v>0</v>
      </c>
      <c r="J78" s="20" t="n">
        <v>0</v>
      </c>
      <c r="K78" s="18" t="n">
        <v>2.3689603</v>
      </c>
      <c r="L78" s="20" t="n">
        <v>0.38748407</v>
      </c>
      <c r="M78" s="18" t="n">
        <v>0</v>
      </c>
      <c r="N78" s="20" t="n">
        <v>0</v>
      </c>
      <c r="O78" s="18" t="n">
        <v>0</v>
      </c>
      <c r="P78" s="20" t="n">
        <v>0</v>
      </c>
      <c r="Q78" s="18" t="n">
        <v>0.77112503</v>
      </c>
      <c r="R78" s="20" t="n">
        <v>0.17648914</v>
      </c>
    </row>
    <row r="79" spans="1:18">
      <c r="A79" s="15" t="s">
        <v>503</v>
      </c>
      <c r="B79" s="17" t="n">
        <v>6062</v>
      </c>
      <c r="C79" s="18">
        <f>(5416.0/B79*100)</f>
        <v/>
      </c>
      <c r="D79" s="19" t="n">
        <v>646</v>
      </c>
      <c r="E79" s="18" t="n">
        <v>23.19477504</v>
      </c>
      <c r="F79" s="20" t="n">
        <v>1.62650488</v>
      </c>
      <c r="G79" s="18" t="n">
        <v>67.52204965999999</v>
      </c>
      <c r="H79" s="20" t="n">
        <v>1.70180054</v>
      </c>
      <c r="I79" s="18" t="n">
        <v>0</v>
      </c>
      <c r="J79" s="20" t="n">
        <v>0</v>
      </c>
      <c r="K79" s="18" t="n">
        <v>8.032172600000001</v>
      </c>
      <c r="L79" s="20" t="n">
        <v>1.15493475</v>
      </c>
      <c r="M79" s="18" t="n">
        <v>0</v>
      </c>
      <c r="N79" s="20" t="n">
        <v>0</v>
      </c>
      <c r="O79" s="18" t="n">
        <v>0</v>
      </c>
      <c r="P79" s="20" t="n">
        <v>0</v>
      </c>
      <c r="Q79" s="18" t="n">
        <v>1.25100269</v>
      </c>
      <c r="R79" s="20" t="n">
        <v>0.43298965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(28552.0/B82*100)</f>
        <v/>
      </c>
      <c r="D82" s="19" t="n">
        <v>3778</v>
      </c>
      <c r="E82" s="18" t="n">
        <v>17.25821662</v>
      </c>
      <c r="F82" s="20" t="n">
        <v>0.69709667</v>
      </c>
      <c r="G82" s="18" t="n">
        <v>61.78658081</v>
      </c>
      <c r="H82" s="20" t="n">
        <v>0.94711703</v>
      </c>
      <c r="I82" s="18" t="n">
        <v>0</v>
      </c>
      <c r="J82" s="20" t="n">
        <v>0</v>
      </c>
      <c r="K82" s="18" t="n">
        <v>1.59295284</v>
      </c>
      <c r="L82" s="20" t="n">
        <v>0.26962106</v>
      </c>
      <c r="M82" s="18" t="n">
        <v>19.09010323</v>
      </c>
      <c r="N82" s="20" t="n">
        <v>0.71129864</v>
      </c>
      <c r="O82" s="18" t="n">
        <v>0</v>
      </c>
      <c r="P82" s="20" t="n">
        <v>0</v>
      </c>
      <c r="Q82" s="18" t="n">
        <v>0.2721465</v>
      </c>
      <c r="R82" s="20" t="n">
        <v>0.13660322</v>
      </c>
    </row>
    <row r="83" spans="1:18">
      <c r="A83" s="15" t="s">
        <v>507</v>
      </c>
      <c r="B83" s="17" t="n">
        <v>1652</v>
      </c>
      <c r="C83" s="18">
        <f>(1464.0/B83*100)</f>
        <v/>
      </c>
      <c r="D83" s="19" t="n">
        <v>188</v>
      </c>
      <c r="E83" s="18" t="n">
        <v>13.67845254</v>
      </c>
      <c r="F83" s="20" t="n">
        <v>2.68208119</v>
      </c>
      <c r="G83" s="18" t="n">
        <v>85.74610505</v>
      </c>
      <c r="H83" s="20" t="n">
        <v>2.7520623</v>
      </c>
      <c r="I83" s="18" t="n">
        <v>0</v>
      </c>
      <c r="J83" s="20" t="n">
        <v>0</v>
      </c>
      <c r="K83" s="18" t="n">
        <v>0.5754424</v>
      </c>
      <c r="L83" s="20" t="n">
        <v>0.61295659</v>
      </c>
      <c r="M83" s="18" t="n">
        <v>0</v>
      </c>
      <c r="N83" s="20" t="n">
        <v>0</v>
      </c>
      <c r="O83" s="18" t="n">
        <v>0</v>
      </c>
      <c r="P83" s="20" t="n">
        <v>0</v>
      </c>
      <c r="Q83" s="18" t="n">
        <v>0</v>
      </c>
      <c r="R83" s="20" t="n">
        <v>0</v>
      </c>
    </row>
    <row r="84" spans="1:18">
      <c r="A84" s="23" t="s">
        <v>508</v>
      </c>
      <c r="B84" s="24" t="n">
        <v>1887</v>
      </c>
      <c r="C84" s="25">
        <f>(1659.0/B84*100)</f>
        <v/>
      </c>
      <c r="D84" s="19" t="n">
        <v>228</v>
      </c>
      <c r="E84" s="18" t="n">
        <v>16.3463598</v>
      </c>
      <c r="F84" s="20" t="n">
        <v>2.7932341</v>
      </c>
      <c r="G84" s="18" t="n">
        <v>82.61882070999999</v>
      </c>
      <c r="H84" s="20" t="n">
        <v>2.75471</v>
      </c>
      <c r="I84" s="18" t="n">
        <v>0</v>
      </c>
      <c r="J84" s="20" t="n">
        <v>0</v>
      </c>
      <c r="K84" s="18" t="n">
        <v>1.03481949</v>
      </c>
      <c r="L84" s="20" t="n">
        <v>0.71452459</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(12774.0/B7*100)</f>
        <v/>
      </c>
      <c r="D7" s="19" t="n">
        <v>1756</v>
      </c>
      <c r="E7" s="18" t="n">
        <v>44.43349993</v>
      </c>
      <c r="F7" s="20" t="n">
        <v>1.20193056</v>
      </c>
      <c r="G7" s="18" t="n">
        <v>53.65342738</v>
      </c>
      <c r="H7" s="20" t="n">
        <v>1.19047169</v>
      </c>
      <c r="I7" s="18" t="n">
        <v>0</v>
      </c>
      <c r="J7" s="20" t="n">
        <v>0</v>
      </c>
      <c r="K7" s="18" t="n">
        <v>1.9130727</v>
      </c>
      <c r="L7" s="20" t="n">
        <v>0.37467712</v>
      </c>
      <c r="M7" s="18" t="n">
        <v>0</v>
      </c>
      <c r="N7" s="20" t="n">
        <v>0</v>
      </c>
      <c r="O7" s="18" t="n">
        <v>0</v>
      </c>
      <c r="P7" s="20" t="n">
        <v>0</v>
      </c>
      <c r="Q7" s="18" t="n">
        <v>0</v>
      </c>
      <c r="R7" s="20" t="n">
        <v>0</v>
      </c>
    </row>
    <row r="8" spans="1:18">
      <c r="A8" s="15" t="s">
        <v>430</v>
      </c>
      <c r="B8" s="17" t="n">
        <v>7007</v>
      </c>
      <c r="C8" s="18">
        <f>(6182.0/B8*100)</f>
        <v/>
      </c>
      <c r="D8" s="19" t="n">
        <v>825</v>
      </c>
      <c r="E8" s="18" t="n">
        <v>27.52659069</v>
      </c>
      <c r="F8" s="20" t="n">
        <v>1.62726247</v>
      </c>
      <c r="G8" s="18" t="n">
        <v>69.64984649</v>
      </c>
      <c r="H8" s="20" t="n">
        <v>1.75233406</v>
      </c>
      <c r="I8" s="18" t="n">
        <v>0</v>
      </c>
      <c r="J8" s="20" t="n">
        <v>0</v>
      </c>
      <c r="K8" s="18" t="n">
        <v>2.82356282</v>
      </c>
      <c r="L8" s="20" t="n">
        <v>0.63451926</v>
      </c>
      <c r="M8" s="18" t="n">
        <v>0</v>
      </c>
      <c r="N8" s="20" t="n">
        <v>0</v>
      </c>
      <c r="O8" s="18" t="n">
        <v>0</v>
      </c>
      <c r="P8" s="20" t="n">
        <v>0</v>
      </c>
      <c r="Q8" s="18" t="n">
        <v>0</v>
      </c>
      <c r="R8" s="20" t="n">
        <v>0</v>
      </c>
    </row>
    <row r="9" spans="1:18">
      <c r="A9" s="15" t="s">
        <v>431</v>
      </c>
      <c r="B9" s="17" t="n">
        <v>9651</v>
      </c>
      <c r="C9" s="18">
        <f>(8551.0/B9*100)</f>
        <v/>
      </c>
      <c r="D9" s="19" t="n">
        <v>1100</v>
      </c>
      <c r="E9" s="18" t="n">
        <v>29.90384491</v>
      </c>
      <c r="F9" s="20" t="n">
        <v>1.29531933</v>
      </c>
      <c r="G9" s="18" t="n">
        <v>66.44600703</v>
      </c>
      <c r="H9" s="20" t="n">
        <v>1.3509683</v>
      </c>
      <c r="I9" s="18" t="n">
        <v>0</v>
      </c>
      <c r="J9" s="20" t="n">
        <v>0</v>
      </c>
      <c r="K9" s="18" t="n">
        <v>3.65014806</v>
      </c>
      <c r="L9" s="20" t="n">
        <v>0.58126755</v>
      </c>
      <c r="M9" s="18" t="n">
        <v>0</v>
      </c>
      <c r="N9" s="20" t="n">
        <v>0</v>
      </c>
      <c r="O9" s="18" t="n">
        <v>0</v>
      </c>
      <c r="P9" s="20" t="n">
        <v>0</v>
      </c>
      <c r="Q9" s="18" t="n">
        <v>0</v>
      </c>
      <c r="R9" s="20" t="n">
        <v>0</v>
      </c>
    </row>
    <row r="10" spans="1:18">
      <c r="A10" s="15" t="s">
        <v>432</v>
      </c>
      <c r="B10" s="17" t="n">
        <v>20058</v>
      </c>
      <c r="C10" s="18">
        <f>(17673.0/B10*100)</f>
        <v/>
      </c>
      <c r="D10" s="19" t="n">
        <v>2385</v>
      </c>
      <c r="E10" s="18" t="n">
        <v>40.13021058</v>
      </c>
      <c r="F10" s="20" t="n">
        <v>1.43529376</v>
      </c>
      <c r="G10" s="18" t="n">
        <v>58.01130395</v>
      </c>
      <c r="H10" s="20" t="n">
        <v>1.45395139</v>
      </c>
      <c r="I10" s="18" t="n">
        <v>0</v>
      </c>
      <c r="J10" s="20" t="n">
        <v>0</v>
      </c>
      <c r="K10" s="18" t="n">
        <v>1.85848547</v>
      </c>
      <c r="L10" s="20" t="n">
        <v>0.44563458</v>
      </c>
      <c r="M10" s="18" t="n">
        <v>0</v>
      </c>
      <c r="N10" s="20" t="n">
        <v>0</v>
      </c>
      <c r="O10" s="18" t="n">
        <v>0</v>
      </c>
      <c r="P10" s="20" t="n">
        <v>0</v>
      </c>
      <c r="Q10" s="18" t="n">
        <v>0</v>
      </c>
      <c r="R10" s="20" t="n">
        <v>0</v>
      </c>
    </row>
    <row r="11" spans="1:18">
      <c r="A11" s="15" t="s">
        <v>433</v>
      </c>
      <c r="B11" s="17" t="n">
        <v>7053</v>
      </c>
      <c r="C11" s="18">
        <f>(6243.0/B11*100)</f>
        <v/>
      </c>
      <c r="D11" s="19" t="n">
        <v>810</v>
      </c>
      <c r="E11" s="18" t="n">
        <v>39.00880128</v>
      </c>
      <c r="F11" s="20" t="n">
        <v>1.90530494</v>
      </c>
      <c r="G11" s="18" t="n">
        <v>56.28034299</v>
      </c>
      <c r="H11" s="20" t="n">
        <v>1.86213794</v>
      </c>
      <c r="I11" s="18" t="n">
        <v>0</v>
      </c>
      <c r="J11" s="20" t="n">
        <v>0</v>
      </c>
      <c r="K11" s="18" t="n">
        <v>4.71085572</v>
      </c>
      <c r="L11" s="20" t="n">
        <v>0.83649027</v>
      </c>
      <c r="M11" s="18" t="n">
        <v>0</v>
      </c>
      <c r="N11" s="20" t="n">
        <v>0</v>
      </c>
      <c r="O11" s="18" t="n">
        <v>0</v>
      </c>
      <c r="P11" s="20" t="n">
        <v>0</v>
      </c>
      <c r="Q11" s="18" t="n">
        <v>0</v>
      </c>
      <c r="R11" s="20" t="n">
        <v>0</v>
      </c>
    </row>
    <row r="12" spans="1:18">
      <c r="A12" s="15" t="s">
        <v>434</v>
      </c>
      <c r="B12" s="17" t="n">
        <v>6894</v>
      </c>
      <c r="C12" s="18">
        <f>(6081.0/B12*100)</f>
        <v/>
      </c>
      <c r="D12" s="19" t="n">
        <v>813</v>
      </c>
      <c r="E12" s="18" t="n">
        <v>27.6376781</v>
      </c>
      <c r="F12" s="20" t="n">
        <v>1.98471995</v>
      </c>
      <c r="G12" s="18" t="n">
        <v>70.03451162</v>
      </c>
      <c r="H12" s="20" t="n">
        <v>1.99867899</v>
      </c>
      <c r="I12" s="18" t="n">
        <v>0</v>
      </c>
      <c r="J12" s="20" t="n">
        <v>0</v>
      </c>
      <c r="K12" s="18" t="n">
        <v>2.32781028</v>
      </c>
      <c r="L12" s="20" t="n">
        <v>0.54433318</v>
      </c>
      <c r="M12" s="18" t="n">
        <v>0</v>
      </c>
      <c r="N12" s="20" t="n">
        <v>0</v>
      </c>
      <c r="O12" s="18" t="n">
        <v>0</v>
      </c>
      <c r="P12" s="20" t="n">
        <v>0</v>
      </c>
      <c r="Q12" s="18" t="n">
        <v>0</v>
      </c>
      <c r="R12" s="20" t="n">
        <v>0</v>
      </c>
    </row>
    <row r="13" spans="1:18">
      <c r="A13" s="15" t="s">
        <v>435</v>
      </c>
      <c r="B13" s="17" t="n">
        <v>7161</v>
      </c>
      <c r="C13" s="18">
        <f>(6360.0/B13*100)</f>
        <v/>
      </c>
      <c r="D13" s="19" t="n">
        <v>801</v>
      </c>
      <c r="E13" s="18" t="n">
        <v>31.86375863</v>
      </c>
      <c r="F13" s="20" t="n">
        <v>2.12165305</v>
      </c>
      <c r="G13" s="18" t="n">
        <v>65.18604860000001</v>
      </c>
      <c r="H13" s="20" t="n">
        <v>2.20307611</v>
      </c>
      <c r="I13" s="18" t="n">
        <v>0</v>
      </c>
      <c r="J13" s="20" t="n">
        <v>0</v>
      </c>
      <c r="K13" s="18" t="n">
        <v>2.95019277</v>
      </c>
      <c r="L13" s="20" t="n">
        <v>0.61007415</v>
      </c>
      <c r="M13" s="18" t="n">
        <v>0</v>
      </c>
      <c r="N13" s="20" t="n">
        <v>0</v>
      </c>
      <c r="O13" s="18" t="n">
        <v>0</v>
      </c>
      <c r="P13" s="20" t="n">
        <v>0</v>
      </c>
      <c r="Q13" s="18" t="n">
        <v>0</v>
      </c>
      <c r="R13" s="20" t="n">
        <v>0</v>
      </c>
    </row>
    <row r="14" spans="1:18">
      <c r="A14" s="15" t="s">
        <v>436</v>
      </c>
      <c r="B14" s="17" t="n">
        <v>5587</v>
      </c>
      <c r="C14" s="18">
        <f>(4924.0/B14*100)</f>
        <v/>
      </c>
      <c r="D14" s="19" t="n">
        <v>663</v>
      </c>
      <c r="E14" s="18" t="n">
        <v>47.11878845</v>
      </c>
      <c r="F14" s="20" t="n">
        <v>2.1907088</v>
      </c>
      <c r="G14" s="18" t="n">
        <v>51.58154158</v>
      </c>
      <c r="H14" s="20" t="n">
        <v>2.17244441</v>
      </c>
      <c r="I14" s="18" t="n">
        <v>0</v>
      </c>
      <c r="J14" s="20" t="n">
        <v>0</v>
      </c>
      <c r="K14" s="18" t="n">
        <v>1.29966997</v>
      </c>
      <c r="L14" s="20" t="n">
        <v>0.36164087</v>
      </c>
      <c r="M14" s="18" t="n">
        <v>0</v>
      </c>
      <c r="N14" s="20" t="n">
        <v>0</v>
      </c>
      <c r="O14" s="18" t="n">
        <v>0</v>
      </c>
      <c r="P14" s="20" t="n">
        <v>0</v>
      </c>
      <c r="Q14" s="18" t="n">
        <v>0</v>
      </c>
      <c r="R14" s="20" t="n">
        <v>0</v>
      </c>
    </row>
    <row r="15" spans="1:18">
      <c r="A15" s="15" t="s">
        <v>437</v>
      </c>
      <c r="B15" s="17" t="n">
        <v>5882</v>
      </c>
      <c r="C15" s="18">
        <f>(5177.0/B15*100)</f>
        <v/>
      </c>
      <c r="D15" s="19" t="n">
        <v>705</v>
      </c>
      <c r="E15" s="18" t="n">
        <v>27.29350317</v>
      </c>
      <c r="F15" s="20" t="n">
        <v>1.57310388</v>
      </c>
      <c r="G15" s="18" t="n">
        <v>71.02758523</v>
      </c>
      <c r="H15" s="20" t="n">
        <v>1.56118601</v>
      </c>
      <c r="I15" s="18" t="n">
        <v>0</v>
      </c>
      <c r="J15" s="20" t="n">
        <v>0</v>
      </c>
      <c r="K15" s="18" t="n">
        <v>1.6789116</v>
      </c>
      <c r="L15" s="20" t="n">
        <v>0.36458598</v>
      </c>
      <c r="M15" s="18" t="n">
        <v>0</v>
      </c>
      <c r="N15" s="20" t="n">
        <v>0</v>
      </c>
      <c r="O15" s="18" t="n">
        <v>0</v>
      </c>
      <c r="P15" s="20" t="n">
        <v>0</v>
      </c>
      <c r="Q15" s="18" t="n">
        <v>0</v>
      </c>
      <c r="R15" s="20" t="n">
        <v>0</v>
      </c>
    </row>
    <row r="16" spans="1:18">
      <c r="A16" s="15" t="s">
        <v>438</v>
      </c>
      <c r="B16" s="17" t="n">
        <v>6108</v>
      </c>
      <c r="C16" s="18">
        <f>(5365.0/B16*100)</f>
        <v/>
      </c>
      <c r="D16" s="19" t="n">
        <v>743</v>
      </c>
      <c r="E16" s="18" t="n">
        <v>31.18492261</v>
      </c>
      <c r="F16" s="20" t="n">
        <v>1.69702138</v>
      </c>
      <c r="G16" s="18" t="n">
        <v>62.83976652</v>
      </c>
      <c r="H16" s="20" t="n">
        <v>1.62056812</v>
      </c>
      <c r="I16" s="18" t="n">
        <v>0</v>
      </c>
      <c r="J16" s="20" t="n">
        <v>0</v>
      </c>
      <c r="K16" s="18" t="n">
        <v>5.97531087</v>
      </c>
      <c r="L16" s="20" t="n">
        <v>1.04298795</v>
      </c>
      <c r="M16" s="18" t="n">
        <v>0</v>
      </c>
      <c r="N16" s="20" t="n">
        <v>0</v>
      </c>
      <c r="O16" s="18" t="n">
        <v>0</v>
      </c>
      <c r="P16" s="20" t="n">
        <v>0</v>
      </c>
      <c r="Q16" s="18" t="n">
        <v>0</v>
      </c>
      <c r="R16" s="20" t="n">
        <v>0</v>
      </c>
    </row>
    <row r="17" spans="1:18">
      <c r="A17" s="15" t="s">
        <v>439</v>
      </c>
      <c r="B17" s="17" t="n">
        <v>6504</v>
      </c>
      <c r="C17" s="18">
        <f>(5750.0/B17*100)</f>
        <v/>
      </c>
      <c r="D17" s="19" t="n">
        <v>754</v>
      </c>
      <c r="E17" s="18" t="n">
        <v>20.46940192</v>
      </c>
      <c r="F17" s="20" t="n">
        <v>1.52381672</v>
      </c>
      <c r="G17" s="18" t="n">
        <v>75.1449782</v>
      </c>
      <c r="H17" s="20" t="n">
        <v>1.58394538</v>
      </c>
      <c r="I17" s="18" t="n">
        <v>0</v>
      </c>
      <c r="J17" s="20" t="n">
        <v>0</v>
      </c>
      <c r="K17" s="18" t="n">
        <v>4.38561989</v>
      </c>
      <c r="L17" s="20" t="n">
        <v>0.72986684</v>
      </c>
      <c r="M17" s="18" t="n">
        <v>0</v>
      </c>
      <c r="N17" s="20" t="n">
        <v>0</v>
      </c>
      <c r="O17" s="18" t="n">
        <v>0</v>
      </c>
      <c r="P17" s="20" t="n">
        <v>0</v>
      </c>
      <c r="Q17" s="18" t="n">
        <v>0</v>
      </c>
      <c r="R17" s="20" t="n">
        <v>0</v>
      </c>
    </row>
    <row r="18" spans="1:18">
      <c r="A18" s="15" t="s">
        <v>440</v>
      </c>
      <c r="B18" s="17" t="n">
        <v>5532</v>
      </c>
      <c r="C18" s="18">
        <f>(4856.0/B18*100)</f>
        <v/>
      </c>
      <c r="D18" s="19" t="n">
        <v>676</v>
      </c>
      <c r="E18" s="18" t="n">
        <v>41.50311069</v>
      </c>
      <c r="F18" s="20" t="n">
        <v>1.88756721</v>
      </c>
      <c r="G18" s="18" t="n">
        <v>54.41011435</v>
      </c>
      <c r="H18" s="20" t="n">
        <v>1.90462025</v>
      </c>
      <c r="I18" s="18" t="n">
        <v>0</v>
      </c>
      <c r="J18" s="20" t="n">
        <v>0</v>
      </c>
      <c r="K18" s="18" t="n">
        <v>4.08677495</v>
      </c>
      <c r="L18" s="20" t="n">
        <v>1.00537477</v>
      </c>
      <c r="M18" s="18" t="n">
        <v>0</v>
      </c>
      <c r="N18" s="20" t="n">
        <v>0</v>
      </c>
      <c r="O18" s="18" t="n">
        <v>0</v>
      </c>
      <c r="P18" s="20" t="n">
        <v>0</v>
      </c>
      <c r="Q18" s="18" t="n">
        <v>0</v>
      </c>
      <c r="R18" s="20" t="n">
        <v>0</v>
      </c>
    </row>
    <row r="19" spans="1:18">
      <c r="A19" s="15" t="s">
        <v>441</v>
      </c>
      <c r="B19" s="17" t="n">
        <v>5658</v>
      </c>
      <c r="C19" s="18">
        <f>(4999.0/B19*100)</f>
        <v/>
      </c>
      <c r="D19" s="19" t="n">
        <v>659</v>
      </c>
      <c r="E19" s="18" t="n">
        <v>36.96958377</v>
      </c>
      <c r="F19" s="20" t="n">
        <v>1.89343925</v>
      </c>
      <c r="G19" s="18" t="n">
        <v>61.50595433</v>
      </c>
      <c r="H19" s="20" t="n">
        <v>1.82253407</v>
      </c>
      <c r="I19" s="18" t="n">
        <v>0</v>
      </c>
      <c r="J19" s="20" t="n">
        <v>0</v>
      </c>
      <c r="K19" s="18" t="n">
        <v>1.5244619</v>
      </c>
      <c r="L19" s="20" t="n">
        <v>0.62929557</v>
      </c>
      <c r="M19" s="18" t="n">
        <v>0</v>
      </c>
      <c r="N19" s="20" t="n">
        <v>0</v>
      </c>
      <c r="O19" s="18" t="n">
        <v>0</v>
      </c>
      <c r="P19" s="20" t="n">
        <v>0</v>
      </c>
      <c r="Q19" s="18" t="n">
        <v>0</v>
      </c>
      <c r="R19" s="20" t="n">
        <v>0</v>
      </c>
    </row>
    <row r="20" spans="1:18">
      <c r="A20" s="15" t="s">
        <v>442</v>
      </c>
      <c r="B20" s="17" t="n">
        <v>3371</v>
      </c>
      <c r="C20" s="18">
        <f>(2981.0/B20*100)</f>
        <v/>
      </c>
      <c r="D20" s="19" t="n">
        <v>390</v>
      </c>
      <c r="E20" s="18" t="n">
        <v>38.21134889</v>
      </c>
      <c r="F20" s="20" t="n">
        <v>2.37658185</v>
      </c>
      <c r="G20" s="18" t="n">
        <v>59.08905954</v>
      </c>
      <c r="H20" s="20" t="n">
        <v>2.49578762</v>
      </c>
      <c r="I20" s="18" t="n">
        <v>0</v>
      </c>
      <c r="J20" s="20" t="n">
        <v>0</v>
      </c>
      <c r="K20" s="18" t="n">
        <v>2.69959157</v>
      </c>
      <c r="L20" s="20" t="n">
        <v>0.85307582</v>
      </c>
      <c r="M20" s="18" t="n">
        <v>0</v>
      </c>
      <c r="N20" s="20" t="n">
        <v>0</v>
      </c>
      <c r="O20" s="18" t="n">
        <v>0</v>
      </c>
      <c r="P20" s="20" t="n">
        <v>0</v>
      </c>
      <c r="Q20" s="18" t="n">
        <v>0</v>
      </c>
      <c r="R20" s="20" t="n">
        <v>0</v>
      </c>
    </row>
    <row r="21" spans="1:18">
      <c r="A21" s="15" t="s">
        <v>443</v>
      </c>
      <c r="B21" s="17" t="n">
        <v>5741</v>
      </c>
      <c r="C21" s="18">
        <f>(4814.0/B21*100)</f>
        <v/>
      </c>
      <c r="D21" s="19" t="n">
        <v>927</v>
      </c>
      <c r="E21" s="18" t="n">
        <v>40.36472276</v>
      </c>
      <c r="F21" s="20" t="n">
        <v>1.82380804</v>
      </c>
      <c r="G21" s="18" t="n">
        <v>58.27934452</v>
      </c>
      <c r="H21" s="20" t="n">
        <v>1.85047893</v>
      </c>
      <c r="I21" s="18" t="n">
        <v>0</v>
      </c>
      <c r="J21" s="20" t="n">
        <v>0</v>
      </c>
      <c r="K21" s="18" t="n">
        <v>1.35593272</v>
      </c>
      <c r="L21" s="20" t="n">
        <v>0.38540892</v>
      </c>
      <c r="M21" s="18" t="n">
        <v>0</v>
      </c>
      <c r="N21" s="20" t="n">
        <v>0</v>
      </c>
      <c r="O21" s="18" t="n">
        <v>0</v>
      </c>
      <c r="P21" s="20" t="n">
        <v>0</v>
      </c>
      <c r="Q21" s="18" t="n">
        <v>0</v>
      </c>
      <c r="R21" s="20" t="n">
        <v>0</v>
      </c>
    </row>
    <row r="22" spans="1:18">
      <c r="A22" s="15" t="s">
        <v>444</v>
      </c>
      <c r="B22" s="17" t="n">
        <v>6598</v>
      </c>
      <c r="C22" s="18">
        <f>(5789.0/B22*100)</f>
        <v/>
      </c>
      <c r="D22" s="19" t="n">
        <v>809</v>
      </c>
      <c r="E22" s="18" t="n">
        <v>43.04480623</v>
      </c>
      <c r="F22" s="20" t="n">
        <v>1.96694806</v>
      </c>
      <c r="G22" s="18" t="n">
        <v>53.16886781</v>
      </c>
      <c r="H22" s="20" t="n">
        <v>2.07608586</v>
      </c>
      <c r="I22" s="18" t="n">
        <v>0</v>
      </c>
      <c r="J22" s="20" t="n">
        <v>0</v>
      </c>
      <c r="K22" s="18" t="n">
        <v>3.78632596</v>
      </c>
      <c r="L22" s="20" t="n">
        <v>0.81892895</v>
      </c>
      <c r="M22" s="18" t="n">
        <v>0</v>
      </c>
      <c r="N22" s="20" t="n">
        <v>0</v>
      </c>
      <c r="O22" s="18" t="n">
        <v>0</v>
      </c>
      <c r="P22" s="20" t="n">
        <v>0</v>
      </c>
      <c r="Q22" s="18" t="n">
        <v>0</v>
      </c>
      <c r="R22" s="20" t="n">
        <v>0</v>
      </c>
    </row>
    <row r="23" spans="1:18">
      <c r="A23" s="15" t="s">
        <v>445</v>
      </c>
      <c r="B23" s="17" t="n">
        <v>11583</v>
      </c>
      <c r="C23" s="18">
        <f>(10209.0/B23*100)</f>
        <v/>
      </c>
      <c r="D23" s="19" t="n">
        <v>1374</v>
      </c>
      <c r="E23" s="18" t="n">
        <v>25.61432501</v>
      </c>
      <c r="F23" s="20" t="n">
        <v>1.6976902</v>
      </c>
      <c r="G23" s="18" t="n">
        <v>69.99886677000001</v>
      </c>
      <c r="H23" s="20" t="n">
        <v>1.75801359</v>
      </c>
      <c r="I23" s="18" t="n">
        <v>0</v>
      </c>
      <c r="J23" s="20" t="n">
        <v>0</v>
      </c>
      <c r="K23" s="18" t="n">
        <v>4.38680822</v>
      </c>
      <c r="L23" s="20" t="n">
        <v>0.9761428599999999</v>
      </c>
      <c r="M23" s="18" t="n">
        <v>0</v>
      </c>
      <c r="N23" s="20" t="n">
        <v>0</v>
      </c>
      <c r="O23" s="18" t="n">
        <v>0</v>
      </c>
      <c r="P23" s="20" t="n">
        <v>0</v>
      </c>
      <c r="Q23" s="18" t="n">
        <v>0</v>
      </c>
      <c r="R23" s="20" t="n">
        <v>0</v>
      </c>
    </row>
    <row r="24" spans="1:18">
      <c r="A24" s="15" t="s">
        <v>446</v>
      </c>
      <c r="B24" s="17" t="n">
        <v>6647</v>
      </c>
      <c r="C24" s="18">
        <f>(5860.0/B24*100)</f>
        <v/>
      </c>
      <c r="D24" s="19" t="n">
        <v>787</v>
      </c>
      <c r="E24" s="18" t="n">
        <v>43.67913524</v>
      </c>
      <c r="F24" s="20" t="n">
        <v>1.68785832</v>
      </c>
      <c r="G24" s="18" t="n">
        <v>53.69779502</v>
      </c>
      <c r="H24" s="20" t="n">
        <v>1.78453648</v>
      </c>
      <c r="I24" s="18" t="n">
        <v>0</v>
      </c>
      <c r="J24" s="20" t="n">
        <v>0</v>
      </c>
      <c r="K24" s="18" t="n">
        <v>2.62306974</v>
      </c>
      <c r="L24" s="20" t="n">
        <v>0.58537017</v>
      </c>
      <c r="M24" s="18" t="n">
        <v>0</v>
      </c>
      <c r="N24" s="20" t="n">
        <v>0</v>
      </c>
      <c r="O24" s="18" t="n">
        <v>0</v>
      </c>
      <c r="P24" s="20" t="n">
        <v>0</v>
      </c>
      <c r="Q24" s="18" t="n">
        <v>0</v>
      </c>
      <c r="R24" s="20" t="n">
        <v>0</v>
      </c>
    </row>
    <row r="25" spans="1:18">
      <c r="A25" s="15" t="s">
        <v>447</v>
      </c>
      <c r="B25" s="17" t="n">
        <v>5581</v>
      </c>
      <c r="C25" s="18">
        <f>(4886.0/B25*100)</f>
        <v/>
      </c>
      <c r="D25" s="19" t="n">
        <v>695</v>
      </c>
      <c r="E25" s="18" t="n">
        <v>33.61569002</v>
      </c>
      <c r="F25" s="20" t="n">
        <v>2.20588134</v>
      </c>
      <c r="G25" s="18" t="n">
        <v>65.54982864</v>
      </c>
      <c r="H25" s="20" t="n">
        <v>2.21198934</v>
      </c>
      <c r="I25" s="18" t="n">
        <v>0</v>
      </c>
      <c r="J25" s="20" t="n">
        <v>0</v>
      </c>
      <c r="K25" s="18" t="n">
        <v>0.83448134</v>
      </c>
      <c r="L25" s="20" t="n">
        <v>0.34266167</v>
      </c>
      <c r="M25" s="18" t="n">
        <v>0</v>
      </c>
      <c r="N25" s="20" t="n">
        <v>0</v>
      </c>
      <c r="O25" s="18" t="n">
        <v>0</v>
      </c>
      <c r="P25" s="20" t="n">
        <v>0</v>
      </c>
      <c r="Q25" s="18" t="n">
        <v>0</v>
      </c>
      <c r="R25" s="20" t="n">
        <v>0</v>
      </c>
    </row>
    <row r="26" spans="1:18">
      <c r="A26" s="15" t="s">
        <v>448</v>
      </c>
      <c r="B26" s="17" t="n">
        <v>4869</v>
      </c>
      <c r="C26" s="18">
        <f>(4289.0/B26*100)</f>
        <v/>
      </c>
      <c r="D26" s="19" t="n">
        <v>580</v>
      </c>
      <c r="E26" s="18" t="n">
        <v>36.63404985</v>
      </c>
      <c r="F26" s="20" t="n">
        <v>2.16090136</v>
      </c>
      <c r="G26" s="18" t="n">
        <v>62.1148553</v>
      </c>
      <c r="H26" s="20" t="n">
        <v>2.11854601</v>
      </c>
      <c r="I26" s="18" t="n">
        <v>0</v>
      </c>
      <c r="J26" s="20" t="n">
        <v>0</v>
      </c>
      <c r="K26" s="18" t="n">
        <v>1.25109484</v>
      </c>
      <c r="L26" s="20" t="n">
        <v>0.43836837</v>
      </c>
      <c r="M26" s="18" t="n">
        <v>0</v>
      </c>
      <c r="N26" s="20" t="n">
        <v>0</v>
      </c>
      <c r="O26" s="18" t="n">
        <v>0</v>
      </c>
      <c r="P26" s="20" t="n">
        <v>0</v>
      </c>
      <c r="Q26" s="18" t="n">
        <v>0</v>
      </c>
      <c r="R26" s="20" t="n">
        <v>0</v>
      </c>
    </row>
    <row r="27" spans="1:18">
      <c r="A27" s="15" t="s">
        <v>449</v>
      </c>
      <c r="B27" s="17" t="n">
        <v>5299</v>
      </c>
      <c r="C27" s="18">
        <f>(4687.0/B27*100)</f>
        <v/>
      </c>
      <c r="D27" s="19" t="n">
        <v>612</v>
      </c>
      <c r="E27" s="18" t="n">
        <v>30.05880703</v>
      </c>
      <c r="F27" s="20" t="n">
        <v>1.88385995</v>
      </c>
      <c r="G27" s="18" t="n">
        <v>66.09188097000001</v>
      </c>
      <c r="H27" s="20" t="n">
        <v>2.0188249</v>
      </c>
      <c r="I27" s="18" t="n">
        <v>0</v>
      </c>
      <c r="J27" s="20" t="n">
        <v>0</v>
      </c>
      <c r="K27" s="18" t="n">
        <v>3.849312</v>
      </c>
      <c r="L27" s="20" t="n">
        <v>0.81991482</v>
      </c>
      <c r="M27" s="18" t="n">
        <v>0</v>
      </c>
      <c r="N27" s="20" t="n">
        <v>0</v>
      </c>
      <c r="O27" s="18" t="n">
        <v>0</v>
      </c>
      <c r="P27" s="20" t="n">
        <v>0</v>
      </c>
      <c r="Q27" s="18" t="n">
        <v>0</v>
      </c>
      <c r="R27" s="20" t="n">
        <v>0</v>
      </c>
    </row>
    <row r="28" spans="1:18">
      <c r="A28" s="15" t="s">
        <v>450</v>
      </c>
      <c r="B28" s="17" t="n">
        <v>7568</v>
      </c>
      <c r="C28" s="18">
        <f>(6775.0/B28*100)</f>
        <v/>
      </c>
      <c r="D28" s="19" t="n">
        <v>793</v>
      </c>
      <c r="E28" s="18" t="n">
        <v>54.56113603</v>
      </c>
      <c r="F28" s="20" t="n">
        <v>1.99698908</v>
      </c>
      <c r="G28" s="18" t="n">
        <v>43.32871617</v>
      </c>
      <c r="H28" s="20" t="n">
        <v>2.09046716</v>
      </c>
      <c r="I28" s="18" t="n">
        <v>0</v>
      </c>
      <c r="J28" s="20" t="n">
        <v>0</v>
      </c>
      <c r="K28" s="18" t="n">
        <v>2.1101478</v>
      </c>
      <c r="L28" s="20" t="n">
        <v>0.55730596</v>
      </c>
      <c r="M28" s="18" t="n">
        <v>0</v>
      </c>
      <c r="N28" s="20" t="n">
        <v>0</v>
      </c>
      <c r="O28" s="18" t="n">
        <v>0</v>
      </c>
      <c r="P28" s="20" t="n">
        <v>0</v>
      </c>
      <c r="Q28" s="18" t="n">
        <v>0</v>
      </c>
      <c r="R28" s="20" t="n">
        <v>0</v>
      </c>
    </row>
    <row r="29" spans="1:18">
      <c r="A29" s="15" t="s">
        <v>451</v>
      </c>
      <c r="B29" s="17" t="n">
        <v>5385</v>
      </c>
      <c r="C29" s="18">
        <f>(4727.0/B29*100)</f>
        <v/>
      </c>
      <c r="D29" s="19" t="n">
        <v>658</v>
      </c>
      <c r="E29" s="18" t="n">
        <v>34.20669401</v>
      </c>
      <c r="F29" s="20" t="n">
        <v>2.0319973</v>
      </c>
      <c r="G29" s="18" t="n">
        <v>64.99173458999999</v>
      </c>
      <c r="H29" s="20" t="n">
        <v>2.02361274</v>
      </c>
      <c r="I29" s="18" t="n">
        <v>0</v>
      </c>
      <c r="J29" s="20" t="n">
        <v>0</v>
      </c>
      <c r="K29" s="18" t="n">
        <v>0.8015714</v>
      </c>
      <c r="L29" s="20" t="n">
        <v>0.35145077</v>
      </c>
      <c r="M29" s="18" t="n">
        <v>0</v>
      </c>
      <c r="N29" s="20" t="n">
        <v>0</v>
      </c>
      <c r="O29" s="18" t="n">
        <v>0</v>
      </c>
      <c r="P29" s="20" t="n">
        <v>0</v>
      </c>
      <c r="Q29" s="18" t="n">
        <v>0</v>
      </c>
      <c r="R29" s="20" t="n">
        <v>0</v>
      </c>
    </row>
    <row r="30" spans="1:18">
      <c r="A30" s="15" t="s">
        <v>452</v>
      </c>
      <c r="B30" s="17" t="n">
        <v>4520</v>
      </c>
      <c r="C30" s="18">
        <f>(3986.0/B30*100)</f>
        <v/>
      </c>
      <c r="D30" s="19" t="n">
        <v>534</v>
      </c>
      <c r="E30" s="18" t="n">
        <v>41.28419451</v>
      </c>
      <c r="F30" s="20" t="n">
        <v>2.11109217</v>
      </c>
      <c r="G30" s="18" t="n">
        <v>53.84811114</v>
      </c>
      <c r="H30" s="20" t="n">
        <v>2.16252802</v>
      </c>
      <c r="I30" s="18" t="n">
        <v>0</v>
      </c>
      <c r="J30" s="20" t="n">
        <v>0</v>
      </c>
      <c r="K30" s="18" t="n">
        <v>4.86769436</v>
      </c>
      <c r="L30" s="20" t="n">
        <v>1.12425645</v>
      </c>
      <c r="M30" s="18" t="n">
        <v>0</v>
      </c>
      <c r="N30" s="20" t="n">
        <v>0</v>
      </c>
      <c r="O30" s="18" t="n">
        <v>0</v>
      </c>
      <c r="P30" s="20" t="n">
        <v>0</v>
      </c>
      <c r="Q30" s="18" t="n">
        <v>0</v>
      </c>
      <c r="R30" s="20" t="n">
        <v>0</v>
      </c>
    </row>
    <row r="31" spans="1:18">
      <c r="A31" s="15" t="s">
        <v>453</v>
      </c>
      <c r="B31" s="17" t="n">
        <v>5456</v>
      </c>
      <c r="C31" s="18">
        <f>(4790.0/B31*100)</f>
        <v/>
      </c>
      <c r="D31" s="19" t="n">
        <v>666</v>
      </c>
      <c r="E31" s="18" t="n">
        <v>42.62378778</v>
      </c>
      <c r="F31" s="20" t="n">
        <v>2.02235495</v>
      </c>
      <c r="G31" s="18" t="n">
        <v>54.31069669</v>
      </c>
      <c r="H31" s="20" t="n">
        <v>1.90477576</v>
      </c>
      <c r="I31" s="18" t="n">
        <v>0</v>
      </c>
      <c r="J31" s="20" t="n">
        <v>0</v>
      </c>
      <c r="K31" s="18" t="n">
        <v>3.06551553</v>
      </c>
      <c r="L31" s="20" t="n">
        <v>0.69849629</v>
      </c>
      <c r="M31" s="18" t="n">
        <v>0</v>
      </c>
      <c r="N31" s="20" t="n">
        <v>0</v>
      </c>
      <c r="O31" s="18" t="n">
        <v>0</v>
      </c>
      <c r="P31" s="20" t="n">
        <v>0</v>
      </c>
      <c r="Q31" s="18" t="n">
        <v>0</v>
      </c>
      <c r="R31" s="20" t="n">
        <v>0</v>
      </c>
    </row>
    <row r="32" spans="1:18">
      <c r="A32" s="15" t="s">
        <v>454</v>
      </c>
      <c r="B32" s="17" t="n">
        <v>4478</v>
      </c>
      <c r="C32" s="18">
        <f>(3746.0/B32*100)</f>
        <v/>
      </c>
      <c r="D32" s="19" t="n">
        <v>732</v>
      </c>
      <c r="E32" s="18" t="n">
        <v>36.3121108</v>
      </c>
      <c r="F32" s="20" t="n">
        <v>1.88548603</v>
      </c>
      <c r="G32" s="18" t="n">
        <v>62.38947078</v>
      </c>
      <c r="H32" s="20" t="n">
        <v>1.93181765</v>
      </c>
      <c r="I32" s="18" t="n">
        <v>0</v>
      </c>
      <c r="J32" s="20" t="n">
        <v>0</v>
      </c>
      <c r="K32" s="18" t="n">
        <v>1.29841842</v>
      </c>
      <c r="L32" s="20" t="n">
        <v>0.38076916</v>
      </c>
      <c r="M32" s="18" t="n">
        <v>0</v>
      </c>
      <c r="N32" s="20" t="n">
        <v>0</v>
      </c>
      <c r="O32" s="18" t="n">
        <v>0</v>
      </c>
      <c r="P32" s="20" t="n">
        <v>0</v>
      </c>
      <c r="Q32" s="18" t="n">
        <v>0</v>
      </c>
      <c r="R32" s="20" t="n">
        <v>0</v>
      </c>
    </row>
    <row r="33" spans="1:18">
      <c r="A33" s="15" t="s">
        <v>455</v>
      </c>
      <c r="B33" s="17" t="n">
        <v>7325</v>
      </c>
      <c r="C33" s="18">
        <f>(6492.0/B33*100)</f>
        <v/>
      </c>
      <c r="D33" s="19" t="n">
        <v>833</v>
      </c>
      <c r="E33" s="18" t="n">
        <v>33.25561008</v>
      </c>
      <c r="F33" s="20" t="n">
        <v>1.77057166</v>
      </c>
      <c r="G33" s="18" t="n">
        <v>64.50790576999999</v>
      </c>
      <c r="H33" s="20" t="n">
        <v>1.80991874</v>
      </c>
      <c r="I33" s="18" t="n">
        <v>0</v>
      </c>
      <c r="J33" s="20" t="n">
        <v>0</v>
      </c>
      <c r="K33" s="18" t="n">
        <v>2.23648415</v>
      </c>
      <c r="L33" s="20" t="n">
        <v>0.60990783</v>
      </c>
      <c r="M33" s="18" t="n">
        <v>0</v>
      </c>
      <c r="N33" s="20" t="n">
        <v>0</v>
      </c>
      <c r="O33" s="18" t="n">
        <v>0</v>
      </c>
      <c r="P33" s="20" t="n">
        <v>0</v>
      </c>
      <c r="Q33" s="18" t="n">
        <v>0</v>
      </c>
      <c r="R33" s="20" t="n">
        <v>0</v>
      </c>
    </row>
    <row r="34" spans="1:18">
      <c r="A34" s="15" t="s">
        <v>456</v>
      </c>
      <c r="B34" s="17" t="n">
        <v>6350</v>
      </c>
      <c r="C34" s="18">
        <f>(5609.0/B34*100)</f>
        <v/>
      </c>
      <c r="D34" s="19" t="n">
        <v>741</v>
      </c>
      <c r="E34" s="18" t="n">
        <v>43.65924182</v>
      </c>
      <c r="F34" s="20" t="n">
        <v>1.6466048</v>
      </c>
      <c r="G34" s="18" t="n">
        <v>54.21639653</v>
      </c>
      <c r="H34" s="20" t="n">
        <v>1.68953849</v>
      </c>
      <c r="I34" s="18" t="n">
        <v>0</v>
      </c>
      <c r="J34" s="20" t="n">
        <v>0</v>
      </c>
      <c r="K34" s="18" t="n">
        <v>2.12436165</v>
      </c>
      <c r="L34" s="20" t="n">
        <v>0.5247948</v>
      </c>
      <c r="M34" s="18" t="n">
        <v>0</v>
      </c>
      <c r="N34" s="20" t="n">
        <v>0</v>
      </c>
      <c r="O34" s="18" t="n">
        <v>0</v>
      </c>
      <c r="P34" s="20" t="n">
        <v>0</v>
      </c>
      <c r="Q34" s="18" t="n">
        <v>0</v>
      </c>
      <c r="R34" s="20" t="n">
        <v>0</v>
      </c>
    </row>
    <row r="35" spans="1:18">
      <c r="A35" s="15" t="s">
        <v>457</v>
      </c>
      <c r="B35" s="17" t="n">
        <v>6406</v>
      </c>
      <c r="C35" s="18">
        <f>(5627.0/B35*100)</f>
        <v/>
      </c>
      <c r="D35" s="19" t="n">
        <v>779</v>
      </c>
      <c r="E35" s="18" t="n">
        <v>29.59744108</v>
      </c>
      <c r="F35" s="20" t="n">
        <v>2.02953711</v>
      </c>
      <c r="G35" s="18" t="n">
        <v>69.72263728</v>
      </c>
      <c r="H35" s="20" t="n">
        <v>2.04740226</v>
      </c>
      <c r="I35" s="18" t="n">
        <v>0</v>
      </c>
      <c r="J35" s="20" t="n">
        <v>0</v>
      </c>
      <c r="K35" s="18" t="n">
        <v>0.67992164</v>
      </c>
      <c r="L35" s="20" t="n">
        <v>0.2538231</v>
      </c>
      <c r="M35" s="18" t="n">
        <v>0</v>
      </c>
      <c r="N35" s="20" t="n">
        <v>0</v>
      </c>
      <c r="O35" s="18" t="n">
        <v>0</v>
      </c>
      <c r="P35" s="20" t="n">
        <v>0</v>
      </c>
      <c r="Q35" s="18" t="n">
        <v>0</v>
      </c>
      <c r="R35" s="20" t="n">
        <v>0</v>
      </c>
    </row>
    <row r="36" spans="1:18">
      <c r="A36" s="15" t="s">
        <v>458</v>
      </c>
      <c r="B36" s="17" t="n">
        <v>6736</v>
      </c>
      <c r="C36" s="18">
        <f>(5952.0/B36*100)</f>
        <v/>
      </c>
      <c r="D36" s="19" t="n">
        <v>784</v>
      </c>
      <c r="E36" s="18" t="n">
        <v>31.31281627</v>
      </c>
      <c r="F36" s="20" t="n">
        <v>1.80933284</v>
      </c>
      <c r="G36" s="18" t="n">
        <v>65.83783244</v>
      </c>
      <c r="H36" s="20" t="n">
        <v>1.92221418</v>
      </c>
      <c r="I36" s="18" t="n">
        <v>0</v>
      </c>
      <c r="J36" s="20" t="n">
        <v>0</v>
      </c>
      <c r="K36" s="18" t="n">
        <v>2.84935129</v>
      </c>
      <c r="L36" s="20" t="n">
        <v>0.66262442</v>
      </c>
      <c r="M36" s="18" t="n">
        <v>0</v>
      </c>
      <c r="N36" s="20" t="n">
        <v>0</v>
      </c>
      <c r="O36" s="18" t="n">
        <v>0</v>
      </c>
      <c r="P36" s="20" t="n">
        <v>0</v>
      </c>
      <c r="Q36" s="18" t="n">
        <v>0</v>
      </c>
      <c r="R36" s="20" t="n">
        <v>0</v>
      </c>
    </row>
    <row r="37" spans="1:18">
      <c r="A37" s="15" t="s">
        <v>459</v>
      </c>
      <c r="B37" s="17" t="n">
        <v>5458</v>
      </c>
      <c r="C37" s="18">
        <f>(4849.0/B37*100)</f>
        <v/>
      </c>
      <c r="D37" s="19" t="n">
        <v>609</v>
      </c>
      <c r="E37" s="18" t="n">
        <v>30.13668416</v>
      </c>
      <c r="F37" s="20" t="n">
        <v>1.82893156</v>
      </c>
      <c r="G37" s="18" t="n">
        <v>64.60944517</v>
      </c>
      <c r="H37" s="20" t="n">
        <v>2.06850823</v>
      </c>
      <c r="I37" s="18" t="n">
        <v>0</v>
      </c>
      <c r="J37" s="20" t="n">
        <v>0</v>
      </c>
      <c r="K37" s="18" t="n">
        <v>5.25387067</v>
      </c>
      <c r="L37" s="20" t="n">
        <v>0.8897714</v>
      </c>
      <c r="M37" s="18" t="n">
        <v>0</v>
      </c>
      <c r="N37" s="20" t="n">
        <v>0</v>
      </c>
      <c r="O37" s="18" t="n">
        <v>0</v>
      </c>
      <c r="P37" s="20" t="n">
        <v>0</v>
      </c>
      <c r="Q37" s="18" t="n">
        <v>0</v>
      </c>
      <c r="R37" s="20" t="n">
        <v>0</v>
      </c>
    </row>
    <row r="38" spans="1:18">
      <c r="A38" s="15" t="s">
        <v>460</v>
      </c>
      <c r="B38" s="17" t="n">
        <v>5860</v>
      </c>
      <c r="C38" s="18">
        <f>(4927.0/B38*100)</f>
        <v/>
      </c>
      <c r="D38" s="19" t="n">
        <v>933</v>
      </c>
      <c r="E38" s="18" t="n">
        <v>25.31661857</v>
      </c>
      <c r="F38" s="20" t="n">
        <v>1.72694578</v>
      </c>
      <c r="G38" s="18" t="n">
        <v>71.15281179</v>
      </c>
      <c r="H38" s="20" t="n">
        <v>1.82314893</v>
      </c>
      <c r="I38" s="18" t="n">
        <v>0</v>
      </c>
      <c r="J38" s="20" t="n">
        <v>0</v>
      </c>
      <c r="K38" s="18" t="n">
        <v>3.53056964</v>
      </c>
      <c r="L38" s="20" t="n">
        <v>0.66394237</v>
      </c>
      <c r="M38" s="18" t="n">
        <v>0</v>
      </c>
      <c r="N38" s="20" t="n">
        <v>0</v>
      </c>
      <c r="O38" s="18" t="n">
        <v>0</v>
      </c>
      <c r="P38" s="20" t="n">
        <v>0</v>
      </c>
      <c r="Q38" s="18" t="n">
        <v>0</v>
      </c>
      <c r="R38" s="20" t="n">
        <v>0</v>
      </c>
    </row>
    <row r="39" spans="1:18">
      <c r="A39" s="15" t="s">
        <v>461</v>
      </c>
      <c r="B39" s="17" t="n">
        <v>5895</v>
      </c>
      <c r="C39" s="18">
        <f>(5173.0/B39*100)</f>
        <v/>
      </c>
      <c r="D39" s="19" t="n">
        <v>722</v>
      </c>
      <c r="E39" s="18" t="n">
        <v>44.56033373</v>
      </c>
      <c r="F39" s="20" t="n">
        <v>2.14410076</v>
      </c>
      <c r="G39" s="18" t="n">
        <v>52.55909369</v>
      </c>
      <c r="H39" s="20" t="n">
        <v>2.30912331</v>
      </c>
      <c r="I39" s="18" t="n">
        <v>0</v>
      </c>
      <c r="J39" s="20" t="n">
        <v>0</v>
      </c>
      <c r="K39" s="18" t="n">
        <v>2.88057258</v>
      </c>
      <c r="L39" s="20" t="n">
        <v>0.6801119</v>
      </c>
      <c r="M39" s="18" t="n">
        <v>0</v>
      </c>
      <c r="N39" s="20" t="n">
        <v>0</v>
      </c>
      <c r="O39" s="18" t="n">
        <v>0</v>
      </c>
      <c r="P39" s="20" t="n">
        <v>0</v>
      </c>
      <c r="Q39" s="18" t="n">
        <v>0</v>
      </c>
      <c r="R39" s="20" t="n">
        <v>0</v>
      </c>
    </row>
    <row r="40" spans="1:18">
      <c r="A40" s="15" t="s">
        <v>462</v>
      </c>
      <c r="B40" s="17" t="n">
        <v>14157</v>
      </c>
      <c r="C40" s="18">
        <f>(12452.0/B40*100)</f>
        <v/>
      </c>
      <c r="D40" s="19" t="n">
        <v>1705</v>
      </c>
      <c r="E40" s="18" t="n">
        <v>43.37447422</v>
      </c>
      <c r="F40" s="20" t="n">
        <v>1.58013902</v>
      </c>
      <c r="G40" s="18" t="n">
        <v>53.59438404</v>
      </c>
      <c r="H40" s="20" t="n">
        <v>1.62613663</v>
      </c>
      <c r="I40" s="18" t="n">
        <v>0</v>
      </c>
      <c r="J40" s="20" t="n">
        <v>0</v>
      </c>
      <c r="K40" s="18" t="n">
        <v>3.03114174</v>
      </c>
      <c r="L40" s="20" t="n">
        <v>0.65669197</v>
      </c>
      <c r="M40" s="18" t="n">
        <v>0</v>
      </c>
      <c r="N40" s="20" t="n">
        <v>0</v>
      </c>
      <c r="O40" s="18" t="n">
        <v>0</v>
      </c>
      <c r="P40" s="20" t="n">
        <v>0</v>
      </c>
      <c r="Q40" s="18" t="n">
        <v>0</v>
      </c>
      <c r="R40" s="20" t="n">
        <v>0</v>
      </c>
    </row>
    <row r="41" spans="1:18">
      <c r="A41" s="15" t="s">
        <v>463</v>
      </c>
      <c r="B41" s="17" t="n">
        <v>5712</v>
      </c>
      <c r="C41" s="18">
        <f>(5062.0/B41*100)</f>
        <v/>
      </c>
      <c r="D41" s="19" t="n">
        <v>650</v>
      </c>
      <c r="E41" s="18" t="n">
        <v>44.31392615</v>
      </c>
      <c r="F41" s="20" t="n">
        <v>2.22516296</v>
      </c>
      <c r="G41" s="18" t="n">
        <v>53.80213738</v>
      </c>
      <c r="H41" s="20" t="n">
        <v>2.28172175</v>
      </c>
      <c r="I41" s="18" t="n">
        <v>0</v>
      </c>
      <c r="J41" s="20" t="n">
        <v>0</v>
      </c>
      <c r="K41" s="18" t="n">
        <v>1.88393647</v>
      </c>
      <c r="L41" s="20" t="n">
        <v>0.49361613</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(21047.0/B46*100)</f>
        <v/>
      </c>
      <c r="D46" s="19" t="n">
        <v>2094</v>
      </c>
      <c r="E46" s="18" t="n">
        <v>48.04306144</v>
      </c>
      <c r="F46" s="20" t="n">
        <v>1.43116706</v>
      </c>
      <c r="G46" s="18" t="n">
        <v>47.83030912</v>
      </c>
      <c r="H46" s="20" t="n">
        <v>1.35380333</v>
      </c>
      <c r="I46" s="18" t="n">
        <v>0</v>
      </c>
      <c r="J46" s="20" t="n">
        <v>0</v>
      </c>
      <c r="K46" s="18" t="n">
        <v>4.12662944</v>
      </c>
      <c r="L46" s="20" t="n">
        <v>0.62256976</v>
      </c>
      <c r="M46" s="18" t="n">
        <v>0</v>
      </c>
      <c r="N46" s="20" t="n">
        <v>0</v>
      </c>
      <c r="O46" s="18" t="n">
        <v>0</v>
      </c>
      <c r="P46" s="20" t="n">
        <v>0</v>
      </c>
      <c r="Q46" s="18" t="n">
        <v>0</v>
      </c>
      <c r="R46" s="20" t="n">
        <v>0</v>
      </c>
    </row>
    <row r="47" spans="1:18">
      <c r="A47" s="15" t="s">
        <v>470</v>
      </c>
      <c r="B47" s="17" t="n">
        <v>5928</v>
      </c>
      <c r="C47" s="18">
        <f>(5252.0/B47*100)</f>
        <v/>
      </c>
      <c r="D47" s="19" t="n">
        <v>676</v>
      </c>
      <c r="E47" s="18" t="n">
        <v>47.34223729</v>
      </c>
      <c r="F47" s="20" t="n">
        <v>2.06313025</v>
      </c>
      <c r="G47" s="18" t="n">
        <v>48.30402627</v>
      </c>
      <c r="H47" s="20" t="n">
        <v>2.09214026</v>
      </c>
      <c r="I47" s="18" t="n">
        <v>0</v>
      </c>
      <c r="J47" s="20" t="n">
        <v>0</v>
      </c>
      <c r="K47" s="18" t="n">
        <v>4.35373644</v>
      </c>
      <c r="L47" s="20" t="n">
        <v>0.7782139</v>
      </c>
      <c r="M47" s="18" t="n">
        <v>0</v>
      </c>
      <c r="N47" s="20" t="n">
        <v>0</v>
      </c>
      <c r="O47" s="18" t="n">
        <v>0</v>
      </c>
      <c r="P47" s="20" t="n">
        <v>0</v>
      </c>
      <c r="Q47" s="18" t="n">
        <v>0</v>
      </c>
      <c r="R47" s="20" t="n">
        <v>0</v>
      </c>
    </row>
    <row r="48" spans="1:18">
      <c r="A48" s="15" t="s">
        <v>471</v>
      </c>
      <c r="B48" s="17" t="n">
        <v>9841</v>
      </c>
      <c r="C48" s="18">
        <f>(8611.0/B48*100)</f>
        <v/>
      </c>
      <c r="D48" s="19" t="n">
        <v>1230</v>
      </c>
      <c r="E48" s="18" t="n">
        <v>37.23826638</v>
      </c>
      <c r="F48" s="20" t="n">
        <v>2.11722629</v>
      </c>
      <c r="G48" s="18" t="n">
        <v>61.24658949</v>
      </c>
      <c r="H48" s="20" t="n">
        <v>2.21977972</v>
      </c>
      <c r="I48" s="18" t="n">
        <v>0</v>
      </c>
      <c r="J48" s="20" t="n">
        <v>0</v>
      </c>
      <c r="K48" s="18" t="n">
        <v>1.51514413</v>
      </c>
      <c r="L48" s="20" t="n">
        <v>0.53666828</v>
      </c>
      <c r="M48" s="18" t="n">
        <v>0</v>
      </c>
      <c r="N48" s="20" t="n">
        <v>0</v>
      </c>
      <c r="O48" s="18" t="n">
        <v>0</v>
      </c>
      <c r="P48" s="20" t="n">
        <v>0</v>
      </c>
      <c r="Q48" s="18" t="n">
        <v>0</v>
      </c>
      <c r="R48" s="20" t="n">
        <v>0</v>
      </c>
    </row>
    <row r="49" spans="1:18">
      <c r="A49" s="15" t="s">
        <v>472</v>
      </c>
      <c r="B49" s="17" t="n">
        <v>11795</v>
      </c>
      <c r="C49" s="18">
        <f>(10444.0/B49*100)</f>
        <v/>
      </c>
      <c r="D49" s="19" t="n">
        <v>1351</v>
      </c>
      <c r="E49" s="18" t="n">
        <v>46.86486767</v>
      </c>
      <c r="F49" s="20" t="n">
        <v>1.79317462</v>
      </c>
      <c r="G49" s="18" t="n">
        <v>47.63904652</v>
      </c>
      <c r="H49" s="20" t="n">
        <v>1.84329169</v>
      </c>
      <c r="I49" s="18" t="n">
        <v>0</v>
      </c>
      <c r="J49" s="20" t="n">
        <v>0</v>
      </c>
      <c r="K49" s="18" t="n">
        <v>5.49608581</v>
      </c>
      <c r="L49" s="20" t="n">
        <v>0.89149895</v>
      </c>
      <c r="M49" s="18" t="n">
        <v>0</v>
      </c>
      <c r="N49" s="20" t="n">
        <v>0</v>
      </c>
      <c r="O49" s="18" t="n">
        <v>0</v>
      </c>
      <c r="P49" s="20" t="n">
        <v>0</v>
      </c>
      <c r="Q49" s="18" t="n">
        <v>0</v>
      </c>
      <c r="R49" s="20" t="n">
        <v>0</v>
      </c>
    </row>
    <row r="50" spans="1:18">
      <c r="A50" s="15" t="s">
        <v>473</v>
      </c>
      <c r="B50" s="17" t="n">
        <v>6866</v>
      </c>
      <c r="C50" s="18">
        <f>(6196.0/B50*100)</f>
        <v/>
      </c>
      <c r="D50" s="19" t="n">
        <v>670</v>
      </c>
      <c r="E50" s="18" t="n">
        <v>43.13539625</v>
      </c>
      <c r="F50" s="20" t="n">
        <v>2.08585494</v>
      </c>
      <c r="G50" s="18" t="n">
        <v>53.46948697</v>
      </c>
      <c r="H50" s="20" t="n">
        <v>2.16017777</v>
      </c>
      <c r="I50" s="18" t="n">
        <v>0</v>
      </c>
      <c r="J50" s="20" t="n">
        <v>0</v>
      </c>
      <c r="K50" s="18" t="n">
        <v>3.39511679</v>
      </c>
      <c r="L50" s="20" t="n">
        <v>0.6754822</v>
      </c>
      <c r="M50" s="18" t="n">
        <v>0</v>
      </c>
      <c r="N50" s="20" t="n">
        <v>0</v>
      </c>
      <c r="O50" s="18" t="n">
        <v>0</v>
      </c>
      <c r="P50" s="20" t="n">
        <v>0</v>
      </c>
      <c r="Q50" s="18" t="n">
        <v>0</v>
      </c>
      <c r="R50" s="20" t="n">
        <v>0</v>
      </c>
    </row>
    <row r="51" spans="1:18">
      <c r="A51" s="15" t="s">
        <v>474</v>
      </c>
      <c r="B51" s="17" t="n">
        <v>5809</v>
      </c>
      <c r="C51" s="18">
        <f>(5108.0/B51*100)</f>
        <v/>
      </c>
      <c r="D51" s="19" t="n">
        <v>701</v>
      </c>
      <c r="E51" s="18" t="n">
        <v>37.40848062</v>
      </c>
      <c r="F51" s="20" t="n">
        <v>1.70730724</v>
      </c>
      <c r="G51" s="18" t="n">
        <v>60.2804837</v>
      </c>
      <c r="H51" s="20" t="n">
        <v>1.78245822</v>
      </c>
      <c r="I51" s="18" t="n">
        <v>0</v>
      </c>
      <c r="J51" s="20" t="n">
        <v>0</v>
      </c>
      <c r="K51" s="18" t="n">
        <v>2.31103568</v>
      </c>
      <c r="L51" s="20" t="n">
        <v>0.55604049</v>
      </c>
      <c r="M51" s="18" t="n">
        <v>0</v>
      </c>
      <c r="N51" s="20" t="n">
        <v>0</v>
      </c>
      <c r="O51" s="18" t="n">
        <v>0</v>
      </c>
      <c r="P51" s="20" t="n">
        <v>0</v>
      </c>
      <c r="Q51" s="18" t="n">
        <v>0</v>
      </c>
      <c r="R51" s="20" t="n">
        <v>0</v>
      </c>
    </row>
    <row r="52" spans="1:18">
      <c r="A52" s="15" t="s">
        <v>475</v>
      </c>
      <c r="B52" s="17" t="n">
        <v>5571</v>
      </c>
      <c r="C52" s="18">
        <f>(4918.0/B52*100)</f>
        <v/>
      </c>
      <c r="D52" s="19" t="n">
        <v>653</v>
      </c>
      <c r="E52" s="18" t="n">
        <v>45.10021459</v>
      </c>
      <c r="F52" s="20" t="n">
        <v>2.14056317</v>
      </c>
      <c r="G52" s="18" t="n">
        <v>50.67591495</v>
      </c>
      <c r="H52" s="20" t="n">
        <v>2.14341197</v>
      </c>
      <c r="I52" s="18" t="n">
        <v>0</v>
      </c>
      <c r="J52" s="20" t="n">
        <v>0</v>
      </c>
      <c r="K52" s="18" t="n">
        <v>4.22387047</v>
      </c>
      <c r="L52" s="20" t="n">
        <v>0.77312576</v>
      </c>
      <c r="M52" s="18" t="n">
        <v>0</v>
      </c>
      <c r="N52" s="20" t="n">
        <v>0</v>
      </c>
      <c r="O52" s="18" t="n">
        <v>0</v>
      </c>
      <c r="P52" s="20" t="n">
        <v>0</v>
      </c>
      <c r="Q52" s="18" t="n">
        <v>0</v>
      </c>
      <c r="R52" s="20" t="n">
        <v>0</v>
      </c>
    </row>
    <row r="53" spans="1:18">
      <c r="A53" s="15" t="s">
        <v>476</v>
      </c>
      <c r="B53" s="17" t="n">
        <v>4740</v>
      </c>
      <c r="C53" s="18">
        <f>(3949.0/B53*100)</f>
        <v/>
      </c>
      <c r="D53" s="19" t="n">
        <v>791</v>
      </c>
      <c r="E53" s="18" t="n">
        <v>44.8777123</v>
      </c>
      <c r="F53" s="20" t="n">
        <v>2.06875144</v>
      </c>
      <c r="G53" s="18" t="n">
        <v>28.66244775</v>
      </c>
      <c r="H53" s="20" t="n">
        <v>1.9318593</v>
      </c>
      <c r="I53" s="18" t="n">
        <v>0</v>
      </c>
      <c r="J53" s="20" t="n">
        <v>0</v>
      </c>
      <c r="K53" s="18" t="n">
        <v>26.45983995</v>
      </c>
      <c r="L53" s="20" t="n">
        <v>1.70082802</v>
      </c>
      <c r="M53" s="18" t="n">
        <v>0</v>
      </c>
      <c r="N53" s="20" t="n">
        <v>0</v>
      </c>
      <c r="O53" s="18" t="n">
        <v>0</v>
      </c>
      <c r="P53" s="20" t="n">
        <v>0</v>
      </c>
      <c r="Q53" s="18" t="n">
        <v>0</v>
      </c>
      <c r="R53" s="20" t="n">
        <v>0</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(4699.0/B55*100)</f>
        <v/>
      </c>
      <c r="D55" s="19" t="n">
        <v>660</v>
      </c>
      <c r="E55" s="18" t="n">
        <v>40.41640019</v>
      </c>
      <c r="F55" s="20" t="n">
        <v>2.08167276</v>
      </c>
      <c r="G55" s="18" t="n">
        <v>59.08126678</v>
      </c>
      <c r="H55" s="20" t="n">
        <v>2.02117998</v>
      </c>
      <c r="I55" s="18" t="n">
        <v>0</v>
      </c>
      <c r="J55" s="20" t="n">
        <v>0</v>
      </c>
      <c r="K55" s="18" t="n">
        <v>0.50233304</v>
      </c>
      <c r="L55" s="20" t="n">
        <v>0.29281905</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(5751.0/B61*100)</f>
        <v/>
      </c>
      <c r="D61" s="19" t="n">
        <v>774</v>
      </c>
      <c r="E61" s="18" t="n">
        <v>38.72911335</v>
      </c>
      <c r="F61" s="20" t="n">
        <v>2.11566565</v>
      </c>
      <c r="G61" s="18" t="n">
        <v>59.84728988</v>
      </c>
      <c r="H61" s="20" t="n">
        <v>2.10500252</v>
      </c>
      <c r="I61" s="18" t="n">
        <v>0</v>
      </c>
      <c r="J61" s="20" t="n">
        <v>0</v>
      </c>
      <c r="K61" s="18" t="n">
        <v>1.42359677</v>
      </c>
      <c r="L61" s="20" t="n">
        <v>0.43706063</v>
      </c>
      <c r="M61" s="18" t="n">
        <v>0</v>
      </c>
      <c r="N61" s="20" t="n">
        <v>0</v>
      </c>
      <c r="O61" s="18" t="n">
        <v>0</v>
      </c>
      <c r="P61" s="20" t="n">
        <v>0</v>
      </c>
      <c r="Q61" s="18" t="n">
        <v>0</v>
      </c>
      <c r="R61" s="20" t="n">
        <v>0</v>
      </c>
    </row>
    <row r="62" spans="1:18">
      <c r="A62" s="15" t="s">
        <v>486</v>
      </c>
      <c r="B62" s="17" t="n">
        <v>4476</v>
      </c>
      <c r="C62" s="18">
        <f>(3958.0/B62*100)</f>
        <v/>
      </c>
      <c r="D62" s="19" t="n">
        <v>518</v>
      </c>
      <c r="E62" s="18" t="n">
        <v>48.05232309</v>
      </c>
      <c r="F62" s="20" t="n">
        <v>2.27181282</v>
      </c>
      <c r="G62" s="18" t="n">
        <v>51.75592453</v>
      </c>
      <c r="H62" s="20" t="n">
        <v>2.23258869</v>
      </c>
      <c r="I62" s="18" t="n">
        <v>0</v>
      </c>
      <c r="J62" s="20" t="n">
        <v>0</v>
      </c>
      <c r="K62" s="18" t="n">
        <v>0.19175238</v>
      </c>
      <c r="L62" s="20" t="n">
        <v>0.19329024</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(5002.0/B67*100)</f>
        <v/>
      </c>
      <c r="D67" s="19" t="n">
        <v>663</v>
      </c>
      <c r="E67" s="18" t="n">
        <v>42.59038256</v>
      </c>
      <c r="F67" s="20" t="n">
        <v>1.82767027</v>
      </c>
      <c r="G67" s="18" t="n">
        <v>49.07105631</v>
      </c>
      <c r="H67" s="20" t="n">
        <v>1.95590621</v>
      </c>
      <c r="I67" s="18" t="n">
        <v>0</v>
      </c>
      <c r="J67" s="20" t="n">
        <v>0</v>
      </c>
      <c r="K67" s="18" t="n">
        <v>8.33856113</v>
      </c>
      <c r="L67" s="20" t="n">
        <v>1.04174575</v>
      </c>
      <c r="M67" s="18" t="n">
        <v>0</v>
      </c>
      <c r="N67" s="20" t="n">
        <v>0</v>
      </c>
      <c r="O67" s="18" t="n">
        <v>0</v>
      </c>
      <c r="P67" s="20" t="n">
        <v>0</v>
      </c>
      <c r="Q67" s="18" t="n">
        <v>0</v>
      </c>
      <c r="R67" s="20" t="n">
        <v>0</v>
      </c>
    </row>
    <row r="68" spans="1:18">
      <c r="A68" s="15" t="s">
        <v>492</v>
      </c>
      <c r="B68" s="17" t="n">
        <v>6971</v>
      </c>
      <c r="C68" s="18">
        <f>(6301.0/B68*100)</f>
        <v/>
      </c>
      <c r="D68" s="19" t="n">
        <v>670</v>
      </c>
      <c r="E68" s="18" t="n">
        <v>49.63644419</v>
      </c>
      <c r="F68" s="20" t="n">
        <v>2.14772083</v>
      </c>
      <c r="G68" s="18" t="n">
        <v>47.8878561</v>
      </c>
      <c r="H68" s="20" t="n">
        <v>2.25552904</v>
      </c>
      <c r="I68" s="18" t="n">
        <v>0</v>
      </c>
      <c r="J68" s="20" t="n">
        <v>0</v>
      </c>
      <c r="K68" s="18" t="n">
        <v>2.47569971</v>
      </c>
      <c r="L68" s="20" t="n">
        <v>0.6329905300000001</v>
      </c>
      <c r="M68" s="18" t="n">
        <v>0</v>
      </c>
      <c r="N68" s="20" t="n">
        <v>0</v>
      </c>
      <c r="O68" s="18" t="n">
        <v>0</v>
      </c>
      <c r="P68" s="20" t="n">
        <v>0</v>
      </c>
      <c r="Q68" s="18" t="n">
        <v>0</v>
      </c>
      <c r="R68" s="20" t="n">
        <v>0</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(10073.0/B70*100)</f>
        <v/>
      </c>
      <c r="D70" s="19" t="n">
        <v>2010</v>
      </c>
      <c r="E70" s="18" t="n">
        <v>53.83755158</v>
      </c>
      <c r="F70" s="20" t="n">
        <v>1.11838049</v>
      </c>
      <c r="G70" s="18" t="n">
        <v>37.8182031</v>
      </c>
      <c r="H70" s="20" t="n">
        <v>1.08774914</v>
      </c>
      <c r="I70" s="18" t="n">
        <v>0</v>
      </c>
      <c r="J70" s="20" t="n">
        <v>0</v>
      </c>
      <c r="K70" s="18" t="n">
        <v>8.344245320000001</v>
      </c>
      <c r="L70" s="20" t="n">
        <v>0.58616423</v>
      </c>
      <c r="M70" s="18" t="n">
        <v>0</v>
      </c>
      <c r="N70" s="20" t="n">
        <v>0</v>
      </c>
      <c r="O70" s="18" t="n">
        <v>0</v>
      </c>
      <c r="P70" s="20" t="n">
        <v>0</v>
      </c>
      <c r="Q70" s="18" t="n">
        <v>0</v>
      </c>
      <c r="R70" s="20" t="n">
        <v>0</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(5356.0/B72*100)</f>
        <v/>
      </c>
      <c r="D72" s="19" t="n">
        <v>680</v>
      </c>
      <c r="E72" s="18" t="n">
        <v>34.51123674</v>
      </c>
      <c r="F72" s="20" t="n">
        <v>1.70955359</v>
      </c>
      <c r="G72" s="18" t="n">
        <v>62.78259938</v>
      </c>
      <c r="H72" s="20" t="n">
        <v>1.69471062</v>
      </c>
      <c r="I72" s="18" t="n">
        <v>0</v>
      </c>
      <c r="J72" s="20" t="n">
        <v>0</v>
      </c>
      <c r="K72" s="18" t="n">
        <v>2.70616388</v>
      </c>
      <c r="L72" s="20" t="n">
        <v>0.67536906</v>
      </c>
      <c r="M72" s="18" t="n">
        <v>0</v>
      </c>
      <c r="N72" s="20" t="n">
        <v>0</v>
      </c>
      <c r="O72" s="18" t="n">
        <v>0</v>
      </c>
      <c r="P72" s="20" t="n">
        <v>0</v>
      </c>
      <c r="Q72" s="18" t="n">
        <v>0</v>
      </c>
      <c r="R72" s="20" t="n">
        <v>0</v>
      </c>
    </row>
    <row r="73" spans="1:18">
      <c r="A73" s="15" t="s">
        <v>497</v>
      </c>
      <c r="B73" s="17" t="n">
        <v>6115</v>
      </c>
      <c r="C73" s="18">
        <f>(5366.0/B73*100)</f>
        <v/>
      </c>
      <c r="D73" s="19" t="n">
        <v>749</v>
      </c>
      <c r="E73" s="18" t="n">
        <v>37.47494249</v>
      </c>
      <c r="F73" s="20" t="n">
        <v>1.96005021</v>
      </c>
      <c r="G73" s="18" t="n">
        <v>61.63754567</v>
      </c>
      <c r="H73" s="20" t="n">
        <v>1.89905934</v>
      </c>
      <c r="I73" s="18" t="n">
        <v>0</v>
      </c>
      <c r="J73" s="20" t="n">
        <v>0</v>
      </c>
      <c r="K73" s="18" t="n">
        <v>0.88751185</v>
      </c>
      <c r="L73" s="20" t="n">
        <v>0.38009772</v>
      </c>
      <c r="M73" s="18" t="n">
        <v>0</v>
      </c>
      <c r="N73" s="20" t="n">
        <v>0</v>
      </c>
      <c r="O73" s="18" t="n">
        <v>0</v>
      </c>
      <c r="P73" s="20" t="n">
        <v>0</v>
      </c>
      <c r="Q73" s="18" t="n">
        <v>0</v>
      </c>
      <c r="R73" s="20" t="n">
        <v>0</v>
      </c>
    </row>
    <row r="74" spans="1:18">
      <c r="A74" s="15" t="s">
        <v>498</v>
      </c>
      <c r="B74" s="17" t="n">
        <v>7708</v>
      </c>
      <c r="C74" s="18">
        <f>(6767.0/B74*100)</f>
        <v/>
      </c>
      <c r="D74" s="19" t="n">
        <v>941</v>
      </c>
      <c r="E74" s="18" t="n">
        <v>42.44063268</v>
      </c>
      <c r="F74" s="20" t="n">
        <v>1.76279425</v>
      </c>
      <c r="G74" s="18" t="n">
        <v>57.12172492</v>
      </c>
      <c r="H74" s="20" t="n">
        <v>1.74298617</v>
      </c>
      <c r="I74" s="18" t="n">
        <v>0</v>
      </c>
      <c r="J74" s="20" t="n">
        <v>0</v>
      </c>
      <c r="K74" s="18" t="n">
        <v>0.4376424</v>
      </c>
      <c r="L74" s="20" t="n">
        <v>0.22513618</v>
      </c>
      <c r="M74" s="18" t="n">
        <v>0</v>
      </c>
      <c r="N74" s="20" t="n">
        <v>0</v>
      </c>
      <c r="O74" s="18" t="n">
        <v>0</v>
      </c>
      <c r="P74" s="20" t="n">
        <v>0</v>
      </c>
      <c r="Q74" s="18" t="n">
        <v>0</v>
      </c>
      <c r="R74" s="20" t="n">
        <v>0</v>
      </c>
    </row>
    <row r="75" spans="1:18">
      <c r="A75" s="15" t="s">
        <v>499</v>
      </c>
      <c r="B75" s="17" t="n">
        <v>8249</v>
      </c>
      <c r="C75" s="18">
        <f>(7325.0/B75*100)</f>
        <v/>
      </c>
      <c r="D75" s="19" t="n">
        <v>924</v>
      </c>
      <c r="E75" s="18" t="n">
        <v>55.05185421</v>
      </c>
      <c r="F75" s="20" t="n">
        <v>2.10621188</v>
      </c>
      <c r="G75" s="18" t="n">
        <v>44.77426107</v>
      </c>
      <c r="H75" s="20" t="n">
        <v>2.08835039</v>
      </c>
      <c r="I75" s="18" t="n">
        <v>0</v>
      </c>
      <c r="J75" s="20" t="n">
        <v>0</v>
      </c>
      <c r="K75" s="18" t="n">
        <v>0.17388471</v>
      </c>
      <c r="L75" s="20" t="n">
        <v>0.15687349</v>
      </c>
      <c r="M75" s="18" t="n">
        <v>0</v>
      </c>
      <c r="N75" s="20" t="n">
        <v>0</v>
      </c>
      <c r="O75" s="18" t="n">
        <v>0</v>
      </c>
      <c r="P75" s="20" t="n">
        <v>0</v>
      </c>
      <c r="Q75" s="18" t="n">
        <v>0</v>
      </c>
      <c r="R75" s="20" t="n">
        <v>0</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(4812.0/B77*100)</f>
        <v/>
      </c>
      <c r="D77" s="19" t="n">
        <v>563</v>
      </c>
      <c r="E77" s="18" t="n">
        <v>35.19629078</v>
      </c>
      <c r="F77" s="20" t="n">
        <v>1.99600503</v>
      </c>
      <c r="G77" s="18" t="n">
        <v>54.70380043</v>
      </c>
      <c r="H77" s="20" t="n">
        <v>2.01658816</v>
      </c>
      <c r="I77" s="18" t="n">
        <v>0</v>
      </c>
      <c r="J77" s="20" t="n">
        <v>0</v>
      </c>
      <c r="K77" s="18" t="n">
        <v>10.09990878</v>
      </c>
      <c r="L77" s="20" t="n">
        <v>1.36491492</v>
      </c>
      <c r="M77" s="18" t="n">
        <v>0</v>
      </c>
      <c r="N77" s="20" t="n">
        <v>0</v>
      </c>
      <c r="O77" s="18" t="n">
        <v>0</v>
      </c>
      <c r="P77" s="20" t="n">
        <v>0</v>
      </c>
      <c r="Q77" s="18" t="n">
        <v>0</v>
      </c>
      <c r="R77" s="20" t="n">
        <v>0</v>
      </c>
    </row>
    <row r="78" spans="1:18">
      <c r="A78" s="15" t="s">
        <v>502</v>
      </c>
      <c r="B78" s="17" t="n">
        <v>14167</v>
      </c>
      <c r="C78" s="18">
        <f>(12456.0/B78*100)</f>
        <v/>
      </c>
      <c r="D78" s="19" t="n">
        <v>1711</v>
      </c>
      <c r="E78" s="18" t="n">
        <v>49.6843527</v>
      </c>
      <c r="F78" s="20" t="n">
        <v>1.15849635</v>
      </c>
      <c r="G78" s="18" t="n">
        <v>46.82269852</v>
      </c>
      <c r="H78" s="20" t="n">
        <v>1.25874728</v>
      </c>
      <c r="I78" s="18" t="n">
        <v>0</v>
      </c>
      <c r="J78" s="20" t="n">
        <v>0</v>
      </c>
      <c r="K78" s="18" t="n">
        <v>3.49294878</v>
      </c>
      <c r="L78" s="20" t="n">
        <v>0.52538948</v>
      </c>
      <c r="M78" s="18" t="n">
        <v>0</v>
      </c>
      <c r="N78" s="20" t="n">
        <v>0</v>
      </c>
      <c r="O78" s="18" t="n">
        <v>0</v>
      </c>
      <c r="P78" s="20" t="n">
        <v>0</v>
      </c>
      <c r="Q78" s="18" t="n">
        <v>0</v>
      </c>
      <c r="R78" s="20" t="n">
        <v>0</v>
      </c>
    </row>
    <row r="79" spans="1:18">
      <c r="A79" s="15" t="s">
        <v>503</v>
      </c>
      <c r="B79" s="17" t="n">
        <v>6062</v>
      </c>
      <c r="C79" s="18">
        <f>(5419.0/B79*100)</f>
        <v/>
      </c>
      <c r="D79" s="19" t="n">
        <v>643</v>
      </c>
      <c r="E79" s="18" t="n">
        <v>37.57208814</v>
      </c>
      <c r="F79" s="20" t="n">
        <v>2.23685647</v>
      </c>
      <c r="G79" s="18" t="n">
        <v>51.39220142</v>
      </c>
      <c r="H79" s="20" t="n">
        <v>2.05482098</v>
      </c>
      <c r="I79" s="18" t="n">
        <v>0</v>
      </c>
      <c r="J79" s="20" t="n">
        <v>0</v>
      </c>
      <c r="K79" s="18" t="n">
        <v>11.03571044</v>
      </c>
      <c r="L79" s="20" t="n">
        <v>1.26189238</v>
      </c>
      <c r="M79" s="18" t="n">
        <v>0</v>
      </c>
      <c r="N79" s="20" t="n">
        <v>0</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(28574.0/B82*100)</f>
        <v/>
      </c>
      <c r="D82" s="19" t="n">
        <v>3756</v>
      </c>
      <c r="E82" s="18" t="n">
        <v>31.22748436</v>
      </c>
      <c r="F82" s="20" t="n">
        <v>1.08457668</v>
      </c>
      <c r="G82" s="18" t="n">
        <v>66.40540949</v>
      </c>
      <c r="H82" s="20" t="n">
        <v>1.10083144</v>
      </c>
      <c r="I82" s="18" t="n">
        <v>0</v>
      </c>
      <c r="J82" s="20" t="n">
        <v>0</v>
      </c>
      <c r="K82" s="18" t="n">
        <v>2.36710615</v>
      </c>
      <c r="L82" s="20" t="n">
        <v>0.28148243</v>
      </c>
      <c r="M82" s="18" t="n">
        <v>0</v>
      </c>
      <c r="N82" s="20" t="n">
        <v>0</v>
      </c>
      <c r="O82" s="18" t="n">
        <v>0</v>
      </c>
      <c r="P82" s="20" t="n">
        <v>0</v>
      </c>
      <c r="Q82" s="18" t="n">
        <v>0</v>
      </c>
      <c r="R82" s="20" t="n">
        <v>0</v>
      </c>
    </row>
    <row r="83" spans="1:18">
      <c r="A83" s="15" t="s">
        <v>507</v>
      </c>
      <c r="B83" s="17" t="n">
        <v>1652</v>
      </c>
      <c r="C83" s="18">
        <f>(1464.0/B83*100)</f>
        <v/>
      </c>
      <c r="D83" s="19" t="n">
        <v>188</v>
      </c>
      <c r="E83" s="18" t="n">
        <v>43.21468321</v>
      </c>
      <c r="F83" s="20" t="n">
        <v>3.45003555</v>
      </c>
      <c r="G83" s="18" t="n">
        <v>55.3227217</v>
      </c>
      <c r="H83" s="20" t="n">
        <v>3.38895462</v>
      </c>
      <c r="I83" s="18" t="n">
        <v>0</v>
      </c>
      <c r="J83" s="20" t="n">
        <v>0</v>
      </c>
      <c r="K83" s="18" t="n">
        <v>1.46259509</v>
      </c>
      <c r="L83" s="20" t="n">
        <v>0.88574187</v>
      </c>
      <c r="M83" s="18" t="n">
        <v>0</v>
      </c>
      <c r="N83" s="20" t="n">
        <v>0</v>
      </c>
      <c r="O83" s="18" t="n">
        <v>0</v>
      </c>
      <c r="P83" s="20" t="n">
        <v>0</v>
      </c>
      <c r="Q83" s="18" t="n">
        <v>0</v>
      </c>
      <c r="R83" s="20" t="n">
        <v>0</v>
      </c>
    </row>
    <row r="84" spans="1:18">
      <c r="A84" s="23" t="s">
        <v>508</v>
      </c>
      <c r="B84" s="24" t="n">
        <v>1887</v>
      </c>
      <c r="C84" s="25">
        <f>(1661.0/B84*100)</f>
        <v/>
      </c>
      <c r="D84" s="19" t="n">
        <v>226</v>
      </c>
      <c r="E84" s="18" t="n">
        <v>33.1973661</v>
      </c>
      <c r="F84" s="20" t="n">
        <v>3.57354283</v>
      </c>
      <c r="G84" s="18" t="n">
        <v>64.53269769000001</v>
      </c>
      <c r="H84" s="20" t="n">
        <v>3.45319191</v>
      </c>
      <c r="I84" s="18" t="n">
        <v>0</v>
      </c>
      <c r="J84" s="20" t="n">
        <v>0</v>
      </c>
      <c r="K84" s="18" t="n">
        <v>2.26993621</v>
      </c>
      <c r="L84" s="20" t="n">
        <v>1.00143473</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(12761.0/B7*100)</f>
        <v/>
      </c>
      <c r="D7" s="19" t="n">
        <v>1769</v>
      </c>
      <c r="E7" s="18" t="n">
        <v>41.19993567</v>
      </c>
      <c r="F7" s="20" t="n">
        <v>1.42351338</v>
      </c>
      <c r="G7" s="18" t="n">
        <v>56.42924246</v>
      </c>
      <c r="H7" s="20" t="n">
        <v>1.37870814</v>
      </c>
      <c r="I7" s="18" t="n">
        <v>0</v>
      </c>
      <c r="J7" s="20" t="n">
        <v>0</v>
      </c>
      <c r="K7" s="18" t="n">
        <v>0.04550448</v>
      </c>
      <c r="L7" s="20" t="n">
        <v>0.02688559</v>
      </c>
      <c r="M7" s="18" t="n">
        <v>0</v>
      </c>
      <c r="N7" s="20" t="n">
        <v>0</v>
      </c>
      <c r="O7" s="18" t="n">
        <v>0</v>
      </c>
      <c r="P7" s="20" t="n">
        <v>0</v>
      </c>
      <c r="Q7" s="18" t="n">
        <v>2.32531738</v>
      </c>
      <c r="R7" s="20" t="n">
        <v>0.42002803</v>
      </c>
    </row>
    <row r="8" spans="1:18">
      <c r="A8" s="15" t="s">
        <v>430</v>
      </c>
      <c r="B8" s="17" t="n">
        <v>7007</v>
      </c>
      <c r="C8" s="18">
        <f>(6174.0/B8*100)</f>
        <v/>
      </c>
      <c r="D8" s="19" t="n">
        <v>833</v>
      </c>
      <c r="E8" s="18" t="n">
        <v>35.29302536</v>
      </c>
      <c r="F8" s="20" t="n">
        <v>1.68104374</v>
      </c>
      <c r="G8" s="18" t="n">
        <v>63.41336125</v>
      </c>
      <c r="H8" s="20" t="n">
        <v>1.67356051</v>
      </c>
      <c r="I8" s="18" t="n">
        <v>0</v>
      </c>
      <c r="J8" s="20" t="n">
        <v>0</v>
      </c>
      <c r="K8" s="18" t="n">
        <v>0</v>
      </c>
      <c r="L8" s="20" t="n">
        <v>0</v>
      </c>
      <c r="M8" s="18" t="n">
        <v>0</v>
      </c>
      <c r="N8" s="20" t="n">
        <v>0</v>
      </c>
      <c r="O8" s="18" t="n">
        <v>0</v>
      </c>
      <c r="P8" s="20" t="n">
        <v>0</v>
      </c>
      <c r="Q8" s="18" t="n">
        <v>1.29361339</v>
      </c>
      <c r="R8" s="20" t="n">
        <v>0.41726048</v>
      </c>
    </row>
    <row r="9" spans="1:18">
      <c r="A9" s="15" t="s">
        <v>431</v>
      </c>
      <c r="B9" s="17" t="n">
        <v>9651</v>
      </c>
      <c r="C9" s="18">
        <f>(8501.0/B9*100)</f>
        <v/>
      </c>
      <c r="D9" s="19" t="n">
        <v>1150</v>
      </c>
      <c r="E9" s="18" t="n">
        <v>36.8939359</v>
      </c>
      <c r="F9" s="20" t="n">
        <v>1.72169291</v>
      </c>
      <c r="G9" s="18" t="n">
        <v>59.11303994</v>
      </c>
      <c r="H9" s="20" t="n">
        <v>1.77288846</v>
      </c>
      <c r="I9" s="18" t="n">
        <v>0</v>
      </c>
      <c r="J9" s="20" t="n">
        <v>0</v>
      </c>
      <c r="K9" s="18" t="n">
        <v>0.07786257000000001</v>
      </c>
      <c r="L9" s="20" t="n">
        <v>0.07524633</v>
      </c>
      <c r="M9" s="18" t="n">
        <v>0</v>
      </c>
      <c r="N9" s="20" t="n">
        <v>0</v>
      </c>
      <c r="O9" s="18" t="n">
        <v>0</v>
      </c>
      <c r="P9" s="20" t="n">
        <v>0</v>
      </c>
      <c r="Q9" s="18" t="n">
        <v>3.91516158</v>
      </c>
      <c r="R9" s="20" t="n">
        <v>0.8709346100000001</v>
      </c>
    </row>
    <row r="10" spans="1:18">
      <c r="A10" s="15" t="s">
        <v>432</v>
      </c>
      <c r="B10" s="17" t="n">
        <v>20058</v>
      </c>
      <c r="C10" s="18">
        <f>(17588.0/B10*100)</f>
        <v/>
      </c>
      <c r="D10" s="19" t="n">
        <v>2470</v>
      </c>
      <c r="E10" s="18" t="n">
        <v>35.92344775</v>
      </c>
      <c r="F10" s="20" t="n">
        <v>1.27412218</v>
      </c>
      <c r="G10" s="18" t="n">
        <v>61.73770716</v>
      </c>
      <c r="H10" s="20" t="n">
        <v>1.34725428</v>
      </c>
      <c r="I10" s="18" t="n">
        <v>0</v>
      </c>
      <c r="J10" s="20" t="n">
        <v>0</v>
      </c>
      <c r="K10" s="18" t="n">
        <v>0.16338377</v>
      </c>
      <c r="L10" s="20" t="n">
        <v>0.11099637</v>
      </c>
      <c r="M10" s="18" t="n">
        <v>0</v>
      </c>
      <c r="N10" s="20" t="n">
        <v>0</v>
      </c>
      <c r="O10" s="18" t="n">
        <v>0</v>
      </c>
      <c r="P10" s="20" t="n">
        <v>0</v>
      </c>
      <c r="Q10" s="18" t="n">
        <v>2.17546133</v>
      </c>
      <c r="R10" s="20" t="n">
        <v>0.41093873</v>
      </c>
    </row>
    <row r="11" spans="1:18">
      <c r="A11" s="15" t="s">
        <v>433</v>
      </c>
      <c r="B11" s="17" t="n">
        <v>7053</v>
      </c>
      <c r="C11" s="18">
        <f>(6180.0/B11*100)</f>
        <v/>
      </c>
      <c r="D11" s="19" t="n">
        <v>873</v>
      </c>
      <c r="E11" s="18" t="n">
        <v>40.38646932</v>
      </c>
      <c r="F11" s="20" t="n">
        <v>2.09260412</v>
      </c>
      <c r="G11" s="18" t="n">
        <v>57.8220259</v>
      </c>
      <c r="H11" s="20" t="n">
        <v>2.17046358</v>
      </c>
      <c r="I11" s="18" t="n">
        <v>0</v>
      </c>
      <c r="J11" s="20" t="n">
        <v>0</v>
      </c>
      <c r="K11" s="18" t="n">
        <v>0</v>
      </c>
      <c r="L11" s="20" t="n">
        <v>0</v>
      </c>
      <c r="M11" s="18" t="n">
        <v>0</v>
      </c>
      <c r="N11" s="20" t="n">
        <v>0</v>
      </c>
      <c r="O11" s="18" t="n">
        <v>0</v>
      </c>
      <c r="P11" s="20" t="n">
        <v>0</v>
      </c>
      <c r="Q11" s="18" t="n">
        <v>1.79150479</v>
      </c>
      <c r="R11" s="20" t="n">
        <v>0.50159656</v>
      </c>
    </row>
    <row r="12" spans="1:18">
      <c r="A12" s="15" t="s">
        <v>434</v>
      </c>
      <c r="B12" s="17" t="n">
        <v>6894</v>
      </c>
      <c r="C12" s="18">
        <f>(6044.0/B12*100)</f>
        <v/>
      </c>
      <c r="D12" s="19" t="n">
        <v>850</v>
      </c>
      <c r="E12" s="18" t="n">
        <v>35.11282218</v>
      </c>
      <c r="F12" s="20" t="n">
        <v>1.71497889</v>
      </c>
      <c r="G12" s="18" t="n">
        <v>61.23753362</v>
      </c>
      <c r="H12" s="20" t="n">
        <v>1.85674927</v>
      </c>
      <c r="I12" s="18" t="n">
        <v>0</v>
      </c>
      <c r="J12" s="20" t="n">
        <v>0</v>
      </c>
      <c r="K12" s="18" t="n">
        <v>0</v>
      </c>
      <c r="L12" s="20" t="n">
        <v>0</v>
      </c>
      <c r="M12" s="18" t="n">
        <v>0</v>
      </c>
      <c r="N12" s="20" t="n">
        <v>0</v>
      </c>
      <c r="O12" s="18" t="n">
        <v>0</v>
      </c>
      <c r="P12" s="20" t="n">
        <v>0</v>
      </c>
      <c r="Q12" s="18" t="n">
        <v>3.64964419</v>
      </c>
      <c r="R12" s="20" t="n">
        <v>0.91156472</v>
      </c>
    </row>
    <row r="13" spans="1:18">
      <c r="A13" s="15" t="s">
        <v>435</v>
      </c>
      <c r="B13" s="17" t="n">
        <v>7161</v>
      </c>
      <c r="C13" s="18">
        <f>(6326.0/B13*100)</f>
        <v/>
      </c>
      <c r="D13" s="19" t="n">
        <v>835</v>
      </c>
      <c r="E13" s="18" t="n">
        <v>31.84379817</v>
      </c>
      <c r="F13" s="20" t="n">
        <v>1.95615836</v>
      </c>
      <c r="G13" s="18" t="n">
        <v>57.6145255</v>
      </c>
      <c r="H13" s="20" t="n">
        <v>2.34403834</v>
      </c>
      <c r="I13" s="18" t="n">
        <v>0</v>
      </c>
      <c r="J13" s="20" t="n">
        <v>0</v>
      </c>
      <c r="K13" s="18" t="n">
        <v>0.77605057</v>
      </c>
      <c r="L13" s="20" t="n">
        <v>0.3862464</v>
      </c>
      <c r="M13" s="18" t="n">
        <v>0</v>
      </c>
      <c r="N13" s="20" t="n">
        <v>0</v>
      </c>
      <c r="O13" s="18" t="n">
        <v>0</v>
      </c>
      <c r="P13" s="20" t="n">
        <v>0</v>
      </c>
      <c r="Q13" s="18" t="n">
        <v>9.76562577</v>
      </c>
      <c r="R13" s="20" t="n">
        <v>1.56296773</v>
      </c>
    </row>
    <row r="14" spans="1:18">
      <c r="A14" s="15" t="s">
        <v>436</v>
      </c>
      <c r="B14" s="17" t="n">
        <v>5587</v>
      </c>
      <c r="C14" s="18">
        <f>(4912.0/B14*100)</f>
        <v/>
      </c>
      <c r="D14" s="19" t="n">
        <v>675</v>
      </c>
      <c r="E14" s="18" t="n">
        <v>45.66058102</v>
      </c>
      <c r="F14" s="20" t="n">
        <v>2.47350279</v>
      </c>
      <c r="G14" s="18" t="n">
        <v>48.22759376</v>
      </c>
      <c r="H14" s="20" t="n">
        <v>2.47268022</v>
      </c>
      <c r="I14" s="18" t="n">
        <v>0</v>
      </c>
      <c r="J14" s="20" t="n">
        <v>0</v>
      </c>
      <c r="K14" s="18" t="n">
        <v>0.11929928</v>
      </c>
      <c r="L14" s="20" t="n">
        <v>0.1256359</v>
      </c>
      <c r="M14" s="18" t="n">
        <v>0</v>
      </c>
      <c r="N14" s="20" t="n">
        <v>0</v>
      </c>
      <c r="O14" s="18" t="n">
        <v>0</v>
      </c>
      <c r="P14" s="20" t="n">
        <v>0</v>
      </c>
      <c r="Q14" s="18" t="n">
        <v>5.99252594</v>
      </c>
      <c r="R14" s="20" t="n">
        <v>1.40139699</v>
      </c>
    </row>
    <row r="15" spans="1:18">
      <c r="A15" s="15" t="s">
        <v>437</v>
      </c>
      <c r="B15" s="17" t="n">
        <v>5882</v>
      </c>
      <c r="C15" s="18">
        <f>(5144.0/B15*100)</f>
        <v/>
      </c>
      <c r="D15" s="19" t="n">
        <v>738</v>
      </c>
      <c r="E15" s="18" t="n">
        <v>24.07009967</v>
      </c>
      <c r="F15" s="20" t="n">
        <v>1.74803452</v>
      </c>
      <c r="G15" s="18" t="n">
        <v>73.3991336</v>
      </c>
      <c r="H15" s="20" t="n">
        <v>1.87190787</v>
      </c>
      <c r="I15" s="18" t="n">
        <v>0</v>
      </c>
      <c r="J15" s="20" t="n">
        <v>0</v>
      </c>
      <c r="K15" s="18" t="n">
        <v>0.27010706</v>
      </c>
      <c r="L15" s="20" t="n">
        <v>0.18973382</v>
      </c>
      <c r="M15" s="18" t="n">
        <v>0</v>
      </c>
      <c r="N15" s="20" t="n">
        <v>0</v>
      </c>
      <c r="O15" s="18" t="n">
        <v>0</v>
      </c>
      <c r="P15" s="20" t="n">
        <v>0</v>
      </c>
      <c r="Q15" s="18" t="n">
        <v>2.26065966</v>
      </c>
      <c r="R15" s="20" t="n">
        <v>0.5854915000000001</v>
      </c>
    </row>
    <row r="16" spans="1:18">
      <c r="A16" s="15" t="s">
        <v>438</v>
      </c>
      <c r="B16" s="17" t="n">
        <v>6108</v>
      </c>
      <c r="C16" s="18">
        <f>(5331.0/B16*100)</f>
        <v/>
      </c>
      <c r="D16" s="19" t="n">
        <v>777</v>
      </c>
      <c r="E16" s="18" t="n">
        <v>39.52361913</v>
      </c>
      <c r="F16" s="20" t="n">
        <v>1.89812919</v>
      </c>
      <c r="G16" s="18" t="n">
        <v>57.07813402</v>
      </c>
      <c r="H16" s="20" t="n">
        <v>2.04016406</v>
      </c>
      <c r="I16" s="18" t="n">
        <v>0</v>
      </c>
      <c r="J16" s="20" t="n">
        <v>0</v>
      </c>
      <c r="K16" s="18" t="n">
        <v>0.79901217</v>
      </c>
      <c r="L16" s="20" t="n">
        <v>0.38929818</v>
      </c>
      <c r="M16" s="18" t="n">
        <v>0</v>
      </c>
      <c r="N16" s="20" t="n">
        <v>0</v>
      </c>
      <c r="O16" s="18" t="n">
        <v>0</v>
      </c>
      <c r="P16" s="20" t="n">
        <v>0</v>
      </c>
      <c r="Q16" s="18" t="n">
        <v>2.59923469</v>
      </c>
      <c r="R16" s="20" t="n">
        <v>0.71021415</v>
      </c>
    </row>
    <row r="17" spans="1:18">
      <c r="A17" s="15" t="s">
        <v>439</v>
      </c>
      <c r="B17" s="17" t="n">
        <v>6504</v>
      </c>
      <c r="C17" s="18">
        <f>(5712.0/B17*100)</f>
        <v/>
      </c>
      <c r="D17" s="19" t="n">
        <v>792</v>
      </c>
      <c r="E17" s="18" t="n">
        <v>29.56023155</v>
      </c>
      <c r="F17" s="20" t="n">
        <v>1.63111412</v>
      </c>
      <c r="G17" s="18" t="n">
        <v>69.12663539</v>
      </c>
      <c r="H17" s="20" t="n">
        <v>1.66092362</v>
      </c>
      <c r="I17" s="18" t="n">
        <v>0</v>
      </c>
      <c r="J17" s="20" t="n">
        <v>0</v>
      </c>
      <c r="K17" s="18" t="n">
        <v>0.2178022</v>
      </c>
      <c r="L17" s="20" t="n">
        <v>0.15602338</v>
      </c>
      <c r="M17" s="18" t="n">
        <v>0</v>
      </c>
      <c r="N17" s="20" t="n">
        <v>0</v>
      </c>
      <c r="O17" s="18" t="n">
        <v>0</v>
      </c>
      <c r="P17" s="20" t="n">
        <v>0</v>
      </c>
      <c r="Q17" s="18" t="n">
        <v>1.09533086</v>
      </c>
      <c r="R17" s="20" t="n">
        <v>0.30220851</v>
      </c>
    </row>
    <row r="18" spans="1:18">
      <c r="A18" s="15" t="s">
        <v>440</v>
      </c>
      <c r="B18" s="17" t="n">
        <v>5532</v>
      </c>
      <c r="C18" s="18">
        <f>(4844.0/B18*100)</f>
        <v/>
      </c>
      <c r="D18" s="19" t="n">
        <v>688</v>
      </c>
      <c r="E18" s="18" t="n">
        <v>39.59319779</v>
      </c>
      <c r="F18" s="20" t="n">
        <v>1.95102745</v>
      </c>
      <c r="G18" s="18" t="n">
        <v>57.69350655</v>
      </c>
      <c r="H18" s="20" t="n">
        <v>1.93397875</v>
      </c>
      <c r="I18" s="18" t="n">
        <v>0</v>
      </c>
      <c r="J18" s="20" t="n">
        <v>0</v>
      </c>
      <c r="K18" s="18" t="n">
        <v>0</v>
      </c>
      <c r="L18" s="20" t="n">
        <v>0</v>
      </c>
      <c r="M18" s="18" t="n">
        <v>0</v>
      </c>
      <c r="N18" s="20" t="n">
        <v>0</v>
      </c>
      <c r="O18" s="18" t="n">
        <v>0</v>
      </c>
      <c r="P18" s="20" t="n">
        <v>0</v>
      </c>
      <c r="Q18" s="18" t="n">
        <v>2.71329565</v>
      </c>
      <c r="R18" s="20" t="n">
        <v>0.7010245899999999</v>
      </c>
    </row>
    <row r="19" spans="1:18">
      <c r="A19" s="15" t="s">
        <v>441</v>
      </c>
      <c r="B19" s="17" t="n">
        <v>5658</v>
      </c>
      <c r="C19" s="18">
        <f>(4937.0/B19*100)</f>
        <v/>
      </c>
      <c r="D19" s="19" t="n">
        <v>721</v>
      </c>
      <c r="E19" s="18" t="n">
        <v>40.65686614</v>
      </c>
      <c r="F19" s="20" t="n">
        <v>2.03519006</v>
      </c>
      <c r="G19" s="18" t="n">
        <v>50.2233442</v>
      </c>
      <c r="H19" s="20" t="n">
        <v>2.13299908</v>
      </c>
      <c r="I19" s="18" t="n">
        <v>0</v>
      </c>
      <c r="J19" s="20" t="n">
        <v>0</v>
      </c>
      <c r="K19" s="18" t="n">
        <v>0.31984624</v>
      </c>
      <c r="L19" s="20" t="n">
        <v>0.30260724</v>
      </c>
      <c r="M19" s="18" t="n">
        <v>0</v>
      </c>
      <c r="N19" s="20" t="n">
        <v>0</v>
      </c>
      <c r="O19" s="18" t="n">
        <v>0</v>
      </c>
      <c r="P19" s="20" t="n">
        <v>0</v>
      </c>
      <c r="Q19" s="18" t="n">
        <v>8.799943409999999</v>
      </c>
      <c r="R19" s="20" t="n">
        <v>1.15475621</v>
      </c>
    </row>
    <row r="20" spans="1:18">
      <c r="A20" s="15" t="s">
        <v>442</v>
      </c>
      <c r="B20" s="17" t="n">
        <v>3371</v>
      </c>
      <c r="C20" s="18">
        <f>(2952.0/B20*100)</f>
        <v/>
      </c>
      <c r="D20" s="19" t="n">
        <v>419</v>
      </c>
      <c r="E20" s="18" t="n">
        <v>29.50346036</v>
      </c>
      <c r="F20" s="20" t="n">
        <v>2.02347958</v>
      </c>
      <c r="G20" s="18" t="n">
        <v>54.46548495</v>
      </c>
      <c r="H20" s="20" t="n">
        <v>2.26920957</v>
      </c>
      <c r="I20" s="18" t="n">
        <v>0</v>
      </c>
      <c r="J20" s="20" t="n">
        <v>0</v>
      </c>
      <c r="K20" s="18" t="n">
        <v>0</v>
      </c>
      <c r="L20" s="20" t="n">
        <v>0</v>
      </c>
      <c r="M20" s="18" t="n">
        <v>0</v>
      </c>
      <c r="N20" s="20" t="n">
        <v>0</v>
      </c>
      <c r="O20" s="18" t="n">
        <v>0</v>
      </c>
      <c r="P20" s="20" t="n">
        <v>0</v>
      </c>
      <c r="Q20" s="18" t="n">
        <v>16.03105469</v>
      </c>
      <c r="R20" s="20" t="n">
        <v>1.72342527</v>
      </c>
    </row>
    <row r="21" spans="1:18">
      <c r="A21" s="15" t="s">
        <v>443</v>
      </c>
      <c r="B21" s="17" t="n">
        <v>5741</v>
      </c>
      <c r="C21" s="18">
        <f>(4787.0/B21*100)</f>
        <v/>
      </c>
      <c r="D21" s="19" t="n">
        <v>954</v>
      </c>
      <c r="E21" s="18" t="n">
        <v>52.5933905</v>
      </c>
      <c r="F21" s="20" t="n">
        <v>1.40392424</v>
      </c>
      <c r="G21" s="18" t="n">
        <v>45.59177177</v>
      </c>
      <c r="H21" s="20" t="n">
        <v>1.42873493</v>
      </c>
      <c r="I21" s="18" t="n">
        <v>0</v>
      </c>
      <c r="J21" s="20" t="n">
        <v>0</v>
      </c>
      <c r="K21" s="18" t="n">
        <v>0</v>
      </c>
      <c r="L21" s="20" t="n">
        <v>0</v>
      </c>
      <c r="M21" s="18" t="n">
        <v>0</v>
      </c>
      <c r="N21" s="20" t="n">
        <v>0</v>
      </c>
      <c r="O21" s="18" t="n">
        <v>0</v>
      </c>
      <c r="P21" s="20" t="n">
        <v>0</v>
      </c>
      <c r="Q21" s="18" t="n">
        <v>1.81483773</v>
      </c>
      <c r="R21" s="20" t="n">
        <v>0.3899902</v>
      </c>
    </row>
    <row r="22" spans="1:18">
      <c r="A22" s="15" t="s">
        <v>444</v>
      </c>
      <c r="B22" s="17" t="n">
        <v>6598</v>
      </c>
      <c r="C22" s="18">
        <f>(5769.0/B22*100)</f>
        <v/>
      </c>
      <c r="D22" s="19" t="n">
        <v>829</v>
      </c>
      <c r="E22" s="18" t="n">
        <v>42.71504931</v>
      </c>
      <c r="F22" s="20" t="n">
        <v>1.98080587</v>
      </c>
      <c r="G22" s="18" t="n">
        <v>53.08203471</v>
      </c>
      <c r="H22" s="20" t="n">
        <v>1.97590825</v>
      </c>
      <c r="I22" s="18" t="n">
        <v>0</v>
      </c>
      <c r="J22" s="20" t="n">
        <v>0</v>
      </c>
      <c r="K22" s="18" t="n">
        <v>0.10529438</v>
      </c>
      <c r="L22" s="20" t="n">
        <v>0.117156</v>
      </c>
      <c r="M22" s="18" t="n">
        <v>0</v>
      </c>
      <c r="N22" s="20" t="n">
        <v>0</v>
      </c>
      <c r="O22" s="18" t="n">
        <v>0</v>
      </c>
      <c r="P22" s="20" t="n">
        <v>0</v>
      </c>
      <c r="Q22" s="18" t="n">
        <v>4.09762159</v>
      </c>
      <c r="R22" s="20" t="n">
        <v>0.76833142</v>
      </c>
    </row>
    <row r="23" spans="1:18">
      <c r="A23" s="15" t="s">
        <v>445</v>
      </c>
      <c r="B23" s="17" t="n">
        <v>11583</v>
      </c>
      <c r="C23" s="18">
        <f>(10156.0/B23*100)</f>
        <v/>
      </c>
      <c r="D23" s="19" t="n">
        <v>1427</v>
      </c>
      <c r="E23" s="18" t="n">
        <v>45.21456303</v>
      </c>
      <c r="F23" s="20" t="n">
        <v>1.73356203</v>
      </c>
      <c r="G23" s="18" t="n">
        <v>52.02911558</v>
      </c>
      <c r="H23" s="20" t="n">
        <v>1.78236514</v>
      </c>
      <c r="I23" s="18" t="n">
        <v>0</v>
      </c>
      <c r="J23" s="20" t="n">
        <v>0</v>
      </c>
      <c r="K23" s="18" t="n">
        <v>0.00356845</v>
      </c>
      <c r="L23" s="20" t="n">
        <v>0.00357001</v>
      </c>
      <c r="M23" s="18" t="n">
        <v>0</v>
      </c>
      <c r="N23" s="20" t="n">
        <v>0</v>
      </c>
      <c r="O23" s="18" t="n">
        <v>0</v>
      </c>
      <c r="P23" s="20" t="n">
        <v>0</v>
      </c>
      <c r="Q23" s="18" t="n">
        <v>2.75275295</v>
      </c>
      <c r="R23" s="20" t="n">
        <v>0.77090661</v>
      </c>
    </row>
    <row r="24" spans="1:18">
      <c r="A24" s="15" t="s">
        <v>446</v>
      </c>
      <c r="B24" s="17" t="n">
        <v>6647</v>
      </c>
      <c r="C24" s="18">
        <f>(5819.0/B24*100)</f>
        <v/>
      </c>
      <c r="D24" s="19" t="n">
        <v>828</v>
      </c>
      <c r="E24" s="18" t="n">
        <v>20.33782514</v>
      </c>
      <c r="F24" s="20" t="n">
        <v>1.44659152</v>
      </c>
      <c r="G24" s="18" t="n">
        <v>78.76981086000001</v>
      </c>
      <c r="H24" s="20" t="n">
        <v>1.47644186</v>
      </c>
      <c r="I24" s="18" t="n">
        <v>0</v>
      </c>
      <c r="J24" s="20" t="n">
        <v>0</v>
      </c>
      <c r="K24" s="18" t="n">
        <v>0</v>
      </c>
      <c r="L24" s="20" t="n">
        <v>0</v>
      </c>
      <c r="M24" s="18" t="n">
        <v>0</v>
      </c>
      <c r="N24" s="20" t="n">
        <v>0</v>
      </c>
      <c r="O24" s="18" t="n">
        <v>0</v>
      </c>
      <c r="P24" s="20" t="n">
        <v>0</v>
      </c>
      <c r="Q24" s="18" t="n">
        <v>0.892364</v>
      </c>
      <c r="R24" s="20" t="n">
        <v>0.2825155</v>
      </c>
    </row>
    <row r="25" spans="1:18">
      <c r="A25" s="15" t="s">
        <v>447</v>
      </c>
      <c r="B25" s="17" t="n">
        <v>5581</v>
      </c>
      <c r="C25" s="18">
        <f>(4896.0/B25*100)</f>
        <v/>
      </c>
      <c r="D25" s="19" t="n">
        <v>685</v>
      </c>
      <c r="E25" s="18" t="n">
        <v>15.7882812</v>
      </c>
      <c r="F25" s="20" t="n">
        <v>1.35989886</v>
      </c>
      <c r="G25" s="18" t="n">
        <v>83.57931662999999</v>
      </c>
      <c r="H25" s="20" t="n">
        <v>1.46014263</v>
      </c>
      <c r="I25" s="18" t="n">
        <v>0</v>
      </c>
      <c r="J25" s="20" t="n">
        <v>0</v>
      </c>
      <c r="K25" s="18" t="n">
        <v>0.14149082</v>
      </c>
      <c r="L25" s="20" t="n">
        <v>0.14122967</v>
      </c>
      <c r="M25" s="18" t="n">
        <v>0</v>
      </c>
      <c r="N25" s="20" t="n">
        <v>0</v>
      </c>
      <c r="O25" s="18" t="n">
        <v>0</v>
      </c>
      <c r="P25" s="20" t="n">
        <v>0</v>
      </c>
      <c r="Q25" s="18" t="n">
        <v>0.49091135</v>
      </c>
      <c r="R25" s="20" t="n">
        <v>0.25823703</v>
      </c>
    </row>
    <row r="26" spans="1:18">
      <c r="A26" s="15" t="s">
        <v>448</v>
      </c>
      <c r="B26" s="17" t="n">
        <v>4869</v>
      </c>
      <c r="C26" s="18">
        <f>(4279.0/B26*100)</f>
        <v/>
      </c>
      <c r="D26" s="19" t="n">
        <v>590</v>
      </c>
      <c r="E26" s="18" t="n">
        <v>46.17800953</v>
      </c>
      <c r="F26" s="20" t="n">
        <v>2.27651304</v>
      </c>
      <c r="G26" s="18" t="n">
        <v>51.12993313</v>
      </c>
      <c r="H26" s="20" t="n">
        <v>2.06668632</v>
      </c>
      <c r="I26" s="18" t="n">
        <v>0</v>
      </c>
      <c r="J26" s="20" t="n">
        <v>0</v>
      </c>
      <c r="K26" s="18" t="n">
        <v>0</v>
      </c>
      <c r="L26" s="20" t="n">
        <v>0</v>
      </c>
      <c r="M26" s="18" t="n">
        <v>0</v>
      </c>
      <c r="N26" s="20" t="n">
        <v>0</v>
      </c>
      <c r="O26" s="18" t="n">
        <v>0</v>
      </c>
      <c r="P26" s="20" t="n">
        <v>0</v>
      </c>
      <c r="Q26" s="18" t="n">
        <v>2.69205735</v>
      </c>
      <c r="R26" s="20" t="n">
        <v>0.80995297</v>
      </c>
    </row>
    <row r="27" spans="1:18">
      <c r="A27" s="15" t="s">
        <v>449</v>
      </c>
      <c r="B27" s="17" t="n">
        <v>5299</v>
      </c>
      <c r="C27" s="18">
        <f>(4645.0/B27*100)</f>
        <v/>
      </c>
      <c r="D27" s="19" t="n">
        <v>654</v>
      </c>
      <c r="E27" s="18" t="n">
        <v>40.32781939</v>
      </c>
      <c r="F27" s="20" t="n">
        <v>1.93786864</v>
      </c>
      <c r="G27" s="18" t="n">
        <v>57.51771452</v>
      </c>
      <c r="H27" s="20" t="n">
        <v>1.87648653</v>
      </c>
      <c r="I27" s="18" t="n">
        <v>0</v>
      </c>
      <c r="J27" s="20" t="n">
        <v>0</v>
      </c>
      <c r="K27" s="18" t="n">
        <v>0.15283816</v>
      </c>
      <c r="L27" s="20" t="n">
        <v>0.15230082</v>
      </c>
      <c r="M27" s="18" t="n">
        <v>0</v>
      </c>
      <c r="N27" s="20" t="n">
        <v>0</v>
      </c>
      <c r="O27" s="18" t="n">
        <v>0</v>
      </c>
      <c r="P27" s="20" t="n">
        <v>0</v>
      </c>
      <c r="Q27" s="18" t="n">
        <v>2.00162793</v>
      </c>
      <c r="R27" s="20" t="n">
        <v>0.54761353</v>
      </c>
    </row>
    <row r="28" spans="1:18">
      <c r="A28" s="15" t="s">
        <v>450</v>
      </c>
      <c r="B28" s="17" t="n">
        <v>7568</v>
      </c>
      <c r="C28" s="18">
        <f>(6644.0/B28*100)</f>
        <v/>
      </c>
      <c r="D28" s="19" t="n">
        <v>924</v>
      </c>
      <c r="E28" s="18" t="n">
        <v>47.13242576</v>
      </c>
      <c r="F28" s="20" t="n">
        <v>1.65869872</v>
      </c>
      <c r="G28" s="18" t="n">
        <v>49.84703642</v>
      </c>
      <c r="H28" s="20" t="n">
        <v>1.77704708</v>
      </c>
      <c r="I28" s="18" t="n">
        <v>0</v>
      </c>
      <c r="J28" s="20" t="n">
        <v>0</v>
      </c>
      <c r="K28" s="18" t="n">
        <v>0</v>
      </c>
      <c r="L28" s="20" t="n">
        <v>0</v>
      </c>
      <c r="M28" s="18" t="n">
        <v>0</v>
      </c>
      <c r="N28" s="20" t="n">
        <v>0</v>
      </c>
      <c r="O28" s="18" t="n">
        <v>0</v>
      </c>
      <c r="P28" s="20" t="n">
        <v>0</v>
      </c>
      <c r="Q28" s="18" t="n">
        <v>3.02053782</v>
      </c>
      <c r="R28" s="20" t="n">
        <v>0.67243129</v>
      </c>
    </row>
    <row r="29" spans="1:18">
      <c r="A29" s="15" t="s">
        <v>451</v>
      </c>
      <c r="B29" s="17" t="n">
        <v>5385</v>
      </c>
      <c r="C29" s="18">
        <f>(4742.0/B29*100)</f>
        <v/>
      </c>
      <c r="D29" s="19" t="n">
        <v>643</v>
      </c>
      <c r="E29" s="18" t="n">
        <v>25.6427308</v>
      </c>
      <c r="F29" s="20" t="n">
        <v>1.78621959</v>
      </c>
      <c r="G29" s="18" t="n">
        <v>73.08483854000001</v>
      </c>
      <c r="H29" s="20" t="n">
        <v>1.78246885</v>
      </c>
      <c r="I29" s="18" t="n">
        <v>0</v>
      </c>
      <c r="J29" s="20" t="n">
        <v>0</v>
      </c>
      <c r="K29" s="18" t="n">
        <v>0</v>
      </c>
      <c r="L29" s="20" t="n">
        <v>0</v>
      </c>
      <c r="M29" s="18" t="n">
        <v>0</v>
      </c>
      <c r="N29" s="20" t="n">
        <v>0</v>
      </c>
      <c r="O29" s="18" t="n">
        <v>0</v>
      </c>
      <c r="P29" s="20" t="n">
        <v>0</v>
      </c>
      <c r="Q29" s="18" t="n">
        <v>1.27243066</v>
      </c>
      <c r="R29" s="20" t="n">
        <v>0.4452013</v>
      </c>
    </row>
    <row r="30" spans="1:18">
      <c r="A30" s="15" t="s">
        <v>452</v>
      </c>
      <c r="B30" s="17" t="n">
        <v>4520</v>
      </c>
      <c r="C30" s="18">
        <f>(3938.0/B30*100)</f>
        <v/>
      </c>
      <c r="D30" s="19" t="n">
        <v>582</v>
      </c>
      <c r="E30" s="18" t="n">
        <v>42.71292245</v>
      </c>
      <c r="F30" s="20" t="n">
        <v>2.09788948</v>
      </c>
      <c r="G30" s="18" t="n">
        <v>55.51106386</v>
      </c>
      <c r="H30" s="20" t="n">
        <v>2.06679186</v>
      </c>
      <c r="I30" s="18" t="n">
        <v>0</v>
      </c>
      <c r="J30" s="20" t="n">
        <v>0</v>
      </c>
      <c r="K30" s="18" t="n">
        <v>0</v>
      </c>
      <c r="L30" s="20" t="n">
        <v>0</v>
      </c>
      <c r="M30" s="18" t="n">
        <v>0</v>
      </c>
      <c r="N30" s="20" t="n">
        <v>0</v>
      </c>
      <c r="O30" s="18" t="n">
        <v>0</v>
      </c>
      <c r="P30" s="20" t="n">
        <v>0</v>
      </c>
      <c r="Q30" s="18" t="n">
        <v>1.77601369</v>
      </c>
      <c r="R30" s="20" t="n">
        <v>0.51408293</v>
      </c>
    </row>
    <row r="31" spans="1:18">
      <c r="A31" s="15" t="s">
        <v>453</v>
      </c>
      <c r="B31" s="17" t="n">
        <v>5456</v>
      </c>
      <c r="C31" s="18">
        <f>(4792.0/B31*100)</f>
        <v/>
      </c>
      <c r="D31" s="19" t="n">
        <v>664</v>
      </c>
      <c r="E31" s="18" t="n">
        <v>33.80002877</v>
      </c>
      <c r="F31" s="20" t="n">
        <v>1.77757367</v>
      </c>
      <c r="G31" s="18" t="n">
        <v>65.20462827</v>
      </c>
      <c r="H31" s="20" t="n">
        <v>1.7524469</v>
      </c>
      <c r="I31" s="18" t="n">
        <v>0</v>
      </c>
      <c r="J31" s="20" t="n">
        <v>0</v>
      </c>
      <c r="K31" s="18" t="n">
        <v>0.136101</v>
      </c>
      <c r="L31" s="20" t="n">
        <v>0.13673561</v>
      </c>
      <c r="M31" s="18" t="n">
        <v>0</v>
      </c>
      <c r="N31" s="20" t="n">
        <v>0</v>
      </c>
      <c r="O31" s="18" t="n">
        <v>0</v>
      </c>
      <c r="P31" s="20" t="n">
        <v>0</v>
      </c>
      <c r="Q31" s="18" t="n">
        <v>0.85924196</v>
      </c>
      <c r="R31" s="20" t="n">
        <v>0.28618453</v>
      </c>
    </row>
    <row r="32" spans="1:18">
      <c r="A32" s="15" t="s">
        <v>454</v>
      </c>
      <c r="B32" s="17" t="n">
        <v>4478</v>
      </c>
      <c r="C32" s="18">
        <f>(3761.0/B32*100)</f>
        <v/>
      </c>
      <c r="D32" s="19" t="n">
        <v>717</v>
      </c>
      <c r="E32" s="18" t="n">
        <v>41.91757405</v>
      </c>
      <c r="F32" s="20" t="n">
        <v>1.94664858</v>
      </c>
      <c r="G32" s="18" t="n">
        <v>42.49104553</v>
      </c>
      <c r="H32" s="20" t="n">
        <v>1.78188228</v>
      </c>
      <c r="I32" s="18" t="n">
        <v>0</v>
      </c>
      <c r="J32" s="20" t="n">
        <v>0</v>
      </c>
      <c r="K32" s="18" t="n">
        <v>0.13471486</v>
      </c>
      <c r="L32" s="20" t="n">
        <v>0.12685472</v>
      </c>
      <c r="M32" s="18" t="n">
        <v>0</v>
      </c>
      <c r="N32" s="20" t="n">
        <v>0</v>
      </c>
      <c r="O32" s="18" t="n">
        <v>0</v>
      </c>
      <c r="P32" s="20" t="n">
        <v>0</v>
      </c>
      <c r="Q32" s="18" t="n">
        <v>15.45666556</v>
      </c>
      <c r="R32" s="20" t="n">
        <v>1.82051721</v>
      </c>
    </row>
    <row r="33" spans="1:18">
      <c r="A33" s="15" t="s">
        <v>455</v>
      </c>
      <c r="B33" s="17" t="n">
        <v>7325</v>
      </c>
      <c r="C33" s="18">
        <f>(6393.0/B33*100)</f>
        <v/>
      </c>
      <c r="D33" s="19" t="n">
        <v>932</v>
      </c>
      <c r="E33" s="18" t="n">
        <v>50.81860153</v>
      </c>
      <c r="F33" s="20" t="n">
        <v>2.16622723</v>
      </c>
      <c r="G33" s="18" t="n">
        <v>40.58435301</v>
      </c>
      <c r="H33" s="20" t="n">
        <v>2.17486587</v>
      </c>
      <c r="I33" s="18" t="n">
        <v>0</v>
      </c>
      <c r="J33" s="20" t="n">
        <v>0</v>
      </c>
      <c r="K33" s="18" t="n">
        <v>0.04054045</v>
      </c>
      <c r="L33" s="20" t="n">
        <v>0.05038623</v>
      </c>
      <c r="M33" s="18" t="n">
        <v>0</v>
      </c>
      <c r="N33" s="20" t="n">
        <v>0</v>
      </c>
      <c r="O33" s="18" t="n">
        <v>0</v>
      </c>
      <c r="P33" s="20" t="n">
        <v>0</v>
      </c>
      <c r="Q33" s="18" t="n">
        <v>8.556505019999999</v>
      </c>
      <c r="R33" s="20" t="n">
        <v>1.62211068</v>
      </c>
    </row>
    <row r="34" spans="1:18">
      <c r="A34" s="15" t="s">
        <v>456</v>
      </c>
      <c r="B34" s="17" t="n">
        <v>6350</v>
      </c>
      <c r="C34" s="18">
        <f>(5574.0/B34*100)</f>
        <v/>
      </c>
      <c r="D34" s="19" t="n">
        <v>776</v>
      </c>
      <c r="E34" s="18" t="n">
        <v>35.35040349</v>
      </c>
      <c r="F34" s="20" t="n">
        <v>2.21370523</v>
      </c>
      <c r="G34" s="18" t="n">
        <v>62.98471586</v>
      </c>
      <c r="H34" s="20" t="n">
        <v>2.22541865</v>
      </c>
      <c r="I34" s="18" t="n">
        <v>0</v>
      </c>
      <c r="J34" s="20" t="n">
        <v>0</v>
      </c>
      <c r="K34" s="18" t="n">
        <v>0.09889824</v>
      </c>
      <c r="L34" s="20" t="n">
        <v>0.09898061</v>
      </c>
      <c r="M34" s="18" t="n">
        <v>0</v>
      </c>
      <c r="N34" s="20" t="n">
        <v>0</v>
      </c>
      <c r="O34" s="18" t="n">
        <v>0</v>
      </c>
      <c r="P34" s="20" t="n">
        <v>0</v>
      </c>
      <c r="Q34" s="18" t="n">
        <v>1.56598241</v>
      </c>
      <c r="R34" s="20" t="n">
        <v>0.43134906</v>
      </c>
    </row>
    <row r="35" spans="1:18">
      <c r="A35" s="15" t="s">
        <v>457</v>
      </c>
      <c r="B35" s="17" t="n">
        <v>6406</v>
      </c>
      <c r="C35" s="18">
        <f>(5644.0/B35*100)</f>
        <v/>
      </c>
      <c r="D35" s="19" t="n">
        <v>762</v>
      </c>
      <c r="E35" s="18" t="n">
        <v>20.81221869</v>
      </c>
      <c r="F35" s="20" t="n">
        <v>1.49351899</v>
      </c>
      <c r="G35" s="18" t="n">
        <v>68.27960879</v>
      </c>
      <c r="H35" s="20" t="n">
        <v>1.89413193</v>
      </c>
      <c r="I35" s="18" t="n">
        <v>0</v>
      </c>
      <c r="J35" s="20" t="n">
        <v>0</v>
      </c>
      <c r="K35" s="18" t="n">
        <v>0</v>
      </c>
      <c r="L35" s="20" t="n">
        <v>0</v>
      </c>
      <c r="M35" s="18" t="n">
        <v>0</v>
      </c>
      <c r="N35" s="20" t="n">
        <v>0</v>
      </c>
      <c r="O35" s="18" t="n">
        <v>0</v>
      </c>
      <c r="P35" s="20" t="n">
        <v>0</v>
      </c>
      <c r="Q35" s="18" t="n">
        <v>10.90817252</v>
      </c>
      <c r="R35" s="20" t="n">
        <v>1.29945366</v>
      </c>
    </row>
    <row r="36" spans="1:18">
      <c r="A36" s="15" t="s">
        <v>458</v>
      </c>
      <c r="B36" s="17" t="n">
        <v>6736</v>
      </c>
      <c r="C36" s="18">
        <f>(5883.0/B36*100)</f>
        <v/>
      </c>
      <c r="D36" s="19" t="n">
        <v>853</v>
      </c>
      <c r="E36" s="18" t="n">
        <v>14.09777292</v>
      </c>
      <c r="F36" s="20" t="n">
        <v>1.15889795</v>
      </c>
      <c r="G36" s="18" t="n">
        <v>9.38453477</v>
      </c>
      <c r="H36" s="20" t="n">
        <v>0.96460304</v>
      </c>
      <c r="I36" s="18" t="n">
        <v>0</v>
      </c>
      <c r="J36" s="20" t="n">
        <v>0</v>
      </c>
      <c r="K36" s="18" t="n">
        <v>0</v>
      </c>
      <c r="L36" s="20" t="n">
        <v>0</v>
      </c>
      <c r="M36" s="18" t="n">
        <v>76.26337044</v>
      </c>
      <c r="N36" s="20" t="n">
        <v>1.27815321</v>
      </c>
      <c r="O36" s="18" t="n">
        <v>0</v>
      </c>
      <c r="P36" s="20" t="n">
        <v>0</v>
      </c>
      <c r="Q36" s="18" t="n">
        <v>0.25432187</v>
      </c>
      <c r="R36" s="20" t="n">
        <v>0.18242047</v>
      </c>
    </row>
    <row r="37" spans="1:18">
      <c r="A37" s="15" t="s">
        <v>459</v>
      </c>
      <c r="B37" s="17" t="n">
        <v>5458</v>
      </c>
      <c r="C37" s="18">
        <f>(4753.0/B37*100)</f>
        <v/>
      </c>
      <c r="D37" s="19" t="n">
        <v>705</v>
      </c>
      <c r="E37" s="18" t="n">
        <v>42.11417753</v>
      </c>
      <c r="F37" s="20" t="n">
        <v>1.98963329</v>
      </c>
      <c r="G37" s="18" t="n">
        <v>55.48142133</v>
      </c>
      <c r="H37" s="20" t="n">
        <v>1.97596495</v>
      </c>
      <c r="I37" s="18" t="n">
        <v>0</v>
      </c>
      <c r="J37" s="20" t="n">
        <v>0</v>
      </c>
      <c r="K37" s="18" t="n">
        <v>0.69500843</v>
      </c>
      <c r="L37" s="20" t="n">
        <v>0.31418583</v>
      </c>
      <c r="M37" s="18" t="n">
        <v>0</v>
      </c>
      <c r="N37" s="20" t="n">
        <v>0</v>
      </c>
      <c r="O37" s="18" t="n">
        <v>0</v>
      </c>
      <c r="P37" s="20" t="n">
        <v>0</v>
      </c>
      <c r="Q37" s="18" t="n">
        <v>1.70939271</v>
      </c>
      <c r="R37" s="20" t="n">
        <v>0.50058859</v>
      </c>
    </row>
    <row r="38" spans="1:18">
      <c r="A38" s="15" t="s">
        <v>460</v>
      </c>
      <c r="B38" s="17" t="n">
        <v>5860</v>
      </c>
      <c r="C38" s="18">
        <f>(4934.0/B38*100)</f>
        <v/>
      </c>
      <c r="D38" s="19" t="n">
        <v>926</v>
      </c>
      <c r="E38" s="18" t="n">
        <v>33.073648</v>
      </c>
      <c r="F38" s="20" t="n">
        <v>1.86567697</v>
      </c>
      <c r="G38" s="18" t="n">
        <v>61.22913251</v>
      </c>
      <c r="H38" s="20" t="n">
        <v>2.04527933</v>
      </c>
      <c r="I38" s="18" t="n">
        <v>0</v>
      </c>
      <c r="J38" s="20" t="n">
        <v>0</v>
      </c>
      <c r="K38" s="18" t="n">
        <v>0.19486807</v>
      </c>
      <c r="L38" s="20" t="n">
        <v>0.10608955</v>
      </c>
      <c r="M38" s="18" t="n">
        <v>0</v>
      </c>
      <c r="N38" s="20" t="n">
        <v>0</v>
      </c>
      <c r="O38" s="18" t="n">
        <v>0</v>
      </c>
      <c r="P38" s="20" t="n">
        <v>0</v>
      </c>
      <c r="Q38" s="18" t="n">
        <v>5.50235142</v>
      </c>
      <c r="R38" s="20" t="n">
        <v>1.27441758</v>
      </c>
    </row>
    <row r="39" spans="1:18">
      <c r="A39" s="15" t="s">
        <v>461</v>
      </c>
      <c r="B39" s="17" t="n">
        <v>5895</v>
      </c>
      <c r="C39" s="18">
        <f>(5177.0/B39*100)</f>
        <v/>
      </c>
      <c r="D39" s="19" t="n">
        <v>718</v>
      </c>
      <c r="E39" s="18" t="n">
        <v>40.52496776</v>
      </c>
      <c r="F39" s="20" t="n">
        <v>2.11590877</v>
      </c>
      <c r="G39" s="18" t="n">
        <v>49.22714453</v>
      </c>
      <c r="H39" s="20" t="n">
        <v>2.44241686</v>
      </c>
      <c r="I39" s="18" t="n">
        <v>0</v>
      </c>
      <c r="J39" s="20" t="n">
        <v>0</v>
      </c>
      <c r="K39" s="18" t="n">
        <v>0.3291344</v>
      </c>
      <c r="L39" s="20" t="n">
        <v>0.27777367</v>
      </c>
      <c r="M39" s="18" t="n">
        <v>0</v>
      </c>
      <c r="N39" s="20" t="n">
        <v>0</v>
      </c>
      <c r="O39" s="18" t="n">
        <v>0</v>
      </c>
      <c r="P39" s="20" t="n">
        <v>0</v>
      </c>
      <c r="Q39" s="18" t="n">
        <v>9.91875331</v>
      </c>
      <c r="R39" s="20" t="n">
        <v>1.38294443</v>
      </c>
    </row>
    <row r="40" spans="1:18">
      <c r="A40" s="15" t="s">
        <v>462</v>
      </c>
      <c r="B40" s="17" t="n">
        <v>14157</v>
      </c>
      <c r="C40" s="18">
        <f>(12452.0/B40*100)</f>
        <v/>
      </c>
      <c r="D40" s="19" t="n">
        <v>1705</v>
      </c>
      <c r="E40" s="18" t="n">
        <v>50.51988615</v>
      </c>
      <c r="F40" s="20" t="n">
        <v>1.68411769</v>
      </c>
      <c r="G40" s="18" t="n">
        <v>47.25885952</v>
      </c>
      <c r="H40" s="20" t="n">
        <v>1.69334722</v>
      </c>
      <c r="I40" s="18" t="n">
        <v>0</v>
      </c>
      <c r="J40" s="20" t="n">
        <v>0</v>
      </c>
      <c r="K40" s="18" t="n">
        <v>0.07555307999999999</v>
      </c>
      <c r="L40" s="20" t="n">
        <v>0.04696767</v>
      </c>
      <c r="M40" s="18" t="n">
        <v>0</v>
      </c>
      <c r="N40" s="20" t="n">
        <v>0</v>
      </c>
      <c r="O40" s="18" t="n">
        <v>0</v>
      </c>
      <c r="P40" s="20" t="n">
        <v>0</v>
      </c>
      <c r="Q40" s="18" t="n">
        <v>2.14570124</v>
      </c>
      <c r="R40" s="20" t="n">
        <v>0.45914065</v>
      </c>
    </row>
    <row r="41" spans="1:18">
      <c r="A41" s="15" t="s">
        <v>463</v>
      </c>
      <c r="B41" s="17" t="n">
        <v>5712</v>
      </c>
      <c r="C41" s="18">
        <f>(5033.0/B41*100)</f>
        <v/>
      </c>
      <c r="D41" s="19" t="n">
        <v>679</v>
      </c>
      <c r="E41" s="18" t="n">
        <v>34.09962771</v>
      </c>
      <c r="F41" s="20" t="n">
        <v>1.85011637</v>
      </c>
      <c r="G41" s="18" t="n">
        <v>64.70085005999999</v>
      </c>
      <c r="H41" s="20" t="n">
        <v>1.92137422</v>
      </c>
      <c r="I41" s="18" t="n">
        <v>0</v>
      </c>
      <c r="J41" s="20" t="n">
        <v>0</v>
      </c>
      <c r="K41" s="18" t="n">
        <v>0.12202547</v>
      </c>
      <c r="L41" s="20" t="n">
        <v>0.12991528</v>
      </c>
      <c r="M41" s="18" t="n">
        <v>0</v>
      </c>
      <c r="N41" s="20" t="n">
        <v>0</v>
      </c>
      <c r="O41" s="18" t="n">
        <v>0</v>
      </c>
      <c r="P41" s="20" t="n">
        <v>0</v>
      </c>
      <c r="Q41" s="18" t="n">
        <v>1.07749676</v>
      </c>
      <c r="R41" s="20" t="n">
        <v>0.39947277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(20426.0/B46*100)</f>
        <v/>
      </c>
      <c r="D46" s="19" t="n">
        <v>2715</v>
      </c>
      <c r="E46" s="18" t="n">
        <v>63.08923445</v>
      </c>
      <c r="F46" s="20" t="n">
        <v>1.167017</v>
      </c>
      <c r="G46" s="18" t="n">
        <v>33.08579799</v>
      </c>
      <c r="H46" s="20" t="n">
        <v>1.1927986</v>
      </c>
      <c r="I46" s="18" t="n">
        <v>0</v>
      </c>
      <c r="J46" s="20" t="n">
        <v>0</v>
      </c>
      <c r="K46" s="18" t="n">
        <v>0.48781697</v>
      </c>
      <c r="L46" s="20" t="n">
        <v>0.14086205</v>
      </c>
      <c r="M46" s="18" t="n">
        <v>0</v>
      </c>
      <c r="N46" s="20" t="n">
        <v>0</v>
      </c>
      <c r="O46" s="18" t="n">
        <v>0</v>
      </c>
      <c r="P46" s="20" t="n">
        <v>0</v>
      </c>
      <c r="Q46" s="18" t="n">
        <v>3.33715059</v>
      </c>
      <c r="R46" s="20" t="n">
        <v>0.47735074</v>
      </c>
    </row>
    <row r="47" spans="1:18">
      <c r="A47" s="15" t="s">
        <v>470</v>
      </c>
      <c r="B47" s="17" t="n">
        <v>5928</v>
      </c>
      <c r="C47" s="18">
        <f>(5203.0/B47*100)</f>
        <v/>
      </c>
      <c r="D47" s="19" t="n">
        <v>725</v>
      </c>
      <c r="E47" s="18" t="n">
        <v>52.76584454</v>
      </c>
      <c r="F47" s="20" t="n">
        <v>2.09977834</v>
      </c>
      <c r="G47" s="18" t="n">
        <v>34.18392098</v>
      </c>
      <c r="H47" s="20" t="n">
        <v>2.01394758</v>
      </c>
      <c r="I47" s="18" t="n">
        <v>0</v>
      </c>
      <c r="J47" s="20" t="n">
        <v>0</v>
      </c>
      <c r="K47" s="18" t="n">
        <v>0.56750559</v>
      </c>
      <c r="L47" s="20" t="n">
        <v>0.34992802</v>
      </c>
      <c r="M47" s="18" t="n">
        <v>0</v>
      </c>
      <c r="N47" s="20" t="n">
        <v>0</v>
      </c>
      <c r="O47" s="18" t="n">
        <v>0</v>
      </c>
      <c r="P47" s="20" t="n">
        <v>0</v>
      </c>
      <c r="Q47" s="18" t="n">
        <v>12.4827289</v>
      </c>
      <c r="R47" s="20" t="n">
        <v>1.21852155</v>
      </c>
    </row>
    <row r="48" spans="1:18">
      <c r="A48" s="15" t="s">
        <v>471</v>
      </c>
      <c r="B48" s="17" t="n">
        <v>9841</v>
      </c>
      <c r="C48" s="18">
        <f>(8617.0/B48*100)</f>
        <v/>
      </c>
      <c r="D48" s="19" t="n">
        <v>1224</v>
      </c>
      <c r="E48" s="18" t="n">
        <v>16.18103652</v>
      </c>
      <c r="F48" s="20" t="n">
        <v>1.34440108</v>
      </c>
      <c r="G48" s="18" t="n">
        <v>81.89773201</v>
      </c>
      <c r="H48" s="20" t="n">
        <v>1.34615321</v>
      </c>
      <c r="I48" s="18" t="n">
        <v>0</v>
      </c>
      <c r="J48" s="20" t="n">
        <v>0</v>
      </c>
      <c r="K48" s="18" t="n">
        <v>0.11840724</v>
      </c>
      <c r="L48" s="20" t="n">
        <v>0.1134313</v>
      </c>
      <c r="M48" s="18" t="n">
        <v>0</v>
      </c>
      <c r="N48" s="20" t="n">
        <v>0</v>
      </c>
      <c r="O48" s="18" t="n">
        <v>0</v>
      </c>
      <c r="P48" s="20" t="n">
        <v>0</v>
      </c>
      <c r="Q48" s="18" t="n">
        <v>1.80282424</v>
      </c>
      <c r="R48" s="20" t="n">
        <v>0.510003</v>
      </c>
    </row>
    <row r="49" spans="1:18">
      <c r="A49" s="15" t="s">
        <v>472</v>
      </c>
      <c r="B49" s="17" t="n">
        <v>11795</v>
      </c>
      <c r="C49" s="18">
        <f>(10327.0/B49*100)</f>
        <v/>
      </c>
      <c r="D49" s="19" t="n">
        <v>1468</v>
      </c>
      <c r="E49" s="18" t="n">
        <v>45.63737958</v>
      </c>
      <c r="F49" s="20" t="n">
        <v>1.75724515</v>
      </c>
      <c r="G49" s="18" t="n">
        <v>50.26920196</v>
      </c>
      <c r="H49" s="20" t="n">
        <v>1.82728898</v>
      </c>
      <c r="I49" s="18" t="n">
        <v>0</v>
      </c>
      <c r="J49" s="20" t="n">
        <v>0</v>
      </c>
      <c r="K49" s="18" t="n">
        <v>0.13392192</v>
      </c>
      <c r="L49" s="20" t="n">
        <v>0.12607622</v>
      </c>
      <c r="M49" s="18" t="n">
        <v>0</v>
      </c>
      <c r="N49" s="20" t="n">
        <v>0</v>
      </c>
      <c r="O49" s="18" t="n">
        <v>0</v>
      </c>
      <c r="P49" s="20" t="n">
        <v>0</v>
      </c>
      <c r="Q49" s="18" t="n">
        <v>3.95949654</v>
      </c>
      <c r="R49" s="20" t="n">
        <v>0.7142758</v>
      </c>
    </row>
    <row r="50" spans="1:18">
      <c r="A50" s="15" t="s">
        <v>473</v>
      </c>
      <c r="B50" s="17" t="n">
        <v>6866</v>
      </c>
      <c r="C50" s="18">
        <f>(6110.0/B50*100)</f>
        <v/>
      </c>
      <c r="D50" s="19" t="n">
        <v>756</v>
      </c>
      <c r="E50" s="18" t="n">
        <v>46.03092855</v>
      </c>
      <c r="F50" s="20" t="n">
        <v>1.77034109</v>
      </c>
      <c r="G50" s="18" t="n">
        <v>50.59105331</v>
      </c>
      <c r="H50" s="20" t="n">
        <v>1.88537028</v>
      </c>
      <c r="I50" s="18" t="n">
        <v>0</v>
      </c>
      <c r="J50" s="20" t="n">
        <v>0</v>
      </c>
      <c r="K50" s="18" t="n">
        <v>0</v>
      </c>
      <c r="L50" s="20" t="n">
        <v>0</v>
      </c>
      <c r="M50" s="18" t="n">
        <v>0</v>
      </c>
      <c r="N50" s="20" t="n">
        <v>0</v>
      </c>
      <c r="O50" s="18" t="n">
        <v>0</v>
      </c>
      <c r="P50" s="20" t="n">
        <v>0</v>
      </c>
      <c r="Q50" s="18" t="n">
        <v>3.37801814</v>
      </c>
      <c r="R50" s="20" t="n">
        <v>0.67727327</v>
      </c>
    </row>
    <row r="51" spans="1:18">
      <c r="A51" s="15" t="s">
        <v>474</v>
      </c>
      <c r="B51" s="17" t="n">
        <v>5809</v>
      </c>
      <c r="C51" s="18">
        <f>(5086.0/B51*100)</f>
        <v/>
      </c>
      <c r="D51" s="19" t="n">
        <v>723</v>
      </c>
      <c r="E51" s="18" t="n">
        <v>50.21911633</v>
      </c>
      <c r="F51" s="20" t="n">
        <v>2.02704376</v>
      </c>
      <c r="G51" s="18" t="n">
        <v>47.86808686</v>
      </c>
      <c r="H51" s="20" t="n">
        <v>2.03255508</v>
      </c>
      <c r="I51" s="18" t="n">
        <v>0</v>
      </c>
      <c r="J51" s="20" t="n">
        <v>0</v>
      </c>
      <c r="K51" s="18" t="n">
        <v>0.17437583</v>
      </c>
      <c r="L51" s="20" t="n">
        <v>0.1760029</v>
      </c>
      <c r="M51" s="18" t="n">
        <v>0</v>
      </c>
      <c r="N51" s="20" t="n">
        <v>0</v>
      </c>
      <c r="O51" s="18" t="n">
        <v>0</v>
      </c>
      <c r="P51" s="20" t="n">
        <v>0</v>
      </c>
      <c r="Q51" s="18" t="n">
        <v>1.73842098</v>
      </c>
      <c r="R51" s="20" t="n">
        <v>0.42870687</v>
      </c>
    </row>
    <row r="52" spans="1:18">
      <c r="A52" s="15" t="s">
        <v>475</v>
      </c>
      <c r="B52" s="17" t="n">
        <v>5571</v>
      </c>
      <c r="C52" s="18">
        <f>(4893.0/B52*100)</f>
        <v/>
      </c>
      <c r="D52" s="19" t="n">
        <v>678</v>
      </c>
      <c r="E52" s="18" t="n">
        <v>39.53723153</v>
      </c>
      <c r="F52" s="20" t="n">
        <v>1.96995589</v>
      </c>
      <c r="G52" s="18" t="n">
        <v>47.52126354</v>
      </c>
      <c r="H52" s="20" t="n">
        <v>1.87883661</v>
      </c>
      <c r="I52" s="18" t="n">
        <v>0</v>
      </c>
      <c r="J52" s="20" t="n">
        <v>0</v>
      </c>
      <c r="K52" s="18" t="n">
        <v>0.19421579</v>
      </c>
      <c r="L52" s="20" t="n">
        <v>0.19312263</v>
      </c>
      <c r="M52" s="18" t="n">
        <v>0</v>
      </c>
      <c r="N52" s="20" t="n">
        <v>0</v>
      </c>
      <c r="O52" s="18" t="n">
        <v>0</v>
      </c>
      <c r="P52" s="20" t="n">
        <v>0</v>
      </c>
      <c r="Q52" s="18" t="n">
        <v>12.74728914</v>
      </c>
      <c r="R52" s="20" t="n">
        <v>1.41907411</v>
      </c>
    </row>
    <row r="53" spans="1:18">
      <c r="A53" s="15" t="s">
        <v>476</v>
      </c>
      <c r="B53" s="17" t="n">
        <v>4740</v>
      </c>
      <c r="C53" s="18">
        <f>(3968.0/B53*100)</f>
        <v/>
      </c>
      <c r="D53" s="19" t="n">
        <v>772</v>
      </c>
      <c r="E53" s="18" t="n">
        <v>52.6097674</v>
      </c>
      <c r="F53" s="20" t="n">
        <v>2.26052885</v>
      </c>
      <c r="G53" s="18" t="n">
        <v>22.09528007</v>
      </c>
      <c r="H53" s="20" t="n">
        <v>1.85463385</v>
      </c>
      <c r="I53" s="18" t="n">
        <v>0</v>
      </c>
      <c r="J53" s="20" t="n">
        <v>0</v>
      </c>
      <c r="K53" s="18" t="n">
        <v>2.58172047</v>
      </c>
      <c r="L53" s="20" t="n">
        <v>0.83334746</v>
      </c>
      <c r="M53" s="18" t="n">
        <v>0</v>
      </c>
      <c r="N53" s="20" t="n">
        <v>0</v>
      </c>
      <c r="O53" s="18" t="n">
        <v>0</v>
      </c>
      <c r="P53" s="20" t="n">
        <v>0</v>
      </c>
      <c r="Q53" s="18" t="n">
        <v>22.71323205</v>
      </c>
      <c r="R53" s="20" t="n">
        <v>2.05063151</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13.16288086</v>
      </c>
      <c r="F55" s="20" t="n">
        <v>1.483768</v>
      </c>
      <c r="G55" s="18" t="n">
        <v>83.57671839</v>
      </c>
      <c r="H55" s="20" t="n">
        <v>1.79128433</v>
      </c>
      <c r="I55" s="18" t="n">
        <v>0</v>
      </c>
      <c r="J55" s="20" t="n">
        <v>0</v>
      </c>
      <c r="K55" s="18" t="n">
        <v>0</v>
      </c>
      <c r="L55" s="20" t="n">
        <v>0</v>
      </c>
      <c r="M55" s="18" t="n">
        <v>0</v>
      </c>
      <c r="N55" s="20" t="n">
        <v>0</v>
      </c>
      <c r="O55" s="18" t="n">
        <v>0</v>
      </c>
      <c r="P55" s="20" t="n">
        <v>0</v>
      </c>
      <c r="Q55" s="18" t="n">
        <v>3.26040075</v>
      </c>
      <c r="R55" s="20" t="n">
        <v>1.00108676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(5703.0/B61*100)</f>
        <v/>
      </c>
      <c r="D61" s="19" t="n">
        <v>822</v>
      </c>
      <c r="E61" s="18" t="n">
        <v>37.54731088</v>
      </c>
      <c r="F61" s="20" t="n">
        <v>2.18345535</v>
      </c>
      <c r="G61" s="18" t="n">
        <v>58.03133503</v>
      </c>
      <c r="H61" s="20" t="n">
        <v>2.04378248</v>
      </c>
      <c r="I61" s="18" t="n">
        <v>0</v>
      </c>
      <c r="J61" s="20" t="n">
        <v>0</v>
      </c>
      <c r="K61" s="18" t="n">
        <v>0.2050032</v>
      </c>
      <c r="L61" s="20" t="n">
        <v>0.14898921</v>
      </c>
      <c r="M61" s="18" t="n">
        <v>0</v>
      </c>
      <c r="N61" s="20" t="n">
        <v>0</v>
      </c>
      <c r="O61" s="18" t="n">
        <v>0</v>
      </c>
      <c r="P61" s="20" t="n">
        <v>0</v>
      </c>
      <c r="Q61" s="18" t="n">
        <v>4.21635089</v>
      </c>
      <c r="R61" s="20" t="n">
        <v>0.77922876</v>
      </c>
    </row>
    <row r="62" spans="1:18">
      <c r="A62" s="15" t="s">
        <v>486</v>
      </c>
      <c r="B62" s="17" t="n">
        <v>4476</v>
      </c>
      <c r="C62" s="18">
        <f>(3937.0/B62*100)</f>
        <v/>
      </c>
      <c r="D62" s="19" t="n">
        <v>539</v>
      </c>
      <c r="E62" s="18" t="n">
        <v>23.39805885</v>
      </c>
      <c r="F62" s="20" t="n">
        <v>1.64555608</v>
      </c>
      <c r="G62" s="18" t="n">
        <v>75.6805596</v>
      </c>
      <c r="H62" s="20" t="n">
        <v>1.71516533</v>
      </c>
      <c r="I62" s="18" t="n">
        <v>0</v>
      </c>
      <c r="J62" s="20" t="n">
        <v>0</v>
      </c>
      <c r="K62" s="18" t="n">
        <v>0</v>
      </c>
      <c r="L62" s="20" t="n">
        <v>0</v>
      </c>
      <c r="M62" s="18" t="n">
        <v>0</v>
      </c>
      <c r="N62" s="20" t="n">
        <v>0</v>
      </c>
      <c r="O62" s="18" t="n">
        <v>0</v>
      </c>
      <c r="P62" s="20" t="n">
        <v>0</v>
      </c>
      <c r="Q62" s="18" t="n">
        <v>0.92138155</v>
      </c>
      <c r="R62" s="20" t="n">
        <v>0.41241003</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(4982.0/B67*100)</f>
        <v/>
      </c>
      <c r="D67" s="19" t="n">
        <v>683</v>
      </c>
      <c r="E67" s="18" t="n">
        <v>53.28887462</v>
      </c>
      <c r="F67" s="20" t="n">
        <v>1.71660393</v>
      </c>
      <c r="G67" s="18" t="n">
        <v>37.94006939</v>
      </c>
      <c r="H67" s="20" t="n">
        <v>1.83397669</v>
      </c>
      <c r="I67" s="18" t="n">
        <v>0</v>
      </c>
      <c r="J67" s="20" t="n">
        <v>0</v>
      </c>
      <c r="K67" s="18" t="n">
        <v>0.13791517</v>
      </c>
      <c r="L67" s="20" t="n">
        <v>0.1382312</v>
      </c>
      <c r="M67" s="18" t="n">
        <v>0</v>
      </c>
      <c r="N67" s="20" t="n">
        <v>0</v>
      </c>
      <c r="O67" s="18" t="n">
        <v>0</v>
      </c>
      <c r="P67" s="20" t="n">
        <v>0</v>
      </c>
      <c r="Q67" s="18" t="n">
        <v>8.63314081</v>
      </c>
      <c r="R67" s="20" t="n">
        <v>1.07585754</v>
      </c>
    </row>
    <row r="68" spans="1:18">
      <c r="A68" s="15" t="s">
        <v>492</v>
      </c>
      <c r="B68" s="17" t="n">
        <v>6971</v>
      </c>
      <c r="C68" s="18">
        <f>(6144.0/B68*100)</f>
        <v/>
      </c>
      <c r="D68" s="19" t="n">
        <v>827</v>
      </c>
      <c r="E68" s="18" t="n">
        <v>58.929793</v>
      </c>
      <c r="F68" s="20" t="n">
        <v>1.96458112</v>
      </c>
      <c r="G68" s="18" t="n">
        <v>38.01837656</v>
      </c>
      <c r="H68" s="20" t="n">
        <v>1.93134809</v>
      </c>
      <c r="I68" s="18" t="n">
        <v>0</v>
      </c>
      <c r="J68" s="20" t="n">
        <v>0</v>
      </c>
      <c r="K68" s="18" t="n">
        <v>0</v>
      </c>
      <c r="L68" s="20" t="n">
        <v>0</v>
      </c>
      <c r="M68" s="18" t="n">
        <v>0</v>
      </c>
      <c r="N68" s="20" t="n">
        <v>0</v>
      </c>
      <c r="O68" s="18" t="n">
        <v>0</v>
      </c>
      <c r="P68" s="20" t="n">
        <v>0</v>
      </c>
      <c r="Q68" s="18" t="n">
        <v>3.05183044</v>
      </c>
      <c r="R68" s="20" t="n">
        <v>0.55980485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56.18132203</v>
      </c>
      <c r="F70" s="20" t="n">
        <v>1.184635</v>
      </c>
      <c r="G70" s="18" t="n">
        <v>35.69131843</v>
      </c>
      <c r="H70" s="20" t="n">
        <v>1.04914531</v>
      </c>
      <c r="I70" s="18" t="n">
        <v>0</v>
      </c>
      <c r="J70" s="20" t="n">
        <v>0</v>
      </c>
      <c r="K70" s="18" t="n">
        <v>1.00050342</v>
      </c>
      <c r="L70" s="20" t="n">
        <v>0.23742756</v>
      </c>
      <c r="M70" s="18" t="n">
        <v>0</v>
      </c>
      <c r="N70" s="20" t="n">
        <v>0</v>
      </c>
      <c r="O70" s="18" t="n">
        <v>0</v>
      </c>
      <c r="P70" s="20" t="n">
        <v>0</v>
      </c>
      <c r="Q70" s="18" t="n">
        <v>7.12685612</v>
      </c>
      <c r="R70" s="20" t="n">
        <v>0.69526568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(5302.0/B72*100)</f>
        <v/>
      </c>
      <c r="D72" s="19" t="n">
        <v>734</v>
      </c>
      <c r="E72" s="18" t="n">
        <v>41.0555786</v>
      </c>
      <c r="F72" s="20" t="n">
        <v>2.08639375</v>
      </c>
      <c r="G72" s="18" t="n">
        <v>57.50606572</v>
      </c>
      <c r="H72" s="20" t="n">
        <v>2.09022412</v>
      </c>
      <c r="I72" s="18" t="n">
        <v>0</v>
      </c>
      <c r="J72" s="20" t="n">
        <v>0</v>
      </c>
      <c r="K72" s="18" t="n">
        <v>0</v>
      </c>
      <c r="L72" s="20" t="n">
        <v>0</v>
      </c>
      <c r="M72" s="18" t="n">
        <v>0</v>
      </c>
      <c r="N72" s="20" t="n">
        <v>0</v>
      </c>
      <c r="O72" s="18" t="n">
        <v>0</v>
      </c>
      <c r="P72" s="20" t="n">
        <v>0</v>
      </c>
      <c r="Q72" s="18" t="n">
        <v>1.43835568</v>
      </c>
      <c r="R72" s="20" t="n">
        <v>0.48488427</v>
      </c>
    </row>
    <row r="73" spans="1:18">
      <c r="A73" s="15" t="s">
        <v>497</v>
      </c>
      <c r="B73" s="17" t="n">
        <v>6115</v>
      </c>
      <c r="C73" s="18">
        <f>(5371.0/B73*100)</f>
        <v/>
      </c>
      <c r="D73" s="19" t="n">
        <v>744</v>
      </c>
      <c r="E73" s="18" t="n">
        <v>28.81114834</v>
      </c>
      <c r="F73" s="20" t="n">
        <v>1.63938174</v>
      </c>
      <c r="G73" s="18" t="n">
        <v>69.30063886000001</v>
      </c>
      <c r="H73" s="20" t="n">
        <v>1.51318873</v>
      </c>
      <c r="I73" s="18" t="n">
        <v>0</v>
      </c>
      <c r="J73" s="20" t="n">
        <v>0</v>
      </c>
      <c r="K73" s="18" t="n">
        <v>0.45219727</v>
      </c>
      <c r="L73" s="20" t="n">
        <v>0.14558784</v>
      </c>
      <c r="M73" s="18" t="n">
        <v>0</v>
      </c>
      <c r="N73" s="20" t="n">
        <v>0</v>
      </c>
      <c r="O73" s="18" t="n">
        <v>0</v>
      </c>
      <c r="P73" s="20" t="n">
        <v>0</v>
      </c>
      <c r="Q73" s="18" t="n">
        <v>1.43601553</v>
      </c>
      <c r="R73" s="20" t="n">
        <v>0.42068555</v>
      </c>
    </row>
    <row r="74" spans="1:18">
      <c r="A74" s="15" t="s">
        <v>498</v>
      </c>
      <c r="B74" s="17" t="n">
        <v>7708</v>
      </c>
      <c r="C74" s="18">
        <f>(6745.0/B74*100)</f>
        <v/>
      </c>
      <c r="D74" s="19" t="n">
        <v>963</v>
      </c>
      <c r="E74" s="18" t="n">
        <v>25.85924217</v>
      </c>
      <c r="F74" s="20" t="n">
        <v>1.30833154</v>
      </c>
      <c r="G74" s="18" t="n">
        <v>72.3321145</v>
      </c>
      <c r="H74" s="20" t="n">
        <v>1.35417025</v>
      </c>
      <c r="I74" s="18" t="n">
        <v>0</v>
      </c>
      <c r="J74" s="20" t="n">
        <v>0</v>
      </c>
      <c r="K74" s="18" t="n">
        <v>0.05250165</v>
      </c>
      <c r="L74" s="20" t="n">
        <v>0.05280842</v>
      </c>
      <c r="M74" s="18" t="n">
        <v>0</v>
      </c>
      <c r="N74" s="20" t="n">
        <v>0</v>
      </c>
      <c r="O74" s="18" t="n">
        <v>0</v>
      </c>
      <c r="P74" s="20" t="n">
        <v>0</v>
      </c>
      <c r="Q74" s="18" t="n">
        <v>1.75614168</v>
      </c>
      <c r="R74" s="20" t="n">
        <v>0.54763905</v>
      </c>
    </row>
    <row r="75" spans="1:18">
      <c r="A75" s="15" t="s">
        <v>499</v>
      </c>
      <c r="B75" s="17" t="n">
        <v>8249</v>
      </c>
      <c r="C75" s="18">
        <f>(7205.0/B75*100)</f>
        <v/>
      </c>
      <c r="D75" s="19" t="n">
        <v>1044</v>
      </c>
      <c r="E75" s="18" t="n">
        <v>54.68856349</v>
      </c>
      <c r="F75" s="20" t="n">
        <v>1.9346433</v>
      </c>
      <c r="G75" s="18" t="n">
        <v>44.41968561</v>
      </c>
      <c r="H75" s="20" t="n">
        <v>1.9080577</v>
      </c>
      <c r="I75" s="18" t="n">
        <v>0</v>
      </c>
      <c r="J75" s="20" t="n">
        <v>0</v>
      </c>
      <c r="K75" s="18" t="n">
        <v>0</v>
      </c>
      <c r="L75" s="20" t="n">
        <v>0</v>
      </c>
      <c r="M75" s="18" t="n">
        <v>0</v>
      </c>
      <c r="N75" s="20" t="n">
        <v>0</v>
      </c>
      <c r="O75" s="18" t="n">
        <v>0</v>
      </c>
      <c r="P75" s="20" t="n">
        <v>0</v>
      </c>
      <c r="Q75" s="18" t="n">
        <v>0.8917509</v>
      </c>
      <c r="R75" s="20" t="n">
        <v>0.33216729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(4764.0/B77*100)</f>
        <v/>
      </c>
      <c r="D77" s="19" t="n">
        <v>611</v>
      </c>
      <c r="E77" s="18" t="n">
        <v>62.97577368</v>
      </c>
      <c r="F77" s="20" t="n">
        <v>2.00504306</v>
      </c>
      <c r="G77" s="18" t="n">
        <v>29.48441453</v>
      </c>
      <c r="H77" s="20" t="n">
        <v>1.881058</v>
      </c>
      <c r="I77" s="18" t="n">
        <v>0</v>
      </c>
      <c r="J77" s="20" t="n">
        <v>0</v>
      </c>
      <c r="K77" s="18" t="n">
        <v>0.32388676</v>
      </c>
      <c r="L77" s="20" t="n">
        <v>0.18502859</v>
      </c>
      <c r="M77" s="18" t="n">
        <v>0</v>
      </c>
      <c r="N77" s="20" t="n">
        <v>0</v>
      </c>
      <c r="O77" s="18" t="n">
        <v>0</v>
      </c>
      <c r="P77" s="20" t="n">
        <v>0</v>
      </c>
      <c r="Q77" s="18" t="n">
        <v>7.21592503</v>
      </c>
      <c r="R77" s="20" t="n">
        <v>1.23744037</v>
      </c>
    </row>
    <row r="78" spans="1:18">
      <c r="A78" s="15" t="s">
        <v>502</v>
      </c>
      <c r="B78" s="17" t="n">
        <v>14167</v>
      </c>
      <c r="C78" s="18">
        <f>(12476.0/B78*100)</f>
        <v/>
      </c>
      <c r="D78" s="19" t="n">
        <v>1691</v>
      </c>
      <c r="E78" s="18" t="n">
        <v>60.06168119</v>
      </c>
      <c r="F78" s="20" t="n">
        <v>1.7086382</v>
      </c>
      <c r="G78" s="18" t="n">
        <v>30.6598097</v>
      </c>
      <c r="H78" s="20" t="n">
        <v>1.40575054</v>
      </c>
      <c r="I78" s="18" t="n">
        <v>0</v>
      </c>
      <c r="J78" s="20" t="n">
        <v>0</v>
      </c>
      <c r="K78" s="18" t="n">
        <v>0.5782839400000001</v>
      </c>
      <c r="L78" s="20" t="n">
        <v>0.21155851</v>
      </c>
      <c r="M78" s="18" t="n">
        <v>0</v>
      </c>
      <c r="N78" s="20" t="n">
        <v>0</v>
      </c>
      <c r="O78" s="18" t="n">
        <v>0</v>
      </c>
      <c r="P78" s="20" t="n">
        <v>0</v>
      </c>
      <c r="Q78" s="18" t="n">
        <v>8.70022517</v>
      </c>
      <c r="R78" s="20" t="n">
        <v>0.95142274</v>
      </c>
    </row>
    <row r="79" spans="1:18">
      <c r="A79" s="15" t="s">
        <v>503</v>
      </c>
      <c r="B79" s="17" t="n">
        <v>6062</v>
      </c>
      <c r="C79" s="18">
        <f>(5316.0/B79*100)</f>
        <v/>
      </c>
      <c r="D79" s="19" t="n">
        <v>746</v>
      </c>
      <c r="E79" s="18" t="n">
        <v>57.79781148</v>
      </c>
      <c r="F79" s="20" t="n">
        <v>1.83962452</v>
      </c>
      <c r="G79" s="18" t="n">
        <v>39.74601915</v>
      </c>
      <c r="H79" s="20" t="n">
        <v>1.8908215</v>
      </c>
      <c r="I79" s="18" t="n">
        <v>0</v>
      </c>
      <c r="J79" s="20" t="n">
        <v>0</v>
      </c>
      <c r="K79" s="18" t="n">
        <v>0.29930691</v>
      </c>
      <c r="L79" s="20" t="n">
        <v>0.262596</v>
      </c>
      <c r="M79" s="18" t="n">
        <v>0</v>
      </c>
      <c r="N79" s="20" t="n">
        <v>0</v>
      </c>
      <c r="O79" s="18" t="n">
        <v>0</v>
      </c>
      <c r="P79" s="20" t="n">
        <v>0</v>
      </c>
      <c r="Q79" s="18" t="n">
        <v>2.15686246</v>
      </c>
      <c r="R79" s="20" t="n">
        <v>0.51112753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(28295.0/B82*100)</f>
        <v/>
      </c>
      <c r="D82" s="19" t="n">
        <v>4035</v>
      </c>
      <c r="E82" s="18" t="n">
        <v>15.42920231</v>
      </c>
      <c r="F82" s="20" t="n">
        <v>0.74298016</v>
      </c>
      <c r="G82" s="18" t="n">
        <v>8.51844577</v>
      </c>
      <c r="H82" s="20" t="n">
        <v>0.63777924</v>
      </c>
      <c r="I82" s="18" t="n">
        <v>0</v>
      </c>
      <c r="J82" s="20" t="n">
        <v>0</v>
      </c>
      <c r="K82" s="18" t="n">
        <v>0.02870351</v>
      </c>
      <c r="L82" s="20" t="n">
        <v>0.02013383</v>
      </c>
      <c r="M82" s="18" t="n">
        <v>75.64608010000001</v>
      </c>
      <c r="N82" s="20" t="n">
        <v>0.78956195</v>
      </c>
      <c r="O82" s="18" t="n">
        <v>0</v>
      </c>
      <c r="P82" s="20" t="n">
        <v>0</v>
      </c>
      <c r="Q82" s="18" t="n">
        <v>0.37756831</v>
      </c>
      <c r="R82" s="20" t="n">
        <v>0.08506472</v>
      </c>
    </row>
    <row r="83" spans="1:18">
      <c r="A83" s="15" t="s">
        <v>507</v>
      </c>
      <c r="B83" s="17" t="n">
        <v>1652</v>
      </c>
      <c r="C83" s="18">
        <f>(1459.0/B83*100)</f>
        <v/>
      </c>
      <c r="D83" s="19" t="n">
        <v>193</v>
      </c>
      <c r="E83" s="18" t="n">
        <v>32.68628167</v>
      </c>
      <c r="F83" s="20" t="n">
        <v>3.92603172</v>
      </c>
      <c r="G83" s="18" t="n">
        <v>67.31371833</v>
      </c>
      <c r="H83" s="20" t="n">
        <v>3.92603172</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(1657.0/B84*100)</f>
        <v/>
      </c>
      <c r="D84" s="19" t="n">
        <v>230</v>
      </c>
      <c r="E84" s="18" t="n">
        <v>35.81605422</v>
      </c>
      <c r="F84" s="20" t="n">
        <v>3.2229546</v>
      </c>
      <c r="G84" s="18" t="n">
        <v>61.97150492</v>
      </c>
      <c r="H84" s="20" t="n">
        <v>3.5102279</v>
      </c>
      <c r="I84" s="18" t="n">
        <v>0</v>
      </c>
      <c r="J84" s="20" t="n">
        <v>0</v>
      </c>
      <c r="K84" s="18" t="n">
        <v>0</v>
      </c>
      <c r="L84" s="20" t="n">
        <v>0</v>
      </c>
      <c r="M84" s="18" t="n">
        <v>0</v>
      </c>
      <c r="N84" s="20" t="n">
        <v>0</v>
      </c>
      <c r="O84" s="18" t="n">
        <v>0</v>
      </c>
      <c r="P84" s="20" t="n">
        <v>0</v>
      </c>
      <c r="Q84" s="18" t="n">
        <v>2.21244086</v>
      </c>
      <c r="R84" s="20" t="n">
        <v>1.18344335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536</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(12761.0/B7*100)</f>
        <v/>
      </c>
      <c r="D7" s="19" t="n">
        <v>1769</v>
      </c>
      <c r="E7" s="18" t="n">
        <v>29.73400357</v>
      </c>
      <c r="F7" s="20" t="n">
        <v>1.16570301</v>
      </c>
      <c r="G7" s="18" t="n">
        <v>46.66144064</v>
      </c>
      <c r="H7" s="20" t="n">
        <v>1.19251644</v>
      </c>
      <c r="I7" s="18" t="n">
        <v>22.22502066</v>
      </c>
      <c r="J7" s="20" t="n">
        <v>0.91425795</v>
      </c>
      <c r="K7" s="18" t="n">
        <v>0</v>
      </c>
      <c r="L7" s="20" t="n">
        <v>0</v>
      </c>
      <c r="M7" s="18" t="n">
        <v>0.09057419999999999</v>
      </c>
      <c r="N7" s="20" t="n">
        <v>0.04943333</v>
      </c>
      <c r="O7" s="18" t="n">
        <v>0</v>
      </c>
      <c r="P7" s="20" t="n">
        <v>0</v>
      </c>
      <c r="Q7" s="18" t="n">
        <v>0</v>
      </c>
      <c r="R7" s="20" t="n">
        <v>0</v>
      </c>
      <c r="S7" s="18" t="n">
        <v>1.28896093</v>
      </c>
      <c r="T7" s="20" t="n">
        <v>0.27841097</v>
      </c>
    </row>
    <row r="8" spans="1:20">
      <c r="A8" s="15" t="s">
        <v>430</v>
      </c>
      <c r="B8" s="17" t="n">
        <v>7007</v>
      </c>
      <c r="C8" s="18">
        <f>(6174.0/B8*100)</f>
        <v/>
      </c>
      <c r="D8" s="19" t="n">
        <v>833</v>
      </c>
      <c r="E8" s="18" t="n">
        <v>18.20363021</v>
      </c>
      <c r="F8" s="20" t="n">
        <v>1.60503801</v>
      </c>
      <c r="G8" s="18" t="n">
        <v>46.70971781</v>
      </c>
      <c r="H8" s="20" t="n">
        <v>2.06023934</v>
      </c>
      <c r="I8" s="18" t="n">
        <v>33.18646723</v>
      </c>
      <c r="J8" s="20" t="n">
        <v>1.83958881</v>
      </c>
      <c r="K8" s="18" t="n">
        <v>0</v>
      </c>
      <c r="L8" s="20" t="n">
        <v>0</v>
      </c>
      <c r="M8" s="18" t="n">
        <v>0</v>
      </c>
      <c r="N8" s="20" t="n">
        <v>0</v>
      </c>
      <c r="O8" s="18" t="n">
        <v>0</v>
      </c>
      <c r="P8" s="20" t="n">
        <v>0</v>
      </c>
      <c r="Q8" s="18" t="n">
        <v>0</v>
      </c>
      <c r="R8" s="20" t="n">
        <v>0</v>
      </c>
      <c r="S8" s="18" t="n">
        <v>1.90018475</v>
      </c>
      <c r="T8" s="20" t="n">
        <v>0.58408215</v>
      </c>
    </row>
    <row r="9" spans="1:20">
      <c r="A9" s="15" t="s">
        <v>431</v>
      </c>
      <c r="B9" s="17" t="n">
        <v>9651</v>
      </c>
      <c r="C9" s="18">
        <f>(8501.0/B9*100)</f>
        <v/>
      </c>
      <c r="D9" s="19" t="n">
        <v>1150</v>
      </c>
      <c r="E9" s="18" t="n">
        <v>19.5027724</v>
      </c>
      <c r="F9" s="20" t="n">
        <v>1.43814587</v>
      </c>
      <c r="G9" s="18" t="n">
        <v>40.6055265</v>
      </c>
      <c r="H9" s="20" t="n">
        <v>1.66470675</v>
      </c>
      <c r="I9" s="18" t="n">
        <v>36.36541048</v>
      </c>
      <c r="J9" s="20" t="n">
        <v>1.45998257</v>
      </c>
      <c r="K9" s="18" t="n">
        <v>0</v>
      </c>
      <c r="L9" s="20" t="n">
        <v>0</v>
      </c>
      <c r="M9" s="18" t="n">
        <v>0.07786257000000001</v>
      </c>
      <c r="N9" s="20" t="n">
        <v>0.07524633</v>
      </c>
      <c r="O9" s="18" t="n">
        <v>0</v>
      </c>
      <c r="P9" s="20" t="n">
        <v>0</v>
      </c>
      <c r="Q9" s="18" t="n">
        <v>0</v>
      </c>
      <c r="R9" s="20" t="n">
        <v>0</v>
      </c>
      <c r="S9" s="18" t="n">
        <v>3.44842804</v>
      </c>
      <c r="T9" s="20" t="n">
        <v>0.8518764</v>
      </c>
    </row>
    <row r="10" spans="1:20">
      <c r="A10" s="15" t="s">
        <v>432</v>
      </c>
      <c r="B10" s="17" t="n">
        <v>20058</v>
      </c>
      <c r="C10" s="18">
        <f>(17586.0/B10*100)</f>
        <v/>
      </c>
      <c r="D10" s="19" t="n">
        <v>2472</v>
      </c>
      <c r="E10" s="18" t="n">
        <v>24.44063952</v>
      </c>
      <c r="F10" s="20" t="n">
        <v>1.30739992</v>
      </c>
      <c r="G10" s="18" t="n">
        <v>49.65999658</v>
      </c>
      <c r="H10" s="20" t="n">
        <v>1.62522145</v>
      </c>
      <c r="I10" s="18" t="n">
        <v>23.95006011</v>
      </c>
      <c r="J10" s="20" t="n">
        <v>1.43485031</v>
      </c>
      <c r="K10" s="18" t="n">
        <v>0</v>
      </c>
      <c r="L10" s="20" t="n">
        <v>0</v>
      </c>
      <c r="M10" s="18" t="n">
        <v>0.27327419</v>
      </c>
      <c r="N10" s="20" t="n">
        <v>0.15683672</v>
      </c>
      <c r="O10" s="18" t="n">
        <v>0</v>
      </c>
      <c r="P10" s="20" t="n">
        <v>0</v>
      </c>
      <c r="Q10" s="18" t="n">
        <v>0</v>
      </c>
      <c r="R10" s="20" t="n">
        <v>0</v>
      </c>
      <c r="S10" s="18" t="n">
        <v>1.6760296</v>
      </c>
      <c r="T10" s="20" t="n">
        <v>0.33717072</v>
      </c>
    </row>
    <row r="11" spans="1:20">
      <c r="A11" s="15" t="s">
        <v>433</v>
      </c>
      <c r="B11" s="17" t="n">
        <v>7053</v>
      </c>
      <c r="C11" s="18">
        <f>(6180.0/B11*100)</f>
        <v/>
      </c>
      <c r="D11" s="19" t="n">
        <v>873</v>
      </c>
      <c r="E11" s="18" t="n">
        <v>40.56452816</v>
      </c>
      <c r="F11" s="20" t="n">
        <v>2.00449232</v>
      </c>
      <c r="G11" s="18" t="n">
        <v>46.8568026</v>
      </c>
      <c r="H11" s="20" t="n">
        <v>1.95970739</v>
      </c>
      <c r="I11" s="18" t="n">
        <v>10.78361817</v>
      </c>
      <c r="J11" s="20" t="n">
        <v>1.27081182</v>
      </c>
      <c r="K11" s="18" t="n">
        <v>0</v>
      </c>
      <c r="L11" s="20" t="n">
        <v>0</v>
      </c>
      <c r="M11" s="18" t="n">
        <v>0</v>
      </c>
      <c r="N11" s="20" t="n">
        <v>0</v>
      </c>
      <c r="O11" s="18" t="n">
        <v>0</v>
      </c>
      <c r="P11" s="20" t="n">
        <v>0</v>
      </c>
      <c r="Q11" s="18" t="n">
        <v>0</v>
      </c>
      <c r="R11" s="20" t="n">
        <v>0</v>
      </c>
      <c r="S11" s="18" t="n">
        <v>1.79505107</v>
      </c>
      <c r="T11" s="20" t="n">
        <v>0.71616092</v>
      </c>
    </row>
    <row r="12" spans="1:20">
      <c r="A12" s="15" t="s">
        <v>434</v>
      </c>
      <c r="B12" s="17" t="n">
        <v>6894</v>
      </c>
      <c r="C12" s="18">
        <f>(6044.0/B12*100)</f>
        <v/>
      </c>
      <c r="D12" s="19" t="n">
        <v>850</v>
      </c>
      <c r="E12" s="18" t="n">
        <v>24.83321765</v>
      </c>
      <c r="F12" s="20" t="n">
        <v>1.62155939</v>
      </c>
      <c r="G12" s="18" t="n">
        <v>55.48781235</v>
      </c>
      <c r="H12" s="20" t="n">
        <v>1.69140194</v>
      </c>
      <c r="I12" s="18" t="n">
        <v>17.28838949</v>
      </c>
      <c r="J12" s="20" t="n">
        <v>1.37869749</v>
      </c>
      <c r="K12" s="18" t="n">
        <v>0</v>
      </c>
      <c r="L12" s="20" t="n">
        <v>0</v>
      </c>
      <c r="M12" s="18" t="n">
        <v>0</v>
      </c>
      <c r="N12" s="20" t="n">
        <v>0</v>
      </c>
      <c r="O12" s="18" t="n">
        <v>0</v>
      </c>
      <c r="P12" s="20" t="n">
        <v>0</v>
      </c>
      <c r="Q12" s="18" t="n">
        <v>0</v>
      </c>
      <c r="R12" s="20" t="n">
        <v>0</v>
      </c>
      <c r="S12" s="18" t="n">
        <v>2.3905805</v>
      </c>
      <c r="T12" s="20" t="n">
        <v>0.75854861</v>
      </c>
    </row>
    <row r="13" spans="1:20">
      <c r="A13" s="15" t="s">
        <v>435</v>
      </c>
      <c r="B13" s="17" t="n">
        <v>7161</v>
      </c>
      <c r="C13" s="18">
        <f>(6325.0/B13*100)</f>
        <v/>
      </c>
      <c r="D13" s="19" t="n">
        <v>836</v>
      </c>
      <c r="E13" s="18" t="n">
        <v>8.047421699999999</v>
      </c>
      <c r="F13" s="20" t="n">
        <v>1.02416818</v>
      </c>
      <c r="G13" s="18" t="n">
        <v>40.29226665</v>
      </c>
      <c r="H13" s="20" t="n">
        <v>2.15723261</v>
      </c>
      <c r="I13" s="18" t="n">
        <v>38.57126355</v>
      </c>
      <c r="J13" s="20" t="n">
        <v>2.30957455</v>
      </c>
      <c r="K13" s="18" t="n">
        <v>0</v>
      </c>
      <c r="L13" s="20" t="n">
        <v>0</v>
      </c>
      <c r="M13" s="18" t="n">
        <v>0.77459231</v>
      </c>
      <c r="N13" s="20" t="n">
        <v>0.38550262</v>
      </c>
      <c r="O13" s="18" t="n">
        <v>0</v>
      </c>
      <c r="P13" s="20" t="n">
        <v>0</v>
      </c>
      <c r="Q13" s="18" t="n">
        <v>0</v>
      </c>
      <c r="R13" s="20" t="n">
        <v>0</v>
      </c>
      <c r="S13" s="18" t="n">
        <v>12.31445579</v>
      </c>
      <c r="T13" s="20" t="n">
        <v>1.75920653</v>
      </c>
    </row>
    <row r="14" spans="1:20">
      <c r="A14" s="15" t="s">
        <v>436</v>
      </c>
      <c r="B14" s="17" t="n">
        <v>5587</v>
      </c>
      <c r="C14" s="18">
        <f>(4907.0/B14*100)</f>
        <v/>
      </c>
      <c r="D14" s="19" t="n">
        <v>680</v>
      </c>
      <c r="E14" s="18" t="n">
        <v>18.29693974</v>
      </c>
      <c r="F14" s="20" t="n">
        <v>1.67569753</v>
      </c>
      <c r="G14" s="18" t="n">
        <v>42.98752159</v>
      </c>
      <c r="H14" s="20" t="n">
        <v>2.19006693</v>
      </c>
      <c r="I14" s="18" t="n">
        <v>31.59912867</v>
      </c>
      <c r="J14" s="20" t="n">
        <v>2.13476458</v>
      </c>
      <c r="K14" s="18" t="n">
        <v>0</v>
      </c>
      <c r="L14" s="20" t="n">
        <v>0</v>
      </c>
      <c r="M14" s="18" t="n">
        <v>0.1183334</v>
      </c>
      <c r="N14" s="20" t="n">
        <v>0.12447248</v>
      </c>
      <c r="O14" s="18" t="n">
        <v>0</v>
      </c>
      <c r="P14" s="20" t="n">
        <v>0</v>
      </c>
      <c r="Q14" s="18" t="n">
        <v>0</v>
      </c>
      <c r="R14" s="20" t="n">
        <v>0</v>
      </c>
      <c r="S14" s="18" t="n">
        <v>6.9980766</v>
      </c>
      <c r="T14" s="20" t="n">
        <v>1.46663442</v>
      </c>
    </row>
    <row r="15" spans="1:20">
      <c r="A15" s="15" t="s">
        <v>437</v>
      </c>
      <c r="B15" s="17" t="n">
        <v>5882</v>
      </c>
      <c r="C15" s="18">
        <f>(5144.0/B15*100)</f>
        <v/>
      </c>
      <c r="D15" s="19" t="n">
        <v>738</v>
      </c>
      <c r="E15" s="18" t="n">
        <v>22.85774381</v>
      </c>
      <c r="F15" s="20" t="n">
        <v>1.59923491</v>
      </c>
      <c r="G15" s="18" t="n">
        <v>57.39158673</v>
      </c>
      <c r="H15" s="20" t="n">
        <v>2.17636463</v>
      </c>
      <c r="I15" s="18" t="n">
        <v>18.30961344</v>
      </c>
      <c r="J15" s="20" t="n">
        <v>1.78291772</v>
      </c>
      <c r="K15" s="18" t="n">
        <v>0</v>
      </c>
      <c r="L15" s="20" t="n">
        <v>0</v>
      </c>
      <c r="M15" s="18" t="n">
        <v>0.27010706</v>
      </c>
      <c r="N15" s="20" t="n">
        <v>0.18973382</v>
      </c>
      <c r="O15" s="18" t="n">
        <v>0</v>
      </c>
      <c r="P15" s="20" t="n">
        <v>0</v>
      </c>
      <c r="Q15" s="18" t="n">
        <v>0</v>
      </c>
      <c r="R15" s="20" t="n">
        <v>0</v>
      </c>
      <c r="S15" s="18" t="n">
        <v>1.17094896</v>
      </c>
      <c r="T15" s="20" t="n">
        <v>0.48541345</v>
      </c>
    </row>
    <row r="16" spans="1:20">
      <c r="A16" s="15" t="s">
        <v>438</v>
      </c>
      <c r="B16" s="17" t="n">
        <v>6108</v>
      </c>
      <c r="C16" s="18">
        <f>(5331.0/B16*100)</f>
        <v/>
      </c>
      <c r="D16" s="19" t="n">
        <v>777</v>
      </c>
      <c r="E16" s="18" t="n">
        <v>23.34629404</v>
      </c>
      <c r="F16" s="20" t="n">
        <v>1.57155538</v>
      </c>
      <c r="G16" s="18" t="n">
        <v>51.70451949</v>
      </c>
      <c r="H16" s="20" t="n">
        <v>1.81869698</v>
      </c>
      <c r="I16" s="18" t="n">
        <v>22.7332476</v>
      </c>
      <c r="J16" s="20" t="n">
        <v>1.33162738</v>
      </c>
      <c r="K16" s="18" t="n">
        <v>0</v>
      </c>
      <c r="L16" s="20" t="n">
        <v>0</v>
      </c>
      <c r="M16" s="18" t="n">
        <v>0.79901217</v>
      </c>
      <c r="N16" s="20" t="n">
        <v>0.38929818</v>
      </c>
      <c r="O16" s="18" t="n">
        <v>0</v>
      </c>
      <c r="P16" s="20" t="n">
        <v>0</v>
      </c>
      <c r="Q16" s="18" t="n">
        <v>0</v>
      </c>
      <c r="R16" s="20" t="n">
        <v>0</v>
      </c>
      <c r="S16" s="18" t="n">
        <v>1.4169267</v>
      </c>
      <c r="T16" s="20" t="n">
        <v>0.5172906900000001</v>
      </c>
    </row>
    <row r="17" spans="1:20">
      <c r="A17" s="15" t="s">
        <v>439</v>
      </c>
      <c r="B17" s="17" t="n">
        <v>6504</v>
      </c>
      <c r="C17" s="18">
        <f>(5712.0/B17*100)</f>
        <v/>
      </c>
      <c r="D17" s="19" t="n">
        <v>792</v>
      </c>
      <c r="E17" s="18" t="n">
        <v>15.57611299</v>
      </c>
      <c r="F17" s="20" t="n">
        <v>1.51744003</v>
      </c>
      <c r="G17" s="18" t="n">
        <v>45.50258736</v>
      </c>
      <c r="H17" s="20" t="n">
        <v>1.66221395</v>
      </c>
      <c r="I17" s="18" t="n">
        <v>38.00319962</v>
      </c>
      <c r="J17" s="20" t="n">
        <v>1.7548178</v>
      </c>
      <c r="K17" s="18" t="n">
        <v>0</v>
      </c>
      <c r="L17" s="20" t="n">
        <v>0</v>
      </c>
      <c r="M17" s="18" t="n">
        <v>0.2178022</v>
      </c>
      <c r="N17" s="20" t="n">
        <v>0.15602338</v>
      </c>
      <c r="O17" s="18" t="n">
        <v>0</v>
      </c>
      <c r="P17" s="20" t="n">
        <v>0</v>
      </c>
      <c r="Q17" s="18" t="n">
        <v>0</v>
      </c>
      <c r="R17" s="20" t="n">
        <v>0</v>
      </c>
      <c r="S17" s="18" t="n">
        <v>0.70029783</v>
      </c>
      <c r="T17" s="20" t="n">
        <v>0.28586047</v>
      </c>
    </row>
    <row r="18" spans="1:20">
      <c r="A18" s="15" t="s">
        <v>440</v>
      </c>
      <c r="B18" s="17" t="n">
        <v>5532</v>
      </c>
      <c r="C18" s="18">
        <f>(4843.0/B18*100)</f>
        <v/>
      </c>
      <c r="D18" s="19" t="n">
        <v>689</v>
      </c>
      <c r="E18" s="18" t="n">
        <v>32.10704879</v>
      </c>
      <c r="F18" s="20" t="n">
        <v>1.86390936</v>
      </c>
      <c r="G18" s="18" t="n">
        <v>43.77741401</v>
      </c>
      <c r="H18" s="20" t="n">
        <v>1.78016516</v>
      </c>
      <c r="I18" s="18" t="n">
        <v>22.42068753</v>
      </c>
      <c r="J18" s="20" t="n">
        <v>1.55336209</v>
      </c>
      <c r="K18" s="18" t="n">
        <v>0</v>
      </c>
      <c r="L18" s="20" t="n">
        <v>0</v>
      </c>
      <c r="M18" s="18" t="n">
        <v>0</v>
      </c>
      <c r="N18" s="20" t="n">
        <v>0</v>
      </c>
      <c r="O18" s="18" t="n">
        <v>0</v>
      </c>
      <c r="P18" s="20" t="n">
        <v>0</v>
      </c>
      <c r="Q18" s="18" t="n">
        <v>0</v>
      </c>
      <c r="R18" s="20" t="n">
        <v>0</v>
      </c>
      <c r="S18" s="18" t="n">
        <v>1.69484967</v>
      </c>
      <c r="T18" s="20" t="n">
        <v>0.6523682</v>
      </c>
    </row>
    <row r="19" spans="1:20">
      <c r="A19" s="15" t="s">
        <v>441</v>
      </c>
      <c r="B19" s="17" t="n">
        <v>5658</v>
      </c>
      <c r="C19" s="18">
        <f>(4936.0/B19*100)</f>
        <v/>
      </c>
      <c r="D19" s="19" t="n">
        <v>722</v>
      </c>
      <c r="E19" s="18" t="n">
        <v>26.53751866</v>
      </c>
      <c r="F19" s="20" t="n">
        <v>1.75489495</v>
      </c>
      <c r="G19" s="18" t="n">
        <v>40.68189504</v>
      </c>
      <c r="H19" s="20" t="n">
        <v>1.62409385</v>
      </c>
      <c r="I19" s="18" t="n">
        <v>22.88850901</v>
      </c>
      <c r="J19" s="20" t="n">
        <v>1.53868973</v>
      </c>
      <c r="K19" s="18" t="n">
        <v>0</v>
      </c>
      <c r="L19" s="20" t="n">
        <v>0</v>
      </c>
      <c r="M19" s="18" t="n">
        <v>0.6227408800000001</v>
      </c>
      <c r="N19" s="20" t="n">
        <v>0.43916932</v>
      </c>
      <c r="O19" s="18" t="n">
        <v>0</v>
      </c>
      <c r="P19" s="20" t="n">
        <v>0</v>
      </c>
      <c r="Q19" s="18" t="n">
        <v>0</v>
      </c>
      <c r="R19" s="20" t="n">
        <v>0</v>
      </c>
      <c r="S19" s="18" t="n">
        <v>9.26933642</v>
      </c>
      <c r="T19" s="20" t="n">
        <v>1.15630294</v>
      </c>
    </row>
    <row r="20" spans="1:20">
      <c r="A20" s="15" t="s">
        <v>442</v>
      </c>
      <c r="B20" s="17" t="n">
        <v>3371</v>
      </c>
      <c r="C20" s="18">
        <f>(2952.0/B20*100)</f>
        <v/>
      </c>
      <c r="D20" s="19" t="n">
        <v>419</v>
      </c>
      <c r="E20" s="18" t="n">
        <v>34.80064986</v>
      </c>
      <c r="F20" s="20" t="n">
        <v>2.16107134</v>
      </c>
      <c r="G20" s="18" t="n">
        <v>37.91365847</v>
      </c>
      <c r="H20" s="20" t="n">
        <v>2.27341909</v>
      </c>
      <c r="I20" s="18" t="n">
        <v>9.73799855</v>
      </c>
      <c r="J20" s="20" t="n">
        <v>1.27845898</v>
      </c>
      <c r="K20" s="18" t="n">
        <v>0</v>
      </c>
      <c r="L20" s="20" t="n">
        <v>0</v>
      </c>
      <c r="M20" s="18" t="n">
        <v>0</v>
      </c>
      <c r="N20" s="20" t="n">
        <v>0</v>
      </c>
      <c r="O20" s="18" t="n">
        <v>0</v>
      </c>
      <c r="P20" s="20" t="n">
        <v>0</v>
      </c>
      <c r="Q20" s="18" t="n">
        <v>0</v>
      </c>
      <c r="R20" s="20" t="n">
        <v>0</v>
      </c>
      <c r="S20" s="18" t="n">
        <v>17.54769313</v>
      </c>
      <c r="T20" s="20" t="n">
        <v>1.81940828</v>
      </c>
    </row>
    <row r="21" spans="1:20">
      <c r="A21" s="15" t="s">
        <v>443</v>
      </c>
      <c r="B21" s="17" t="n">
        <v>5741</v>
      </c>
      <c r="C21" s="18">
        <f>(4787.0/B21*100)</f>
        <v/>
      </c>
      <c r="D21" s="19" t="n">
        <v>954</v>
      </c>
      <c r="E21" s="18" t="n">
        <v>25.44320645</v>
      </c>
      <c r="F21" s="20" t="n">
        <v>1.43195959</v>
      </c>
      <c r="G21" s="18" t="n">
        <v>44.64895224</v>
      </c>
      <c r="H21" s="20" t="n">
        <v>1.53484182</v>
      </c>
      <c r="I21" s="18" t="n">
        <v>28.93522917</v>
      </c>
      <c r="J21" s="20" t="n">
        <v>1.81219473</v>
      </c>
      <c r="K21" s="18" t="n">
        <v>0</v>
      </c>
      <c r="L21" s="20" t="n">
        <v>0</v>
      </c>
      <c r="M21" s="18" t="n">
        <v>0</v>
      </c>
      <c r="N21" s="20" t="n">
        <v>0</v>
      </c>
      <c r="O21" s="18" t="n">
        <v>0</v>
      </c>
      <c r="P21" s="20" t="n">
        <v>0</v>
      </c>
      <c r="Q21" s="18" t="n">
        <v>0</v>
      </c>
      <c r="R21" s="20" t="n">
        <v>0</v>
      </c>
      <c r="S21" s="18" t="n">
        <v>0.97261214</v>
      </c>
      <c r="T21" s="20" t="n">
        <v>0.28706011</v>
      </c>
    </row>
    <row r="22" spans="1:20">
      <c r="A22" s="15" t="s">
        <v>444</v>
      </c>
      <c r="B22" s="17" t="n">
        <v>6598</v>
      </c>
      <c r="C22" s="18">
        <f>(5769.0/B22*100)</f>
        <v/>
      </c>
      <c r="D22" s="19" t="n">
        <v>829</v>
      </c>
      <c r="E22" s="18" t="n">
        <v>28.6709682</v>
      </c>
      <c r="F22" s="20" t="n">
        <v>1.82369188</v>
      </c>
      <c r="G22" s="18" t="n">
        <v>52.74732616</v>
      </c>
      <c r="H22" s="20" t="n">
        <v>1.76721039</v>
      </c>
      <c r="I22" s="18" t="n">
        <v>16.87325166</v>
      </c>
      <c r="J22" s="20" t="n">
        <v>1.43413644</v>
      </c>
      <c r="K22" s="18" t="n">
        <v>0</v>
      </c>
      <c r="L22" s="20" t="n">
        <v>0</v>
      </c>
      <c r="M22" s="18" t="n">
        <v>0.10529438</v>
      </c>
      <c r="N22" s="20" t="n">
        <v>0.117156</v>
      </c>
      <c r="O22" s="18" t="n">
        <v>0</v>
      </c>
      <c r="P22" s="20" t="n">
        <v>0</v>
      </c>
      <c r="Q22" s="18" t="n">
        <v>0</v>
      </c>
      <c r="R22" s="20" t="n">
        <v>0</v>
      </c>
      <c r="S22" s="18" t="n">
        <v>1.6031596</v>
      </c>
      <c r="T22" s="20" t="n">
        <v>0.63023052</v>
      </c>
    </row>
    <row r="23" spans="1:20">
      <c r="A23" s="15" t="s">
        <v>445</v>
      </c>
      <c r="B23" s="17" t="n">
        <v>11583</v>
      </c>
      <c r="C23" s="18">
        <f>(10156.0/B23*100)</f>
        <v/>
      </c>
      <c r="D23" s="19" t="n">
        <v>1427</v>
      </c>
      <c r="E23" s="18" t="n">
        <v>15.69228122</v>
      </c>
      <c r="F23" s="20" t="n">
        <v>1.3543309</v>
      </c>
      <c r="G23" s="18" t="n">
        <v>41.77534996</v>
      </c>
      <c r="H23" s="20" t="n">
        <v>2.1832697</v>
      </c>
      <c r="I23" s="18" t="n">
        <v>40.11233046</v>
      </c>
      <c r="J23" s="20" t="n">
        <v>2.23651187</v>
      </c>
      <c r="K23" s="18" t="n">
        <v>0</v>
      </c>
      <c r="L23" s="20" t="n">
        <v>0</v>
      </c>
      <c r="M23" s="18" t="n">
        <v>0.01016107</v>
      </c>
      <c r="N23" s="20" t="n">
        <v>0.00759726</v>
      </c>
      <c r="O23" s="18" t="n">
        <v>0</v>
      </c>
      <c r="P23" s="20" t="n">
        <v>0</v>
      </c>
      <c r="Q23" s="18" t="n">
        <v>0</v>
      </c>
      <c r="R23" s="20" t="n">
        <v>0</v>
      </c>
      <c r="S23" s="18" t="n">
        <v>2.40987729</v>
      </c>
      <c r="T23" s="20" t="n">
        <v>0.7358293</v>
      </c>
    </row>
    <row r="24" spans="1:20">
      <c r="A24" s="15" t="s">
        <v>446</v>
      </c>
      <c r="B24" s="17" t="n">
        <v>6647</v>
      </c>
      <c r="C24" s="18">
        <f>(5819.0/B24*100)</f>
        <v/>
      </c>
      <c r="D24" s="19" t="n">
        <v>828</v>
      </c>
      <c r="E24" s="18" t="n">
        <v>12.02650966</v>
      </c>
      <c r="F24" s="20" t="n">
        <v>0.9666258599999999</v>
      </c>
      <c r="G24" s="18" t="n">
        <v>50.84128655</v>
      </c>
      <c r="H24" s="20" t="n">
        <v>1.79099554</v>
      </c>
      <c r="I24" s="18" t="n">
        <v>36.47602644</v>
      </c>
      <c r="J24" s="20" t="n">
        <v>1.81420428</v>
      </c>
      <c r="K24" s="18" t="n">
        <v>0</v>
      </c>
      <c r="L24" s="20" t="n">
        <v>0</v>
      </c>
      <c r="M24" s="18" t="n">
        <v>0</v>
      </c>
      <c r="N24" s="20" t="n">
        <v>0</v>
      </c>
      <c r="O24" s="18" t="n">
        <v>0</v>
      </c>
      <c r="P24" s="20" t="n">
        <v>0</v>
      </c>
      <c r="Q24" s="18" t="n">
        <v>0</v>
      </c>
      <c r="R24" s="20" t="n">
        <v>0</v>
      </c>
      <c r="S24" s="18" t="n">
        <v>0.65617736</v>
      </c>
      <c r="T24" s="20" t="n">
        <v>0.29192082</v>
      </c>
    </row>
    <row r="25" spans="1:20">
      <c r="A25" s="15" t="s">
        <v>447</v>
      </c>
      <c r="B25" s="17" t="n">
        <v>5581</v>
      </c>
      <c r="C25" s="18">
        <f>(4896.0/B25*100)</f>
        <v/>
      </c>
      <c r="D25" s="19" t="n">
        <v>685</v>
      </c>
      <c r="E25" s="18" t="n">
        <v>12.13324936</v>
      </c>
      <c r="F25" s="20" t="n">
        <v>1.38319058</v>
      </c>
      <c r="G25" s="18" t="n">
        <v>50.97130534</v>
      </c>
      <c r="H25" s="20" t="n">
        <v>2.06830913</v>
      </c>
      <c r="I25" s="18" t="n">
        <v>36.13856188</v>
      </c>
      <c r="J25" s="20" t="n">
        <v>2.12240182</v>
      </c>
      <c r="K25" s="18" t="n">
        <v>0</v>
      </c>
      <c r="L25" s="20" t="n">
        <v>0</v>
      </c>
      <c r="M25" s="18" t="n">
        <v>0.14149082</v>
      </c>
      <c r="N25" s="20" t="n">
        <v>0.14122967</v>
      </c>
      <c r="O25" s="18" t="n">
        <v>0</v>
      </c>
      <c r="P25" s="20" t="n">
        <v>0</v>
      </c>
      <c r="Q25" s="18" t="n">
        <v>0</v>
      </c>
      <c r="R25" s="20" t="n">
        <v>0</v>
      </c>
      <c r="S25" s="18" t="n">
        <v>0.61539261</v>
      </c>
      <c r="T25" s="20" t="n">
        <v>0.30002697</v>
      </c>
    </row>
    <row r="26" spans="1:20">
      <c r="A26" s="15" t="s">
        <v>448</v>
      </c>
      <c r="B26" s="17" t="n">
        <v>4869</v>
      </c>
      <c r="C26" s="18">
        <f>(4279.0/B26*100)</f>
        <v/>
      </c>
      <c r="D26" s="19" t="n">
        <v>590</v>
      </c>
      <c r="E26" s="18" t="n">
        <v>21.82988219</v>
      </c>
      <c r="F26" s="20" t="n">
        <v>1.378506</v>
      </c>
      <c r="G26" s="18" t="n">
        <v>56.91084898</v>
      </c>
      <c r="H26" s="20" t="n">
        <v>1.74474271</v>
      </c>
      <c r="I26" s="18" t="n">
        <v>18.97219431</v>
      </c>
      <c r="J26" s="20" t="n">
        <v>1.72820835</v>
      </c>
      <c r="K26" s="18" t="n">
        <v>0</v>
      </c>
      <c r="L26" s="20" t="n">
        <v>0</v>
      </c>
      <c r="M26" s="18" t="n">
        <v>0</v>
      </c>
      <c r="N26" s="20" t="n">
        <v>0</v>
      </c>
      <c r="O26" s="18" t="n">
        <v>0</v>
      </c>
      <c r="P26" s="20" t="n">
        <v>0</v>
      </c>
      <c r="Q26" s="18" t="n">
        <v>0</v>
      </c>
      <c r="R26" s="20" t="n">
        <v>0</v>
      </c>
      <c r="S26" s="18" t="n">
        <v>2.28707452</v>
      </c>
      <c r="T26" s="20" t="n">
        <v>0.77067603</v>
      </c>
    </row>
    <row r="27" spans="1:20">
      <c r="A27" s="15" t="s">
        <v>449</v>
      </c>
      <c r="B27" s="17" t="n">
        <v>5299</v>
      </c>
      <c r="C27" s="18">
        <f>(4645.0/B27*100)</f>
        <v/>
      </c>
      <c r="D27" s="19" t="n">
        <v>654</v>
      </c>
      <c r="E27" s="18" t="n">
        <v>21.97356114</v>
      </c>
      <c r="F27" s="20" t="n">
        <v>1.67211529</v>
      </c>
      <c r="G27" s="18" t="n">
        <v>48.3348679</v>
      </c>
      <c r="H27" s="20" t="n">
        <v>1.78422985</v>
      </c>
      <c r="I27" s="18" t="n">
        <v>28.59074245</v>
      </c>
      <c r="J27" s="20" t="n">
        <v>1.58253234</v>
      </c>
      <c r="K27" s="18" t="n">
        <v>0</v>
      </c>
      <c r="L27" s="20" t="n">
        <v>0</v>
      </c>
      <c r="M27" s="18" t="n">
        <v>0.15283816</v>
      </c>
      <c r="N27" s="20" t="n">
        <v>0.15230082</v>
      </c>
      <c r="O27" s="18" t="n">
        <v>0</v>
      </c>
      <c r="P27" s="20" t="n">
        <v>0</v>
      </c>
      <c r="Q27" s="18" t="n">
        <v>0</v>
      </c>
      <c r="R27" s="20" t="n">
        <v>0</v>
      </c>
      <c r="S27" s="18" t="n">
        <v>0.94799036</v>
      </c>
      <c r="T27" s="20" t="n">
        <v>0.39079208</v>
      </c>
    </row>
    <row r="28" spans="1:20">
      <c r="A28" s="15" t="s">
        <v>450</v>
      </c>
      <c r="B28" s="17" t="n">
        <v>7568</v>
      </c>
      <c r="C28" s="18">
        <f>(6644.0/B28*100)</f>
        <v/>
      </c>
      <c r="D28" s="19" t="n">
        <v>924</v>
      </c>
      <c r="E28" s="18" t="n">
        <v>53.13790325</v>
      </c>
      <c r="F28" s="20" t="n">
        <v>1.98837974</v>
      </c>
      <c r="G28" s="18" t="n">
        <v>38.27780388</v>
      </c>
      <c r="H28" s="20" t="n">
        <v>1.79950737</v>
      </c>
      <c r="I28" s="18" t="n">
        <v>7.19894447</v>
      </c>
      <c r="J28" s="20" t="n">
        <v>1.14483802</v>
      </c>
      <c r="K28" s="18" t="n">
        <v>0</v>
      </c>
      <c r="L28" s="20" t="n">
        <v>0</v>
      </c>
      <c r="M28" s="18" t="n">
        <v>0.1077874</v>
      </c>
      <c r="N28" s="20" t="n">
        <v>0.11725789</v>
      </c>
      <c r="O28" s="18" t="n">
        <v>0</v>
      </c>
      <c r="P28" s="20" t="n">
        <v>0</v>
      </c>
      <c r="Q28" s="18" t="n">
        <v>0</v>
      </c>
      <c r="R28" s="20" t="n">
        <v>0</v>
      </c>
      <c r="S28" s="18" t="n">
        <v>1.277561</v>
      </c>
      <c r="T28" s="20" t="n">
        <v>0.45268797</v>
      </c>
    </row>
    <row r="29" spans="1:20">
      <c r="A29" s="15" t="s">
        <v>451</v>
      </c>
      <c r="B29" s="17" t="n">
        <v>5385</v>
      </c>
      <c r="C29" s="18">
        <f>(4742.0/B29*100)</f>
        <v/>
      </c>
      <c r="D29" s="19" t="n">
        <v>643</v>
      </c>
      <c r="E29" s="18" t="n">
        <v>10.22991412</v>
      </c>
      <c r="F29" s="20" t="n">
        <v>1.29879535</v>
      </c>
      <c r="G29" s="18" t="n">
        <v>39.51483636</v>
      </c>
      <c r="H29" s="20" t="n">
        <v>2.01487535</v>
      </c>
      <c r="I29" s="18" t="n">
        <v>49.32536645</v>
      </c>
      <c r="J29" s="20" t="n">
        <v>1.73510948</v>
      </c>
      <c r="K29" s="18" t="n">
        <v>0</v>
      </c>
      <c r="L29" s="20" t="n">
        <v>0</v>
      </c>
      <c r="M29" s="18" t="n">
        <v>0</v>
      </c>
      <c r="N29" s="20" t="n">
        <v>0</v>
      </c>
      <c r="O29" s="18" t="n">
        <v>0</v>
      </c>
      <c r="P29" s="20" t="n">
        <v>0</v>
      </c>
      <c r="Q29" s="18" t="n">
        <v>0</v>
      </c>
      <c r="R29" s="20" t="n">
        <v>0</v>
      </c>
      <c r="S29" s="18" t="n">
        <v>0.92988307</v>
      </c>
      <c r="T29" s="20" t="n">
        <v>0.31918968</v>
      </c>
    </row>
    <row r="30" spans="1:20">
      <c r="A30" s="15" t="s">
        <v>452</v>
      </c>
      <c r="B30" s="17" t="n">
        <v>4520</v>
      </c>
      <c r="C30" s="18">
        <f>(3938.0/B30*100)</f>
        <v/>
      </c>
      <c r="D30" s="19" t="n">
        <v>582</v>
      </c>
      <c r="E30" s="18" t="n">
        <v>29.79372763</v>
      </c>
      <c r="F30" s="20" t="n">
        <v>2.05572006</v>
      </c>
      <c r="G30" s="18" t="n">
        <v>47.19355762</v>
      </c>
      <c r="H30" s="20" t="n">
        <v>2.07456994</v>
      </c>
      <c r="I30" s="18" t="n">
        <v>21.99056271</v>
      </c>
      <c r="J30" s="20" t="n">
        <v>1.72501901</v>
      </c>
      <c r="K30" s="18" t="n">
        <v>0</v>
      </c>
      <c r="L30" s="20" t="n">
        <v>0</v>
      </c>
      <c r="M30" s="18" t="n">
        <v>0.21504848</v>
      </c>
      <c r="N30" s="20" t="n">
        <v>0.21764398</v>
      </c>
      <c r="O30" s="18" t="n">
        <v>0</v>
      </c>
      <c r="P30" s="20" t="n">
        <v>0</v>
      </c>
      <c r="Q30" s="18" t="n">
        <v>0</v>
      </c>
      <c r="R30" s="20" t="n">
        <v>0</v>
      </c>
      <c r="S30" s="18" t="n">
        <v>0.8071035600000001</v>
      </c>
      <c r="T30" s="20" t="n">
        <v>0.3793696</v>
      </c>
    </row>
    <row r="31" spans="1:20">
      <c r="A31" s="15" t="s">
        <v>453</v>
      </c>
      <c r="B31" s="17" t="n">
        <v>5456</v>
      </c>
      <c r="C31" s="18">
        <f>(4792.0/B31*100)</f>
        <v/>
      </c>
      <c r="D31" s="19" t="n">
        <v>664</v>
      </c>
      <c r="E31" s="18" t="n">
        <v>13.30816608</v>
      </c>
      <c r="F31" s="20" t="n">
        <v>1.46979512</v>
      </c>
      <c r="G31" s="18" t="n">
        <v>40.93377432</v>
      </c>
      <c r="H31" s="20" t="n">
        <v>1.82332282</v>
      </c>
      <c r="I31" s="18" t="n">
        <v>44.34425638</v>
      </c>
      <c r="J31" s="20" t="n">
        <v>1.78803799</v>
      </c>
      <c r="K31" s="18" t="n">
        <v>0</v>
      </c>
      <c r="L31" s="20" t="n">
        <v>0</v>
      </c>
      <c r="M31" s="18" t="n">
        <v>0.136101</v>
      </c>
      <c r="N31" s="20" t="n">
        <v>0.13673561</v>
      </c>
      <c r="O31" s="18" t="n">
        <v>0</v>
      </c>
      <c r="P31" s="20" t="n">
        <v>0</v>
      </c>
      <c r="Q31" s="18" t="n">
        <v>0</v>
      </c>
      <c r="R31" s="20" t="n">
        <v>0</v>
      </c>
      <c r="S31" s="18" t="n">
        <v>1.27770221</v>
      </c>
      <c r="T31" s="20" t="n">
        <v>0.36944568</v>
      </c>
    </row>
    <row r="32" spans="1:20">
      <c r="A32" s="15" t="s">
        <v>454</v>
      </c>
      <c r="B32" s="17" t="n">
        <v>4478</v>
      </c>
      <c r="C32" s="18">
        <f>(3760.0/B32*100)</f>
        <v/>
      </c>
      <c r="D32" s="19" t="n">
        <v>718</v>
      </c>
      <c r="E32" s="18" t="n">
        <v>27.54398824</v>
      </c>
      <c r="F32" s="20" t="n">
        <v>1.74432797</v>
      </c>
      <c r="G32" s="18" t="n">
        <v>36.6574996</v>
      </c>
      <c r="H32" s="20" t="n">
        <v>1.9146596</v>
      </c>
      <c r="I32" s="18" t="n">
        <v>20.36675686</v>
      </c>
      <c r="J32" s="20" t="n">
        <v>1.63434715</v>
      </c>
      <c r="K32" s="18" t="n">
        <v>0</v>
      </c>
      <c r="L32" s="20" t="n">
        <v>0</v>
      </c>
      <c r="M32" s="18" t="n">
        <v>0.13450683</v>
      </c>
      <c r="N32" s="20" t="n">
        <v>0.1266586</v>
      </c>
      <c r="O32" s="18" t="n">
        <v>0</v>
      </c>
      <c r="P32" s="20" t="n">
        <v>0</v>
      </c>
      <c r="Q32" s="18" t="n">
        <v>0</v>
      </c>
      <c r="R32" s="20" t="n">
        <v>0</v>
      </c>
      <c r="S32" s="18" t="n">
        <v>15.29724847</v>
      </c>
      <c r="T32" s="20" t="n">
        <v>1.79951619</v>
      </c>
    </row>
    <row r="33" spans="1:20">
      <c r="A33" s="15" t="s">
        <v>455</v>
      </c>
      <c r="B33" s="17" t="n">
        <v>7325</v>
      </c>
      <c r="C33" s="18">
        <f>(6394.0/B33*100)</f>
        <v/>
      </c>
      <c r="D33" s="19" t="n">
        <v>931</v>
      </c>
      <c r="E33" s="18" t="n">
        <v>27.99189716</v>
      </c>
      <c r="F33" s="20" t="n">
        <v>1.6507924</v>
      </c>
      <c r="G33" s="18" t="n">
        <v>49.02260707</v>
      </c>
      <c r="H33" s="20" t="n">
        <v>1.84424344</v>
      </c>
      <c r="I33" s="18" t="n">
        <v>14.10234922</v>
      </c>
      <c r="J33" s="20" t="n">
        <v>1.16586677</v>
      </c>
      <c r="K33" s="18" t="n">
        <v>0</v>
      </c>
      <c r="L33" s="20" t="n">
        <v>0</v>
      </c>
      <c r="M33" s="18" t="n">
        <v>0.04062126</v>
      </c>
      <c r="N33" s="20" t="n">
        <v>0.05048369</v>
      </c>
      <c r="O33" s="18" t="n">
        <v>0</v>
      </c>
      <c r="P33" s="20" t="n">
        <v>0</v>
      </c>
      <c r="Q33" s="18" t="n">
        <v>0</v>
      </c>
      <c r="R33" s="20" t="n">
        <v>0</v>
      </c>
      <c r="S33" s="18" t="n">
        <v>8.8425253</v>
      </c>
      <c r="T33" s="20" t="n">
        <v>1.62445541</v>
      </c>
    </row>
    <row r="34" spans="1:20">
      <c r="A34" s="15" t="s">
        <v>456</v>
      </c>
      <c r="B34" s="17" t="n">
        <v>6350</v>
      </c>
      <c r="C34" s="18">
        <f>(5574.0/B34*100)</f>
        <v/>
      </c>
      <c r="D34" s="19" t="n">
        <v>776</v>
      </c>
      <c r="E34" s="18" t="n">
        <v>37.04175819</v>
      </c>
      <c r="F34" s="20" t="n">
        <v>2.44096073</v>
      </c>
      <c r="G34" s="18" t="n">
        <v>44.21760421</v>
      </c>
      <c r="H34" s="20" t="n">
        <v>2.40014244</v>
      </c>
      <c r="I34" s="18" t="n">
        <v>17.51971335</v>
      </c>
      <c r="J34" s="20" t="n">
        <v>1.30734293</v>
      </c>
      <c r="K34" s="18" t="n">
        <v>0</v>
      </c>
      <c r="L34" s="20" t="n">
        <v>0</v>
      </c>
      <c r="M34" s="18" t="n">
        <v>0.09889824</v>
      </c>
      <c r="N34" s="20" t="n">
        <v>0.09898061</v>
      </c>
      <c r="O34" s="18" t="n">
        <v>0</v>
      </c>
      <c r="P34" s="20" t="n">
        <v>0</v>
      </c>
      <c r="Q34" s="18" t="n">
        <v>0</v>
      </c>
      <c r="R34" s="20" t="n">
        <v>0</v>
      </c>
      <c r="S34" s="18" t="n">
        <v>1.122026</v>
      </c>
      <c r="T34" s="20" t="n">
        <v>0.43042956</v>
      </c>
    </row>
    <row r="35" spans="1:20">
      <c r="A35" s="15" t="s">
        <v>457</v>
      </c>
      <c r="B35" s="17" t="n">
        <v>6406</v>
      </c>
      <c r="C35" s="18">
        <f>(5644.0/B35*100)</f>
        <v/>
      </c>
      <c r="D35" s="19" t="n">
        <v>762</v>
      </c>
      <c r="E35" s="18" t="n">
        <v>15.1010077</v>
      </c>
      <c r="F35" s="20" t="n">
        <v>1.46987936</v>
      </c>
      <c r="G35" s="18" t="n">
        <v>47.33792268</v>
      </c>
      <c r="H35" s="20" t="n">
        <v>2.37922239</v>
      </c>
      <c r="I35" s="18" t="n">
        <v>26.99794378</v>
      </c>
      <c r="J35" s="20" t="n">
        <v>2.02731027</v>
      </c>
      <c r="K35" s="18" t="n">
        <v>0</v>
      </c>
      <c r="L35" s="20" t="n">
        <v>0</v>
      </c>
      <c r="M35" s="18" t="n">
        <v>0</v>
      </c>
      <c r="N35" s="20" t="n">
        <v>0</v>
      </c>
      <c r="O35" s="18" t="n">
        <v>0</v>
      </c>
      <c r="P35" s="20" t="n">
        <v>0</v>
      </c>
      <c r="Q35" s="18" t="n">
        <v>0</v>
      </c>
      <c r="R35" s="20" t="n">
        <v>0</v>
      </c>
      <c r="S35" s="18" t="n">
        <v>10.56312583</v>
      </c>
      <c r="T35" s="20" t="n">
        <v>1.46949185</v>
      </c>
    </row>
    <row r="36" spans="1:20">
      <c r="A36" s="15" t="s">
        <v>458</v>
      </c>
      <c r="B36" s="17" t="n">
        <v>6736</v>
      </c>
      <c r="C36" s="18">
        <f>(5882.0/B36*100)</f>
        <v/>
      </c>
      <c r="D36" s="19" t="n">
        <v>854</v>
      </c>
      <c r="E36" s="18" t="n">
        <v>40.06701536</v>
      </c>
      <c r="F36" s="20" t="n">
        <v>1.72733158</v>
      </c>
      <c r="G36" s="18" t="n">
        <v>41.71852093</v>
      </c>
      <c r="H36" s="20" t="n">
        <v>1.88842384</v>
      </c>
      <c r="I36" s="18" t="n">
        <v>16.97607698</v>
      </c>
      <c r="J36" s="20" t="n">
        <v>1.37519055</v>
      </c>
      <c r="K36" s="18" t="n">
        <v>0</v>
      </c>
      <c r="L36" s="20" t="n">
        <v>0</v>
      </c>
      <c r="M36" s="18" t="n">
        <v>0</v>
      </c>
      <c r="N36" s="20" t="n">
        <v>0</v>
      </c>
      <c r="O36" s="18" t="n">
        <v>0</v>
      </c>
      <c r="P36" s="20" t="n">
        <v>0</v>
      </c>
      <c r="Q36" s="18" t="n">
        <v>0</v>
      </c>
      <c r="R36" s="20" t="n">
        <v>0</v>
      </c>
      <c r="S36" s="18" t="n">
        <v>1.23838672</v>
      </c>
      <c r="T36" s="20" t="n">
        <v>0.40824459</v>
      </c>
    </row>
    <row r="37" spans="1:20">
      <c r="A37" s="15" t="s">
        <v>459</v>
      </c>
      <c r="B37" s="17" t="n">
        <v>5458</v>
      </c>
      <c r="C37" s="18">
        <f>(4753.0/B37*100)</f>
        <v/>
      </c>
      <c r="D37" s="19" t="n">
        <v>705</v>
      </c>
      <c r="E37" s="18" t="n">
        <v>16.4777808</v>
      </c>
      <c r="F37" s="20" t="n">
        <v>1.11182547</v>
      </c>
      <c r="G37" s="18" t="n">
        <v>41.91418723</v>
      </c>
      <c r="H37" s="20" t="n">
        <v>1.99169023</v>
      </c>
      <c r="I37" s="18" t="n">
        <v>39.13129784</v>
      </c>
      <c r="J37" s="20" t="n">
        <v>1.97159609</v>
      </c>
      <c r="K37" s="18" t="n">
        <v>0</v>
      </c>
      <c r="L37" s="20" t="n">
        <v>0</v>
      </c>
      <c r="M37" s="18" t="n">
        <v>0.69500843</v>
      </c>
      <c r="N37" s="20" t="n">
        <v>0.31418583</v>
      </c>
      <c r="O37" s="18" t="n">
        <v>0</v>
      </c>
      <c r="P37" s="20" t="n">
        <v>0</v>
      </c>
      <c r="Q37" s="18" t="n">
        <v>0</v>
      </c>
      <c r="R37" s="20" t="n">
        <v>0</v>
      </c>
      <c r="S37" s="18" t="n">
        <v>1.7817257</v>
      </c>
      <c r="T37" s="20" t="n">
        <v>0.56160243</v>
      </c>
    </row>
    <row r="38" spans="1:20">
      <c r="A38" s="15" t="s">
        <v>460</v>
      </c>
      <c r="B38" s="17" t="n">
        <v>5860</v>
      </c>
      <c r="C38" s="18">
        <f>(4934.0/B38*100)</f>
        <v/>
      </c>
      <c r="D38" s="19" t="n">
        <v>926</v>
      </c>
      <c r="E38" s="18" t="n">
        <v>15.84581277</v>
      </c>
      <c r="F38" s="20" t="n">
        <v>1.35855506</v>
      </c>
      <c r="G38" s="18" t="n">
        <v>48.36972022</v>
      </c>
      <c r="H38" s="20" t="n">
        <v>1.94699333</v>
      </c>
      <c r="I38" s="18" t="n">
        <v>30.74217808</v>
      </c>
      <c r="J38" s="20" t="n">
        <v>1.77222778</v>
      </c>
      <c r="K38" s="18" t="n">
        <v>0</v>
      </c>
      <c r="L38" s="20" t="n">
        <v>0</v>
      </c>
      <c r="M38" s="18" t="n">
        <v>0.19486807</v>
      </c>
      <c r="N38" s="20" t="n">
        <v>0.10608955</v>
      </c>
      <c r="O38" s="18" t="n">
        <v>0</v>
      </c>
      <c r="P38" s="20" t="n">
        <v>0</v>
      </c>
      <c r="Q38" s="18" t="n">
        <v>0</v>
      </c>
      <c r="R38" s="20" t="n">
        <v>0</v>
      </c>
      <c r="S38" s="18" t="n">
        <v>4.84742086</v>
      </c>
      <c r="T38" s="20" t="n">
        <v>1.33356051</v>
      </c>
    </row>
    <row r="39" spans="1:20">
      <c r="A39" s="15" t="s">
        <v>461</v>
      </c>
      <c r="B39" s="17" t="n">
        <v>5895</v>
      </c>
      <c r="C39" s="18">
        <f>(5177.0/B39*100)</f>
        <v/>
      </c>
      <c r="D39" s="19" t="n">
        <v>718</v>
      </c>
      <c r="E39" s="18" t="n">
        <v>27.24912342</v>
      </c>
      <c r="F39" s="20" t="n">
        <v>1.79768588</v>
      </c>
      <c r="G39" s="18" t="n">
        <v>49.8329808</v>
      </c>
      <c r="H39" s="20" t="n">
        <v>2.23298987</v>
      </c>
      <c r="I39" s="18" t="n">
        <v>13.01107094</v>
      </c>
      <c r="J39" s="20" t="n">
        <v>1.85255371</v>
      </c>
      <c r="K39" s="18" t="n">
        <v>0</v>
      </c>
      <c r="L39" s="20" t="n">
        <v>0</v>
      </c>
      <c r="M39" s="18" t="n">
        <v>0.33029756</v>
      </c>
      <c r="N39" s="20" t="n">
        <v>0.27871635</v>
      </c>
      <c r="O39" s="18" t="n">
        <v>0</v>
      </c>
      <c r="P39" s="20" t="n">
        <v>0</v>
      </c>
      <c r="Q39" s="18" t="n">
        <v>0</v>
      </c>
      <c r="R39" s="20" t="n">
        <v>0</v>
      </c>
      <c r="S39" s="18" t="n">
        <v>9.576527280000001</v>
      </c>
      <c r="T39" s="20" t="n">
        <v>1.2777248</v>
      </c>
    </row>
    <row r="40" spans="1:20">
      <c r="A40" s="15" t="s">
        <v>462</v>
      </c>
      <c r="B40" s="17" t="n">
        <v>14157</v>
      </c>
      <c r="C40" s="18">
        <f>(12452.0/B40*100)</f>
        <v/>
      </c>
      <c r="D40" s="19" t="n">
        <v>1705</v>
      </c>
      <c r="E40" s="18" t="n">
        <v>28.1372098</v>
      </c>
      <c r="F40" s="20" t="n">
        <v>1.6988203</v>
      </c>
      <c r="G40" s="18" t="n">
        <v>45.35148895</v>
      </c>
      <c r="H40" s="20" t="n">
        <v>1.72054715</v>
      </c>
      <c r="I40" s="18" t="n">
        <v>25.24426106</v>
      </c>
      <c r="J40" s="20" t="n">
        <v>1.71832577</v>
      </c>
      <c r="K40" s="18" t="n">
        <v>0</v>
      </c>
      <c r="L40" s="20" t="n">
        <v>0</v>
      </c>
      <c r="M40" s="18" t="n">
        <v>0.08463754</v>
      </c>
      <c r="N40" s="20" t="n">
        <v>0.04783607</v>
      </c>
      <c r="O40" s="18" t="n">
        <v>0</v>
      </c>
      <c r="P40" s="20" t="n">
        <v>0</v>
      </c>
      <c r="Q40" s="18" t="n">
        <v>0</v>
      </c>
      <c r="R40" s="20" t="n">
        <v>0</v>
      </c>
      <c r="S40" s="18" t="n">
        <v>1.18240264</v>
      </c>
      <c r="T40" s="20" t="n">
        <v>0.32999335</v>
      </c>
    </row>
    <row r="41" spans="1:20">
      <c r="A41" s="15" t="s">
        <v>463</v>
      </c>
      <c r="B41" s="17" t="n">
        <v>5712</v>
      </c>
      <c r="C41" s="18">
        <f>(5032.0/B41*100)</f>
        <v/>
      </c>
      <c r="D41" s="19" t="n">
        <v>680</v>
      </c>
      <c r="E41" s="18" t="n">
        <v>31.80383461</v>
      </c>
      <c r="F41" s="20" t="n">
        <v>1.95283287</v>
      </c>
      <c r="G41" s="18" t="n">
        <v>48.99761375</v>
      </c>
      <c r="H41" s="20" t="n">
        <v>2.00148332</v>
      </c>
      <c r="I41" s="18" t="n">
        <v>18.78407569</v>
      </c>
      <c r="J41" s="20" t="n">
        <v>1.66050649</v>
      </c>
      <c r="K41" s="18" t="n">
        <v>0</v>
      </c>
      <c r="L41" s="20" t="n">
        <v>0</v>
      </c>
      <c r="M41" s="18" t="n">
        <v>0.12201589</v>
      </c>
      <c r="N41" s="20" t="n">
        <v>0.12990496</v>
      </c>
      <c r="O41" s="18" t="n">
        <v>0</v>
      </c>
      <c r="P41" s="20" t="n">
        <v>0</v>
      </c>
      <c r="Q41" s="18" t="n">
        <v>0</v>
      </c>
      <c r="R41" s="20" t="n">
        <v>0</v>
      </c>
      <c r="S41" s="18" t="n">
        <v>0.29246006</v>
      </c>
      <c r="T41" s="20" t="n">
        <v>0.17554262</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(20422.0/B46*100)</f>
        <v/>
      </c>
      <c r="D46" s="19" t="n">
        <v>2719</v>
      </c>
      <c r="E46" s="18" t="n">
        <v>60.40636016</v>
      </c>
      <c r="F46" s="20" t="n">
        <v>1.25458524</v>
      </c>
      <c r="G46" s="18" t="n">
        <v>27.9617902</v>
      </c>
      <c r="H46" s="20" t="n">
        <v>1.04419942</v>
      </c>
      <c r="I46" s="18" t="n">
        <v>7.32082093</v>
      </c>
      <c r="J46" s="20" t="n">
        <v>0.73052975</v>
      </c>
      <c r="K46" s="18" t="n">
        <v>0</v>
      </c>
      <c r="L46" s="20" t="n">
        <v>0</v>
      </c>
      <c r="M46" s="18" t="n">
        <v>0.48736224</v>
      </c>
      <c r="N46" s="20" t="n">
        <v>0.14074513</v>
      </c>
      <c r="O46" s="18" t="n">
        <v>0</v>
      </c>
      <c r="P46" s="20" t="n">
        <v>0</v>
      </c>
      <c r="Q46" s="18" t="n">
        <v>0</v>
      </c>
      <c r="R46" s="20" t="n">
        <v>0</v>
      </c>
      <c r="S46" s="18" t="n">
        <v>3.82366647</v>
      </c>
      <c r="T46" s="20" t="n">
        <v>0.45287223</v>
      </c>
    </row>
    <row r="47" spans="1:20">
      <c r="A47" s="15" t="s">
        <v>470</v>
      </c>
      <c r="B47" s="17" t="n">
        <v>5928</v>
      </c>
      <c r="C47" s="18">
        <f>(5202.0/B47*100)</f>
        <v/>
      </c>
      <c r="D47" s="19" t="n">
        <v>726</v>
      </c>
      <c r="E47" s="18" t="n">
        <v>38.24070419</v>
      </c>
      <c r="F47" s="20" t="n">
        <v>2.01107952</v>
      </c>
      <c r="G47" s="18" t="n">
        <v>38.32727046</v>
      </c>
      <c r="H47" s="20" t="n">
        <v>2.14494735</v>
      </c>
      <c r="I47" s="18" t="n">
        <v>10.78299311</v>
      </c>
      <c r="J47" s="20" t="n">
        <v>1.32855987</v>
      </c>
      <c r="K47" s="18" t="n">
        <v>0</v>
      </c>
      <c r="L47" s="20" t="n">
        <v>0</v>
      </c>
      <c r="M47" s="18" t="n">
        <v>0.5667677</v>
      </c>
      <c r="N47" s="20" t="n">
        <v>0.34947935</v>
      </c>
      <c r="O47" s="18" t="n">
        <v>0</v>
      </c>
      <c r="P47" s="20" t="n">
        <v>0</v>
      </c>
      <c r="Q47" s="18" t="n">
        <v>0</v>
      </c>
      <c r="R47" s="20" t="n">
        <v>0</v>
      </c>
      <c r="S47" s="18" t="n">
        <v>12.08226454</v>
      </c>
      <c r="T47" s="20" t="n">
        <v>1.55696268</v>
      </c>
    </row>
    <row r="48" spans="1:20">
      <c r="A48" s="15" t="s">
        <v>471</v>
      </c>
      <c r="B48" s="17" t="n">
        <v>9841</v>
      </c>
      <c r="C48" s="18">
        <f>(8617.0/B48*100)</f>
        <v/>
      </c>
      <c r="D48" s="19" t="n">
        <v>1224</v>
      </c>
      <c r="E48" s="18" t="n">
        <v>20.92109801</v>
      </c>
      <c r="F48" s="20" t="n">
        <v>1.57961929</v>
      </c>
      <c r="G48" s="18" t="n">
        <v>54.57520291</v>
      </c>
      <c r="H48" s="20" t="n">
        <v>1.68789418</v>
      </c>
      <c r="I48" s="18" t="n">
        <v>22.89647332</v>
      </c>
      <c r="J48" s="20" t="n">
        <v>1.56878597</v>
      </c>
      <c r="K48" s="18" t="n">
        <v>0</v>
      </c>
      <c r="L48" s="20" t="n">
        <v>0</v>
      </c>
      <c r="M48" s="18" t="n">
        <v>0.11840724</v>
      </c>
      <c r="N48" s="20" t="n">
        <v>0.1134313</v>
      </c>
      <c r="O48" s="18" t="n">
        <v>0</v>
      </c>
      <c r="P48" s="20" t="n">
        <v>0</v>
      </c>
      <c r="Q48" s="18" t="n">
        <v>0</v>
      </c>
      <c r="R48" s="20" t="n">
        <v>0</v>
      </c>
      <c r="S48" s="18" t="n">
        <v>1.48881852</v>
      </c>
      <c r="T48" s="20" t="n">
        <v>0.44045326</v>
      </c>
    </row>
    <row r="49" spans="1:20">
      <c r="A49" s="15" t="s">
        <v>472</v>
      </c>
      <c r="B49" s="17" t="n">
        <v>11795</v>
      </c>
      <c r="C49" s="18">
        <f>(10327.0/B49*100)</f>
        <v/>
      </c>
      <c r="D49" s="19" t="n">
        <v>1468</v>
      </c>
      <c r="E49" s="18" t="n">
        <v>69.19895436</v>
      </c>
      <c r="F49" s="20" t="n">
        <v>1.42752321</v>
      </c>
      <c r="G49" s="18" t="n">
        <v>27.26793118</v>
      </c>
      <c r="H49" s="20" t="n">
        <v>1.29529412</v>
      </c>
      <c r="I49" s="18" t="n">
        <v>2.50298122</v>
      </c>
      <c r="J49" s="20" t="n">
        <v>0.53646703</v>
      </c>
      <c r="K49" s="18" t="n">
        <v>0</v>
      </c>
      <c r="L49" s="20" t="n">
        <v>0</v>
      </c>
      <c r="M49" s="18" t="n">
        <v>0.13392192</v>
      </c>
      <c r="N49" s="20" t="n">
        <v>0.12607622</v>
      </c>
      <c r="O49" s="18" t="n">
        <v>0</v>
      </c>
      <c r="P49" s="20" t="n">
        <v>0</v>
      </c>
      <c r="Q49" s="18" t="n">
        <v>0</v>
      </c>
      <c r="R49" s="20" t="n">
        <v>0</v>
      </c>
      <c r="S49" s="18" t="n">
        <v>0.89621132</v>
      </c>
      <c r="T49" s="20" t="n">
        <v>0.32752809</v>
      </c>
    </row>
    <row r="50" spans="1:20">
      <c r="A50" s="15" t="s">
        <v>473</v>
      </c>
      <c r="B50" s="17" t="n">
        <v>6866</v>
      </c>
      <c r="C50" s="18">
        <f>(6110.0/B50*100)</f>
        <v/>
      </c>
      <c r="D50" s="19" t="n">
        <v>756</v>
      </c>
      <c r="E50" s="18" t="n">
        <v>52.89713616</v>
      </c>
      <c r="F50" s="20" t="n">
        <v>1.74923659</v>
      </c>
      <c r="G50" s="18" t="n">
        <v>40.12726377</v>
      </c>
      <c r="H50" s="20" t="n">
        <v>1.72360143</v>
      </c>
      <c r="I50" s="18" t="n">
        <v>5.69395888</v>
      </c>
      <c r="J50" s="20" t="n">
        <v>0.99732958</v>
      </c>
      <c r="K50" s="18" t="n">
        <v>0</v>
      </c>
      <c r="L50" s="20" t="n">
        <v>0</v>
      </c>
      <c r="M50" s="18" t="n">
        <v>0</v>
      </c>
      <c r="N50" s="20" t="n">
        <v>0</v>
      </c>
      <c r="O50" s="18" t="n">
        <v>0</v>
      </c>
      <c r="P50" s="20" t="n">
        <v>0</v>
      </c>
      <c r="Q50" s="18" t="n">
        <v>0</v>
      </c>
      <c r="R50" s="20" t="n">
        <v>0</v>
      </c>
      <c r="S50" s="18" t="n">
        <v>1.28164118</v>
      </c>
      <c r="T50" s="20" t="n">
        <v>0.38240593</v>
      </c>
    </row>
    <row r="51" spans="1:20">
      <c r="A51" s="15" t="s">
        <v>474</v>
      </c>
      <c r="B51" s="17" t="n">
        <v>5809</v>
      </c>
      <c r="C51" s="18">
        <f>(5086.0/B51*100)</f>
        <v/>
      </c>
      <c r="D51" s="19" t="n">
        <v>723</v>
      </c>
      <c r="E51" s="18" t="n">
        <v>18.84928156</v>
      </c>
      <c r="F51" s="20" t="n">
        <v>1.29443995</v>
      </c>
      <c r="G51" s="18" t="n">
        <v>52.24432949</v>
      </c>
      <c r="H51" s="20" t="n">
        <v>2.03494647</v>
      </c>
      <c r="I51" s="18" t="n">
        <v>28.00140586</v>
      </c>
      <c r="J51" s="20" t="n">
        <v>1.77214499</v>
      </c>
      <c r="K51" s="18" t="n">
        <v>0</v>
      </c>
      <c r="L51" s="20" t="n">
        <v>0</v>
      </c>
      <c r="M51" s="18" t="n">
        <v>0.17437583</v>
      </c>
      <c r="N51" s="20" t="n">
        <v>0.1760029</v>
      </c>
      <c r="O51" s="18" t="n">
        <v>0</v>
      </c>
      <c r="P51" s="20" t="n">
        <v>0</v>
      </c>
      <c r="Q51" s="18" t="n">
        <v>0</v>
      </c>
      <c r="R51" s="20" t="n">
        <v>0</v>
      </c>
      <c r="S51" s="18" t="n">
        <v>0.73060726</v>
      </c>
      <c r="T51" s="20" t="n">
        <v>0.20305556</v>
      </c>
    </row>
    <row r="52" spans="1:20">
      <c r="A52" s="15" t="s">
        <v>475</v>
      </c>
      <c r="B52" s="17" t="n">
        <v>5571</v>
      </c>
      <c r="C52" s="18">
        <f>(4891.0/B52*100)</f>
        <v/>
      </c>
      <c r="D52" s="19" t="n">
        <v>680</v>
      </c>
      <c r="E52" s="18" t="n">
        <v>36.22807559</v>
      </c>
      <c r="F52" s="20" t="n">
        <v>1.73277837</v>
      </c>
      <c r="G52" s="18" t="n">
        <v>38.58286929</v>
      </c>
      <c r="H52" s="20" t="n">
        <v>1.88162881</v>
      </c>
      <c r="I52" s="18" t="n">
        <v>13.21980676</v>
      </c>
      <c r="J52" s="20" t="n">
        <v>1.35467393</v>
      </c>
      <c r="K52" s="18" t="n">
        <v>0</v>
      </c>
      <c r="L52" s="20" t="n">
        <v>0</v>
      </c>
      <c r="M52" s="18" t="n">
        <v>0.19370717</v>
      </c>
      <c r="N52" s="20" t="n">
        <v>0.19261817</v>
      </c>
      <c r="O52" s="18" t="n">
        <v>0</v>
      </c>
      <c r="P52" s="20" t="n">
        <v>0</v>
      </c>
      <c r="Q52" s="18" t="n">
        <v>0</v>
      </c>
      <c r="R52" s="20" t="n">
        <v>0</v>
      </c>
      <c r="S52" s="18" t="n">
        <v>11.77554119</v>
      </c>
      <c r="T52" s="20" t="n">
        <v>1.41125467</v>
      </c>
    </row>
    <row r="53" spans="1:20">
      <c r="A53" s="15" t="s">
        <v>476</v>
      </c>
      <c r="B53" s="17" t="n">
        <v>4740</v>
      </c>
      <c r="C53" s="18">
        <f>(3968.0/B53*100)</f>
        <v/>
      </c>
      <c r="D53" s="19" t="n">
        <v>772</v>
      </c>
      <c r="E53" s="18" t="n">
        <v>56.85482807</v>
      </c>
      <c r="F53" s="20" t="n">
        <v>2.21353912</v>
      </c>
      <c r="G53" s="18" t="n">
        <v>16.88552242</v>
      </c>
      <c r="H53" s="20" t="n">
        <v>1.55162326</v>
      </c>
      <c r="I53" s="18" t="n">
        <v>0.3753709</v>
      </c>
      <c r="J53" s="20" t="n">
        <v>0.26863006</v>
      </c>
      <c r="K53" s="18" t="n">
        <v>0</v>
      </c>
      <c r="L53" s="20" t="n">
        <v>0</v>
      </c>
      <c r="M53" s="18" t="n">
        <v>2.85391418</v>
      </c>
      <c r="N53" s="20" t="n">
        <v>0.85137215</v>
      </c>
      <c r="O53" s="18" t="n">
        <v>0</v>
      </c>
      <c r="P53" s="20" t="n">
        <v>0</v>
      </c>
      <c r="Q53" s="18" t="n">
        <v>0</v>
      </c>
      <c r="R53" s="20" t="n">
        <v>0</v>
      </c>
      <c r="S53" s="18" t="n">
        <v>23.03036443</v>
      </c>
      <c r="T53" s="20" t="n">
        <v>2.31115866</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(4697.0/B55*100)</f>
        <v/>
      </c>
      <c r="D55" s="19" t="n">
        <v>662</v>
      </c>
      <c r="E55" s="18" t="n">
        <v>12.19088937</v>
      </c>
      <c r="F55" s="20" t="n">
        <v>1.47089485</v>
      </c>
      <c r="G55" s="18" t="n">
        <v>45.20165597</v>
      </c>
      <c r="H55" s="20" t="n">
        <v>2.15051118</v>
      </c>
      <c r="I55" s="18" t="n">
        <v>38.63904056</v>
      </c>
      <c r="J55" s="20" t="n">
        <v>2.13569795</v>
      </c>
      <c r="K55" s="18" t="n">
        <v>0</v>
      </c>
      <c r="L55" s="20" t="n">
        <v>0</v>
      </c>
      <c r="M55" s="18" t="n">
        <v>0</v>
      </c>
      <c r="N55" s="20" t="n">
        <v>0</v>
      </c>
      <c r="O55" s="18" t="n">
        <v>0</v>
      </c>
      <c r="P55" s="20" t="n">
        <v>0</v>
      </c>
      <c r="Q55" s="18" t="n">
        <v>0</v>
      </c>
      <c r="R55" s="20" t="n">
        <v>0</v>
      </c>
      <c r="S55" s="18" t="n">
        <v>3.9684141</v>
      </c>
      <c r="T55" s="20" t="n">
        <v>1.13319511</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(5703.0/B61*100)</f>
        <v/>
      </c>
      <c r="D61" s="19" t="n">
        <v>822</v>
      </c>
      <c r="E61" s="18" t="n">
        <v>29.04660703</v>
      </c>
      <c r="F61" s="20" t="n">
        <v>1.7991702</v>
      </c>
      <c r="G61" s="18" t="n">
        <v>50.69375703</v>
      </c>
      <c r="H61" s="20" t="n">
        <v>1.795025</v>
      </c>
      <c r="I61" s="18" t="n">
        <v>17.2505768</v>
      </c>
      <c r="J61" s="20" t="n">
        <v>1.49910274</v>
      </c>
      <c r="K61" s="18" t="n">
        <v>0</v>
      </c>
      <c r="L61" s="20" t="n">
        <v>0</v>
      </c>
      <c r="M61" s="18" t="n">
        <v>0.2050032</v>
      </c>
      <c r="N61" s="20" t="n">
        <v>0.14898921</v>
      </c>
      <c r="O61" s="18" t="n">
        <v>0</v>
      </c>
      <c r="P61" s="20" t="n">
        <v>0</v>
      </c>
      <c r="Q61" s="18" t="n">
        <v>0</v>
      </c>
      <c r="R61" s="20" t="n">
        <v>0</v>
      </c>
      <c r="S61" s="18" t="n">
        <v>2.80405593</v>
      </c>
      <c r="T61" s="20" t="n">
        <v>0.56447941</v>
      </c>
    </row>
    <row r="62" spans="1:20">
      <c r="A62" s="15" t="s">
        <v>486</v>
      </c>
      <c r="B62" s="17" t="n">
        <v>4476</v>
      </c>
      <c r="C62" s="18">
        <f>(3937.0/B62*100)</f>
        <v/>
      </c>
      <c r="D62" s="19" t="n">
        <v>539</v>
      </c>
      <c r="E62" s="18" t="n">
        <v>15.22137436</v>
      </c>
      <c r="F62" s="20" t="n">
        <v>1.6804605</v>
      </c>
      <c r="G62" s="18" t="n">
        <v>47.1239987</v>
      </c>
      <c r="H62" s="20" t="n">
        <v>2.10354112</v>
      </c>
      <c r="I62" s="18" t="n">
        <v>37.10179801</v>
      </c>
      <c r="J62" s="20" t="n">
        <v>1.82621169</v>
      </c>
      <c r="K62" s="18" t="n">
        <v>0</v>
      </c>
      <c r="L62" s="20" t="n">
        <v>0</v>
      </c>
      <c r="M62" s="18" t="n">
        <v>0</v>
      </c>
      <c r="N62" s="20" t="n">
        <v>0</v>
      </c>
      <c r="O62" s="18" t="n">
        <v>0</v>
      </c>
      <c r="P62" s="20" t="n">
        <v>0</v>
      </c>
      <c r="Q62" s="18" t="n">
        <v>0</v>
      </c>
      <c r="R62" s="20" t="n">
        <v>0</v>
      </c>
      <c r="S62" s="18" t="n">
        <v>0.55282893</v>
      </c>
      <c r="T62" s="20" t="n">
        <v>0.32140672</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(4983.0/B67*100)</f>
        <v/>
      </c>
      <c r="D67" s="19" t="n">
        <v>682</v>
      </c>
      <c r="E67" s="18" t="n">
        <v>40.76555835</v>
      </c>
      <c r="F67" s="20" t="n">
        <v>1.99528371</v>
      </c>
      <c r="G67" s="18" t="n">
        <v>39.7854364</v>
      </c>
      <c r="H67" s="20" t="n">
        <v>1.83294498</v>
      </c>
      <c r="I67" s="18" t="n">
        <v>14.94901913</v>
      </c>
      <c r="J67" s="20" t="n">
        <v>1.57527173</v>
      </c>
      <c r="K67" s="18" t="n">
        <v>0</v>
      </c>
      <c r="L67" s="20" t="n">
        <v>0</v>
      </c>
      <c r="M67" s="18" t="n">
        <v>0.13808881</v>
      </c>
      <c r="N67" s="20" t="n">
        <v>0.13840669</v>
      </c>
      <c r="O67" s="18" t="n">
        <v>0</v>
      </c>
      <c r="P67" s="20" t="n">
        <v>0</v>
      </c>
      <c r="Q67" s="18" t="n">
        <v>0</v>
      </c>
      <c r="R67" s="20" t="n">
        <v>0</v>
      </c>
      <c r="S67" s="18" t="n">
        <v>4.36189731</v>
      </c>
      <c r="T67" s="20" t="n">
        <v>0.77510739</v>
      </c>
    </row>
    <row r="68" spans="1:20">
      <c r="A68" s="15" t="s">
        <v>492</v>
      </c>
      <c r="B68" s="17" t="n">
        <v>6971</v>
      </c>
      <c r="C68" s="18">
        <f>(6144.0/B68*100)</f>
        <v/>
      </c>
      <c r="D68" s="19" t="n">
        <v>827</v>
      </c>
      <c r="E68" s="18" t="n">
        <v>53.71049145</v>
      </c>
      <c r="F68" s="20" t="n">
        <v>1.86718359</v>
      </c>
      <c r="G68" s="18" t="n">
        <v>35.26548385</v>
      </c>
      <c r="H68" s="20" t="n">
        <v>1.75251841</v>
      </c>
      <c r="I68" s="18" t="n">
        <v>7.83966288</v>
      </c>
      <c r="J68" s="20" t="n">
        <v>1.14219764</v>
      </c>
      <c r="K68" s="18" t="n">
        <v>0</v>
      </c>
      <c r="L68" s="20" t="n">
        <v>0</v>
      </c>
      <c r="M68" s="18" t="n">
        <v>0</v>
      </c>
      <c r="N68" s="20" t="n">
        <v>0</v>
      </c>
      <c r="O68" s="18" t="n">
        <v>0</v>
      </c>
      <c r="P68" s="20" t="n">
        <v>0</v>
      </c>
      <c r="Q68" s="18" t="n">
        <v>0</v>
      </c>
      <c r="R68" s="20" t="n">
        <v>0</v>
      </c>
      <c r="S68" s="18" t="n">
        <v>3.18436182</v>
      </c>
      <c r="T68" s="20" t="n">
        <v>0.56716355</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(10070.0/B70*100)</f>
        <v/>
      </c>
      <c r="D70" s="19" t="n">
        <v>2013</v>
      </c>
      <c r="E70" s="18" t="n">
        <v>40.43180816</v>
      </c>
      <c r="F70" s="20" t="n">
        <v>1.06734136</v>
      </c>
      <c r="G70" s="18" t="n">
        <v>44.51722595</v>
      </c>
      <c r="H70" s="20" t="n">
        <v>1.00247778</v>
      </c>
      <c r="I70" s="18" t="n">
        <v>11.13768615</v>
      </c>
      <c r="J70" s="20" t="n">
        <v>0.64492282</v>
      </c>
      <c r="K70" s="18" t="n">
        <v>0</v>
      </c>
      <c r="L70" s="20" t="n">
        <v>0</v>
      </c>
      <c r="M70" s="18" t="n">
        <v>1.04855061</v>
      </c>
      <c r="N70" s="20" t="n">
        <v>0.24162908</v>
      </c>
      <c r="O70" s="18" t="n">
        <v>0</v>
      </c>
      <c r="P70" s="20" t="n">
        <v>0</v>
      </c>
      <c r="Q70" s="18" t="n">
        <v>0</v>
      </c>
      <c r="R70" s="20" t="n">
        <v>0</v>
      </c>
      <c r="S70" s="18" t="n">
        <v>2.86472913</v>
      </c>
      <c r="T70" s="20" t="n">
        <v>0.36285664</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(5302.0/B72*100)</f>
        <v/>
      </c>
      <c r="D72" s="19" t="n">
        <v>734</v>
      </c>
      <c r="E72" s="18" t="n">
        <v>23.33320989</v>
      </c>
      <c r="F72" s="20" t="n">
        <v>1.53908345</v>
      </c>
      <c r="G72" s="18" t="n">
        <v>51.53760069</v>
      </c>
      <c r="H72" s="20" t="n">
        <v>2.36157718</v>
      </c>
      <c r="I72" s="18" t="n">
        <v>23.94194551</v>
      </c>
      <c r="J72" s="20" t="n">
        <v>1.791252</v>
      </c>
      <c r="K72" s="18" t="n">
        <v>0</v>
      </c>
      <c r="L72" s="20" t="n">
        <v>0</v>
      </c>
      <c r="M72" s="18" t="n">
        <v>0</v>
      </c>
      <c r="N72" s="20" t="n">
        <v>0</v>
      </c>
      <c r="O72" s="18" t="n">
        <v>0</v>
      </c>
      <c r="P72" s="20" t="n">
        <v>0</v>
      </c>
      <c r="Q72" s="18" t="n">
        <v>0</v>
      </c>
      <c r="R72" s="20" t="n">
        <v>0</v>
      </c>
      <c r="S72" s="18" t="n">
        <v>1.18724391</v>
      </c>
      <c r="T72" s="20" t="n">
        <v>0.41134256</v>
      </c>
    </row>
    <row r="73" spans="1:20">
      <c r="A73" s="15" t="s">
        <v>497</v>
      </c>
      <c r="B73" s="17" t="n">
        <v>6115</v>
      </c>
      <c r="C73" s="18">
        <f>(5371.0/B73*100)</f>
        <v/>
      </c>
      <c r="D73" s="19" t="n">
        <v>744</v>
      </c>
      <c r="E73" s="18" t="n">
        <v>16.23508074</v>
      </c>
      <c r="F73" s="20" t="n">
        <v>1.3561014</v>
      </c>
      <c r="G73" s="18" t="n">
        <v>47.76658211</v>
      </c>
      <c r="H73" s="20" t="n">
        <v>2.16139794</v>
      </c>
      <c r="I73" s="18" t="n">
        <v>34.37891203</v>
      </c>
      <c r="J73" s="20" t="n">
        <v>2.01483848</v>
      </c>
      <c r="K73" s="18" t="n">
        <v>0</v>
      </c>
      <c r="L73" s="20" t="n">
        <v>0</v>
      </c>
      <c r="M73" s="18" t="n">
        <v>0.45219727</v>
      </c>
      <c r="N73" s="20" t="n">
        <v>0.14558784</v>
      </c>
      <c r="O73" s="18" t="n">
        <v>0</v>
      </c>
      <c r="P73" s="20" t="n">
        <v>0</v>
      </c>
      <c r="Q73" s="18" t="n">
        <v>0</v>
      </c>
      <c r="R73" s="20" t="n">
        <v>0</v>
      </c>
      <c r="S73" s="18" t="n">
        <v>1.16722785</v>
      </c>
      <c r="T73" s="20" t="n">
        <v>0.39915599</v>
      </c>
    </row>
    <row r="74" spans="1:20">
      <c r="A74" s="15" t="s">
        <v>498</v>
      </c>
      <c r="B74" s="17" t="n">
        <v>7708</v>
      </c>
      <c r="C74" s="18">
        <f>(6746.0/B74*100)</f>
        <v/>
      </c>
      <c r="D74" s="19" t="n">
        <v>962</v>
      </c>
      <c r="E74" s="18" t="n">
        <v>23.82714869</v>
      </c>
      <c r="F74" s="20" t="n">
        <v>1.55481627</v>
      </c>
      <c r="G74" s="18" t="n">
        <v>60.4551813</v>
      </c>
      <c r="H74" s="20" t="n">
        <v>1.90262651</v>
      </c>
      <c r="I74" s="18" t="n">
        <v>13.70603282</v>
      </c>
      <c r="J74" s="20" t="n">
        <v>1.22398379</v>
      </c>
      <c r="K74" s="18" t="n">
        <v>0</v>
      </c>
      <c r="L74" s="20" t="n">
        <v>0</v>
      </c>
      <c r="M74" s="18" t="n">
        <v>0.05257278</v>
      </c>
      <c r="N74" s="20" t="n">
        <v>0.05288026</v>
      </c>
      <c r="O74" s="18" t="n">
        <v>0</v>
      </c>
      <c r="P74" s="20" t="n">
        <v>0</v>
      </c>
      <c r="Q74" s="18" t="n">
        <v>0</v>
      </c>
      <c r="R74" s="20" t="n">
        <v>0</v>
      </c>
      <c r="S74" s="18" t="n">
        <v>1.95906441</v>
      </c>
      <c r="T74" s="20" t="n">
        <v>0.55566825</v>
      </c>
    </row>
    <row r="75" spans="1:20">
      <c r="A75" s="15" t="s">
        <v>499</v>
      </c>
      <c r="B75" s="17" t="n">
        <v>8249</v>
      </c>
      <c r="C75" s="18">
        <f>(7204.0/B75*100)</f>
        <v/>
      </c>
      <c r="D75" s="19" t="n">
        <v>1045</v>
      </c>
      <c r="E75" s="18" t="n">
        <v>28.82174622</v>
      </c>
      <c r="F75" s="20" t="n">
        <v>1.82578019</v>
      </c>
      <c r="G75" s="18" t="n">
        <v>58.67467921</v>
      </c>
      <c r="H75" s="20" t="n">
        <v>2.07976316</v>
      </c>
      <c r="I75" s="18" t="n">
        <v>11.85553336</v>
      </c>
      <c r="J75" s="20" t="n">
        <v>1.30049085</v>
      </c>
      <c r="K75" s="18" t="n">
        <v>0</v>
      </c>
      <c r="L75" s="20" t="n">
        <v>0</v>
      </c>
      <c r="M75" s="18" t="n">
        <v>0</v>
      </c>
      <c r="N75" s="20" t="n">
        <v>0</v>
      </c>
      <c r="O75" s="18" t="n">
        <v>0</v>
      </c>
      <c r="P75" s="20" t="n">
        <v>0</v>
      </c>
      <c r="Q75" s="18" t="n">
        <v>0</v>
      </c>
      <c r="R75" s="20" t="n">
        <v>0</v>
      </c>
      <c r="S75" s="18" t="n">
        <v>0.64804121</v>
      </c>
      <c r="T75" s="20" t="n">
        <v>0.30952442</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(4765.0/B77*100)</f>
        <v/>
      </c>
      <c r="D77" s="19" t="n">
        <v>610</v>
      </c>
      <c r="E77" s="18" t="n">
        <v>37.4100883</v>
      </c>
      <c r="F77" s="20" t="n">
        <v>2.08405794</v>
      </c>
      <c r="G77" s="18" t="n">
        <v>49.9716772</v>
      </c>
      <c r="H77" s="20" t="n">
        <v>2.11466128</v>
      </c>
      <c r="I77" s="18" t="n">
        <v>10.00855117</v>
      </c>
      <c r="J77" s="20" t="n">
        <v>1.32872023</v>
      </c>
      <c r="K77" s="18" t="n">
        <v>0</v>
      </c>
      <c r="L77" s="20" t="n">
        <v>0</v>
      </c>
      <c r="M77" s="18" t="n">
        <v>0.46578989</v>
      </c>
      <c r="N77" s="20" t="n">
        <v>0.23292079</v>
      </c>
      <c r="O77" s="18" t="n">
        <v>0</v>
      </c>
      <c r="P77" s="20" t="n">
        <v>0</v>
      </c>
      <c r="Q77" s="18" t="n">
        <v>0</v>
      </c>
      <c r="R77" s="20" t="n">
        <v>0</v>
      </c>
      <c r="S77" s="18" t="n">
        <v>2.14389343</v>
      </c>
      <c r="T77" s="20" t="n">
        <v>0.51595079</v>
      </c>
    </row>
    <row r="78" spans="1:20">
      <c r="A78" s="15" t="s">
        <v>502</v>
      </c>
      <c r="B78" s="17" t="n">
        <v>14167</v>
      </c>
      <c r="C78" s="18">
        <f>(12474.0/B78*100)</f>
        <v/>
      </c>
      <c r="D78" s="19" t="n">
        <v>1693</v>
      </c>
      <c r="E78" s="18" t="n">
        <v>40.79791818</v>
      </c>
      <c r="F78" s="20" t="n">
        <v>1.4056837</v>
      </c>
      <c r="G78" s="18" t="n">
        <v>39.54892672</v>
      </c>
      <c r="H78" s="20" t="n">
        <v>1.45932537</v>
      </c>
      <c r="I78" s="18" t="n">
        <v>11.8960522</v>
      </c>
      <c r="J78" s="20" t="n">
        <v>1.09195954</v>
      </c>
      <c r="K78" s="18" t="n">
        <v>0</v>
      </c>
      <c r="L78" s="20" t="n">
        <v>0</v>
      </c>
      <c r="M78" s="18" t="n">
        <v>0.57802487</v>
      </c>
      <c r="N78" s="20" t="n">
        <v>0.21148379</v>
      </c>
      <c r="O78" s="18" t="n">
        <v>0</v>
      </c>
      <c r="P78" s="20" t="n">
        <v>0</v>
      </c>
      <c r="Q78" s="18" t="n">
        <v>0</v>
      </c>
      <c r="R78" s="20" t="n">
        <v>0</v>
      </c>
      <c r="S78" s="18" t="n">
        <v>7.17907803</v>
      </c>
      <c r="T78" s="20" t="n">
        <v>1.04486886</v>
      </c>
    </row>
    <row r="79" spans="1:20">
      <c r="A79" s="15" t="s">
        <v>503</v>
      </c>
      <c r="B79" s="17" t="n">
        <v>6062</v>
      </c>
      <c r="C79" s="18">
        <f>(5316.0/B79*100)</f>
        <v/>
      </c>
      <c r="D79" s="19" t="n">
        <v>746</v>
      </c>
      <c r="E79" s="18" t="n">
        <v>41.66019932</v>
      </c>
      <c r="F79" s="20" t="n">
        <v>1.86371036</v>
      </c>
      <c r="G79" s="18" t="n">
        <v>42.15027434</v>
      </c>
      <c r="H79" s="20" t="n">
        <v>2.00834178</v>
      </c>
      <c r="I79" s="18" t="n">
        <v>14.0364879</v>
      </c>
      <c r="J79" s="20" t="n">
        <v>1.34110666</v>
      </c>
      <c r="K79" s="18" t="n">
        <v>0</v>
      </c>
      <c r="L79" s="20" t="n">
        <v>0</v>
      </c>
      <c r="M79" s="18" t="n">
        <v>0.29930691</v>
      </c>
      <c r="N79" s="20" t="n">
        <v>0.262596</v>
      </c>
      <c r="O79" s="18" t="n">
        <v>0</v>
      </c>
      <c r="P79" s="20" t="n">
        <v>0</v>
      </c>
      <c r="Q79" s="18" t="n">
        <v>0</v>
      </c>
      <c r="R79" s="20" t="n">
        <v>0</v>
      </c>
      <c r="S79" s="18" t="n">
        <v>1.85373152</v>
      </c>
      <c r="T79" s="20" t="n">
        <v>0.53043618</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(28294.0/B82*100)</f>
        <v/>
      </c>
      <c r="D82" s="19" t="n">
        <v>4036</v>
      </c>
      <c r="E82" s="18" t="n">
        <v>39.70928748</v>
      </c>
      <c r="F82" s="20" t="n">
        <v>1.21473672</v>
      </c>
      <c r="G82" s="18" t="n">
        <v>41.82991831</v>
      </c>
      <c r="H82" s="20" t="n">
        <v>1.03177749</v>
      </c>
      <c r="I82" s="18" t="n">
        <v>17.42959705</v>
      </c>
      <c r="J82" s="20" t="n">
        <v>0.91276882</v>
      </c>
      <c r="K82" s="18" t="n">
        <v>0</v>
      </c>
      <c r="L82" s="20" t="n">
        <v>0</v>
      </c>
      <c r="M82" s="18" t="n">
        <v>0.10766479</v>
      </c>
      <c r="N82" s="20" t="n">
        <v>0.04058629</v>
      </c>
      <c r="O82" s="18" t="n">
        <v>0</v>
      </c>
      <c r="P82" s="20" t="n">
        <v>0</v>
      </c>
      <c r="Q82" s="18" t="n">
        <v>0</v>
      </c>
      <c r="R82" s="20" t="n">
        <v>0</v>
      </c>
      <c r="S82" s="18" t="n">
        <v>0.92353238</v>
      </c>
      <c r="T82" s="20" t="n">
        <v>0.20804791</v>
      </c>
    </row>
    <row r="83" spans="1:20">
      <c r="A83" s="15" t="s">
        <v>507</v>
      </c>
      <c r="B83" s="17" t="n">
        <v>1652</v>
      </c>
      <c r="C83" s="18">
        <f>(1459.0/B83*100)</f>
        <v/>
      </c>
      <c r="D83" s="19" t="n">
        <v>193</v>
      </c>
      <c r="E83" s="18" t="n">
        <v>28.12309703</v>
      </c>
      <c r="F83" s="20" t="n">
        <v>3.86537691</v>
      </c>
      <c r="G83" s="18" t="n">
        <v>49.72780735</v>
      </c>
      <c r="H83" s="20" t="n">
        <v>3.94813468</v>
      </c>
      <c r="I83" s="18" t="n">
        <v>21.1256576</v>
      </c>
      <c r="J83" s="20" t="n">
        <v>3.10949358</v>
      </c>
      <c r="K83" s="18" t="n">
        <v>0</v>
      </c>
      <c r="L83" s="20" t="n">
        <v>0</v>
      </c>
      <c r="M83" s="18" t="n">
        <v>0</v>
      </c>
      <c r="N83" s="20" t="n">
        <v>0</v>
      </c>
      <c r="O83" s="18" t="n">
        <v>0</v>
      </c>
      <c r="P83" s="20" t="n">
        <v>0</v>
      </c>
      <c r="Q83" s="18" t="n">
        <v>0</v>
      </c>
      <c r="R83" s="20" t="n">
        <v>0</v>
      </c>
      <c r="S83" s="18" t="n">
        <v>1.02343802</v>
      </c>
      <c r="T83" s="20" t="n">
        <v>0.7370899400000001</v>
      </c>
    </row>
    <row r="84" spans="1:20">
      <c r="A84" s="23" t="s">
        <v>508</v>
      </c>
      <c r="B84" s="24" t="n">
        <v>1887</v>
      </c>
      <c r="C84" s="25">
        <f>(1657.0/B84*100)</f>
        <v/>
      </c>
      <c r="D84" s="19" t="n">
        <v>230</v>
      </c>
      <c r="E84" s="18" t="n">
        <v>33.22269185</v>
      </c>
      <c r="F84" s="20" t="n">
        <v>3.59371824</v>
      </c>
      <c r="G84" s="18" t="n">
        <v>45.37124965</v>
      </c>
      <c r="H84" s="20" t="n">
        <v>3.93003759</v>
      </c>
      <c r="I84" s="18" t="n">
        <v>20.09223537</v>
      </c>
      <c r="J84" s="20" t="n">
        <v>3.61394234</v>
      </c>
      <c r="K84" s="18" t="n">
        <v>0</v>
      </c>
      <c r="L84" s="20" t="n">
        <v>0</v>
      </c>
      <c r="M84" s="18" t="n">
        <v>0</v>
      </c>
      <c r="N84" s="20" t="n">
        <v>0</v>
      </c>
      <c r="O84" s="18" t="n">
        <v>0</v>
      </c>
      <c r="P84" s="20" t="n">
        <v>0</v>
      </c>
      <c r="Q84" s="18" t="n">
        <v>0</v>
      </c>
      <c r="R84" s="20" t="n">
        <v>0</v>
      </c>
      <c r="S84" s="18" t="n">
        <v>1.31382312</v>
      </c>
      <c r="T84" s="20" t="n">
        <v>0.7765179800000001</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(12766.0/B7*100)</f>
        <v/>
      </c>
      <c r="D7" s="19" t="n">
        <v>1764</v>
      </c>
      <c r="E7" s="18" t="n">
        <v>34.73909892</v>
      </c>
      <c r="F7" s="20" t="n">
        <v>1.27641362</v>
      </c>
      <c r="G7" s="18" t="n">
        <v>51.15941447</v>
      </c>
      <c r="H7" s="20" t="n">
        <v>1.27372459</v>
      </c>
      <c r="I7" s="18" t="n">
        <v>0</v>
      </c>
      <c r="J7" s="20" t="n">
        <v>0</v>
      </c>
      <c r="K7" s="18" t="n">
        <v>0.18877044</v>
      </c>
      <c r="L7" s="20" t="n">
        <v>0.0863955</v>
      </c>
      <c r="M7" s="18" t="n">
        <v>0.0324873</v>
      </c>
      <c r="N7" s="20" t="n">
        <v>0.02142622</v>
      </c>
      <c r="O7" s="18" t="n">
        <v>0</v>
      </c>
      <c r="P7" s="20" t="n">
        <v>0</v>
      </c>
      <c r="Q7" s="18" t="n">
        <v>13.88022887</v>
      </c>
      <c r="R7" s="20" t="n">
        <v>1.08135894</v>
      </c>
    </row>
    <row r="8" spans="1:18">
      <c r="A8" s="15" t="s">
        <v>430</v>
      </c>
      <c r="B8" s="17" t="n">
        <v>7007</v>
      </c>
      <c r="C8" s="18">
        <f>(6175.0/B8*100)</f>
        <v/>
      </c>
      <c r="D8" s="19" t="n">
        <v>832</v>
      </c>
      <c r="E8" s="18" t="n">
        <v>27.54816176</v>
      </c>
      <c r="F8" s="20" t="n">
        <v>1.75470916</v>
      </c>
      <c r="G8" s="18" t="n">
        <v>53.90871618</v>
      </c>
      <c r="H8" s="20" t="n">
        <v>1.95013784</v>
      </c>
      <c r="I8" s="18" t="n">
        <v>0</v>
      </c>
      <c r="J8" s="20" t="n">
        <v>0</v>
      </c>
      <c r="K8" s="18" t="n">
        <v>0.23780197</v>
      </c>
      <c r="L8" s="20" t="n">
        <v>0.14198347</v>
      </c>
      <c r="M8" s="18" t="n">
        <v>0</v>
      </c>
      <c r="N8" s="20" t="n">
        <v>0</v>
      </c>
      <c r="O8" s="18" t="n">
        <v>0</v>
      </c>
      <c r="P8" s="20" t="n">
        <v>0</v>
      </c>
      <c r="Q8" s="18" t="n">
        <v>18.30532009</v>
      </c>
      <c r="R8" s="20" t="n">
        <v>1.60089448</v>
      </c>
    </row>
    <row r="9" spans="1:18">
      <c r="A9" s="15" t="s">
        <v>431</v>
      </c>
      <c r="B9" s="17" t="n">
        <v>9651</v>
      </c>
      <c r="C9" s="18">
        <f>(8504.0/B9*100)</f>
        <v/>
      </c>
      <c r="D9" s="19" t="n">
        <v>1147</v>
      </c>
      <c r="E9" s="18" t="n">
        <v>22.25498444</v>
      </c>
      <c r="F9" s="20" t="n">
        <v>1.21763292</v>
      </c>
      <c r="G9" s="18" t="n">
        <v>64.27771439999999</v>
      </c>
      <c r="H9" s="20" t="n">
        <v>1.78774569</v>
      </c>
      <c r="I9" s="18" t="n">
        <v>0</v>
      </c>
      <c r="J9" s="20" t="n">
        <v>0</v>
      </c>
      <c r="K9" s="18" t="n">
        <v>0.07820233</v>
      </c>
      <c r="L9" s="20" t="n">
        <v>0.07557224999999999</v>
      </c>
      <c r="M9" s="18" t="n">
        <v>0.30048754</v>
      </c>
      <c r="N9" s="20" t="n">
        <v>0.1468586</v>
      </c>
      <c r="O9" s="18" t="n">
        <v>0</v>
      </c>
      <c r="P9" s="20" t="n">
        <v>0</v>
      </c>
      <c r="Q9" s="18" t="n">
        <v>13.08861129</v>
      </c>
      <c r="R9" s="20" t="n">
        <v>1.33693465</v>
      </c>
    </row>
    <row r="10" spans="1:18">
      <c r="A10" s="15" t="s">
        <v>432</v>
      </c>
      <c r="B10" s="17" t="n">
        <v>20058</v>
      </c>
      <c r="C10" s="18">
        <f>(17591.0/B10*100)</f>
        <v/>
      </c>
      <c r="D10" s="19" t="n">
        <v>2467</v>
      </c>
      <c r="E10" s="18" t="n">
        <v>22.49803124</v>
      </c>
      <c r="F10" s="20" t="n">
        <v>1.13256254</v>
      </c>
      <c r="G10" s="18" t="n">
        <v>69.39007008</v>
      </c>
      <c r="H10" s="20" t="n">
        <v>1.42244722</v>
      </c>
      <c r="I10" s="18" t="n">
        <v>0</v>
      </c>
      <c r="J10" s="20" t="n">
        <v>0</v>
      </c>
      <c r="K10" s="18" t="n">
        <v>0.35736367</v>
      </c>
      <c r="L10" s="20" t="n">
        <v>0.16296339</v>
      </c>
      <c r="M10" s="18" t="n">
        <v>0.08197297000000001</v>
      </c>
      <c r="N10" s="20" t="n">
        <v>0.08315306</v>
      </c>
      <c r="O10" s="18" t="n">
        <v>0</v>
      </c>
      <c r="P10" s="20" t="n">
        <v>0</v>
      </c>
      <c r="Q10" s="18" t="n">
        <v>7.67256203</v>
      </c>
      <c r="R10" s="20" t="n">
        <v>0.79649461</v>
      </c>
    </row>
    <row r="11" spans="1:18">
      <c r="A11" s="15" t="s">
        <v>433</v>
      </c>
      <c r="B11" s="17" t="n">
        <v>7053</v>
      </c>
      <c r="C11" s="18">
        <f>(6181.0/B11*100)</f>
        <v/>
      </c>
      <c r="D11" s="19" t="n">
        <v>872</v>
      </c>
      <c r="E11" s="18" t="n">
        <v>23.12649833</v>
      </c>
      <c r="F11" s="20" t="n">
        <v>1.85440628</v>
      </c>
      <c r="G11" s="18" t="n">
        <v>56.71701241</v>
      </c>
      <c r="H11" s="20" t="n">
        <v>2.20559591</v>
      </c>
      <c r="I11" s="18" t="n">
        <v>0</v>
      </c>
      <c r="J11" s="20" t="n">
        <v>0</v>
      </c>
      <c r="K11" s="18" t="n">
        <v>0.34390113</v>
      </c>
      <c r="L11" s="20" t="n">
        <v>0.34382761</v>
      </c>
      <c r="M11" s="18" t="n">
        <v>0.05054947</v>
      </c>
      <c r="N11" s="20" t="n">
        <v>0.05514223</v>
      </c>
      <c r="O11" s="18" t="n">
        <v>0</v>
      </c>
      <c r="P11" s="20" t="n">
        <v>0</v>
      </c>
      <c r="Q11" s="18" t="n">
        <v>19.76203867</v>
      </c>
      <c r="R11" s="20" t="n">
        <v>1.68736835</v>
      </c>
    </row>
    <row r="12" spans="1:18">
      <c r="A12" s="15" t="s">
        <v>434</v>
      </c>
      <c r="B12" s="17" t="n">
        <v>6894</v>
      </c>
      <c r="C12" s="18">
        <f>(6047.0/B12*100)</f>
        <v/>
      </c>
      <c r="D12" s="19" t="n">
        <v>847</v>
      </c>
      <c r="E12" s="18" t="n">
        <v>25.71451815</v>
      </c>
      <c r="F12" s="20" t="n">
        <v>1.79945862</v>
      </c>
      <c r="G12" s="18" t="n">
        <v>47.14195876</v>
      </c>
      <c r="H12" s="20" t="n">
        <v>1.6508411</v>
      </c>
      <c r="I12" s="18" t="n">
        <v>0</v>
      </c>
      <c r="J12" s="20" t="n">
        <v>0</v>
      </c>
      <c r="K12" s="18" t="n">
        <v>0.09205502</v>
      </c>
      <c r="L12" s="20" t="n">
        <v>0.1313831</v>
      </c>
      <c r="M12" s="18" t="n">
        <v>0.07068146</v>
      </c>
      <c r="N12" s="20" t="n">
        <v>0.09442006</v>
      </c>
      <c r="O12" s="18" t="n">
        <v>0</v>
      </c>
      <c r="P12" s="20" t="n">
        <v>0</v>
      </c>
      <c r="Q12" s="18" t="n">
        <v>26.98078662</v>
      </c>
      <c r="R12" s="20" t="n">
        <v>1.82628732</v>
      </c>
    </row>
    <row r="13" spans="1:18">
      <c r="A13" s="15" t="s">
        <v>435</v>
      </c>
      <c r="B13" s="17" t="n">
        <v>7161</v>
      </c>
      <c r="C13" s="18">
        <f>(6328.0/B13*100)</f>
        <v/>
      </c>
      <c r="D13" s="19" t="n">
        <v>833</v>
      </c>
      <c r="E13" s="18" t="n">
        <v>32.19831864</v>
      </c>
      <c r="F13" s="20" t="n">
        <v>2.10214872</v>
      </c>
      <c r="G13" s="18" t="n">
        <v>42.49412762</v>
      </c>
      <c r="H13" s="20" t="n">
        <v>2.43341056</v>
      </c>
      <c r="I13" s="18" t="n">
        <v>0</v>
      </c>
      <c r="J13" s="20" t="n">
        <v>0</v>
      </c>
      <c r="K13" s="18" t="n">
        <v>0.90718983</v>
      </c>
      <c r="L13" s="20" t="n">
        <v>0.45983378</v>
      </c>
      <c r="M13" s="18" t="n">
        <v>1.37426268</v>
      </c>
      <c r="N13" s="20" t="n">
        <v>0.61230308</v>
      </c>
      <c r="O13" s="18" t="n">
        <v>0</v>
      </c>
      <c r="P13" s="20" t="n">
        <v>0</v>
      </c>
      <c r="Q13" s="18" t="n">
        <v>23.02610121</v>
      </c>
      <c r="R13" s="20" t="n">
        <v>2.18625392</v>
      </c>
    </row>
    <row r="14" spans="1:18">
      <c r="A14" s="15" t="s">
        <v>436</v>
      </c>
      <c r="B14" s="17" t="n">
        <v>5587</v>
      </c>
      <c r="C14" s="18">
        <f>(4914.0/B14*100)</f>
        <v/>
      </c>
      <c r="D14" s="19" t="n">
        <v>673</v>
      </c>
      <c r="E14" s="18" t="n">
        <v>21.60730206</v>
      </c>
      <c r="F14" s="20" t="n">
        <v>1.88506039</v>
      </c>
      <c r="G14" s="18" t="n">
        <v>66.31519806</v>
      </c>
      <c r="H14" s="20" t="n">
        <v>2.1441011</v>
      </c>
      <c r="I14" s="18" t="n">
        <v>0</v>
      </c>
      <c r="J14" s="20" t="n">
        <v>0</v>
      </c>
      <c r="K14" s="18" t="n">
        <v>0.11959623</v>
      </c>
      <c r="L14" s="20" t="n">
        <v>0.12595117</v>
      </c>
      <c r="M14" s="18" t="n">
        <v>0.13678886</v>
      </c>
      <c r="N14" s="20" t="n">
        <v>0.13694504</v>
      </c>
      <c r="O14" s="18" t="n">
        <v>0</v>
      </c>
      <c r="P14" s="20" t="n">
        <v>0</v>
      </c>
      <c r="Q14" s="18" t="n">
        <v>11.82111479</v>
      </c>
      <c r="R14" s="20" t="n">
        <v>1.88365495</v>
      </c>
    </row>
    <row r="15" spans="1:18">
      <c r="A15" s="15" t="s">
        <v>437</v>
      </c>
      <c r="B15" s="17" t="n">
        <v>5882</v>
      </c>
      <c r="C15" s="18">
        <f>(5144.0/B15*100)</f>
        <v/>
      </c>
      <c r="D15" s="19" t="n">
        <v>738</v>
      </c>
      <c r="E15" s="18" t="n">
        <v>21.27243769</v>
      </c>
      <c r="F15" s="20" t="n">
        <v>1.59126031</v>
      </c>
      <c r="G15" s="18" t="n">
        <v>67.16120828</v>
      </c>
      <c r="H15" s="20" t="n">
        <v>2.08675931</v>
      </c>
      <c r="I15" s="18" t="n">
        <v>0</v>
      </c>
      <c r="J15" s="20" t="n">
        <v>0</v>
      </c>
      <c r="K15" s="18" t="n">
        <v>0.27010706</v>
      </c>
      <c r="L15" s="20" t="n">
        <v>0.18973382</v>
      </c>
      <c r="M15" s="18" t="n">
        <v>0</v>
      </c>
      <c r="N15" s="20" t="n">
        <v>0</v>
      </c>
      <c r="O15" s="18" t="n">
        <v>0</v>
      </c>
      <c r="P15" s="20" t="n">
        <v>0</v>
      </c>
      <c r="Q15" s="18" t="n">
        <v>11.29624697</v>
      </c>
      <c r="R15" s="20" t="n">
        <v>1.24348903</v>
      </c>
    </row>
    <row r="16" spans="1:18">
      <c r="A16" s="15" t="s">
        <v>438</v>
      </c>
      <c r="B16" s="17" t="n">
        <v>6108</v>
      </c>
      <c r="C16" s="18">
        <f>(5330.0/B16*100)</f>
        <v/>
      </c>
      <c r="D16" s="19" t="n">
        <v>778</v>
      </c>
      <c r="E16" s="18" t="n">
        <v>19.89111021</v>
      </c>
      <c r="F16" s="20" t="n">
        <v>1.19568718</v>
      </c>
      <c r="G16" s="18" t="n">
        <v>65.29514863</v>
      </c>
      <c r="H16" s="20" t="n">
        <v>1.70788576</v>
      </c>
      <c r="I16" s="18" t="n">
        <v>0</v>
      </c>
      <c r="J16" s="20" t="n">
        <v>0</v>
      </c>
      <c r="K16" s="18" t="n">
        <v>0.96935807</v>
      </c>
      <c r="L16" s="20" t="n">
        <v>0.4019841</v>
      </c>
      <c r="M16" s="18" t="n">
        <v>0.14349511</v>
      </c>
      <c r="N16" s="20" t="n">
        <v>0.14307782</v>
      </c>
      <c r="O16" s="18" t="n">
        <v>0</v>
      </c>
      <c r="P16" s="20" t="n">
        <v>0</v>
      </c>
      <c r="Q16" s="18" t="n">
        <v>13.70088797</v>
      </c>
      <c r="R16" s="20" t="n">
        <v>1.40084016</v>
      </c>
    </row>
    <row r="17" spans="1:18">
      <c r="A17" s="15" t="s">
        <v>439</v>
      </c>
      <c r="B17" s="17" t="n">
        <v>6504</v>
      </c>
      <c r="C17" s="18">
        <f>(5713.0/B17*100)</f>
        <v/>
      </c>
      <c r="D17" s="19" t="n">
        <v>791</v>
      </c>
      <c r="E17" s="18" t="n">
        <v>21.93485446</v>
      </c>
      <c r="F17" s="20" t="n">
        <v>1.52773895</v>
      </c>
      <c r="G17" s="18" t="n">
        <v>62.15907171</v>
      </c>
      <c r="H17" s="20" t="n">
        <v>2.15397628</v>
      </c>
      <c r="I17" s="18" t="n">
        <v>0</v>
      </c>
      <c r="J17" s="20" t="n">
        <v>0</v>
      </c>
      <c r="K17" s="18" t="n">
        <v>0.21812658</v>
      </c>
      <c r="L17" s="20" t="n">
        <v>0.15622659</v>
      </c>
      <c r="M17" s="18" t="n">
        <v>0</v>
      </c>
      <c r="N17" s="20" t="n">
        <v>0</v>
      </c>
      <c r="O17" s="18" t="n">
        <v>0</v>
      </c>
      <c r="P17" s="20" t="n">
        <v>0</v>
      </c>
      <c r="Q17" s="18" t="n">
        <v>15.68794726</v>
      </c>
      <c r="R17" s="20" t="n">
        <v>1.47696545</v>
      </c>
    </row>
    <row r="18" spans="1:18">
      <c r="A18" s="15" t="s">
        <v>440</v>
      </c>
      <c r="B18" s="17" t="n">
        <v>5532</v>
      </c>
      <c r="C18" s="18">
        <f>(4844.0/B18*100)</f>
        <v/>
      </c>
      <c r="D18" s="19" t="n">
        <v>688</v>
      </c>
      <c r="E18" s="18" t="n">
        <v>42.36327914</v>
      </c>
      <c r="F18" s="20" t="n">
        <v>2.17772052</v>
      </c>
      <c r="G18" s="18" t="n">
        <v>33.52543469</v>
      </c>
      <c r="H18" s="20" t="n">
        <v>2.02131671</v>
      </c>
      <c r="I18" s="18" t="n">
        <v>0</v>
      </c>
      <c r="J18" s="20" t="n">
        <v>0</v>
      </c>
      <c r="K18" s="18" t="n">
        <v>0</v>
      </c>
      <c r="L18" s="20" t="n">
        <v>0</v>
      </c>
      <c r="M18" s="18" t="n">
        <v>0</v>
      </c>
      <c r="N18" s="20" t="n">
        <v>0</v>
      </c>
      <c r="O18" s="18" t="n">
        <v>0</v>
      </c>
      <c r="P18" s="20" t="n">
        <v>0</v>
      </c>
      <c r="Q18" s="18" t="n">
        <v>24.11128618</v>
      </c>
      <c r="R18" s="20" t="n">
        <v>1.92288682</v>
      </c>
    </row>
    <row r="19" spans="1:18">
      <c r="A19" s="15" t="s">
        <v>441</v>
      </c>
      <c r="B19" s="17" t="n">
        <v>5658</v>
      </c>
      <c r="C19" s="18">
        <f>(4937.0/B19*100)</f>
        <v/>
      </c>
      <c r="D19" s="19" t="n">
        <v>721</v>
      </c>
      <c r="E19" s="18" t="n">
        <v>29.73065508</v>
      </c>
      <c r="F19" s="20" t="n">
        <v>1.96283146</v>
      </c>
      <c r="G19" s="18" t="n">
        <v>38.39562676</v>
      </c>
      <c r="H19" s="20" t="n">
        <v>2.04533621</v>
      </c>
      <c r="I19" s="18" t="n">
        <v>0</v>
      </c>
      <c r="J19" s="20" t="n">
        <v>0</v>
      </c>
      <c r="K19" s="18" t="n">
        <v>0.62349161</v>
      </c>
      <c r="L19" s="20" t="n">
        <v>0.43969446</v>
      </c>
      <c r="M19" s="18" t="n">
        <v>0</v>
      </c>
      <c r="N19" s="20" t="n">
        <v>0</v>
      </c>
      <c r="O19" s="18" t="n">
        <v>0</v>
      </c>
      <c r="P19" s="20" t="n">
        <v>0</v>
      </c>
      <c r="Q19" s="18" t="n">
        <v>31.25022655</v>
      </c>
      <c r="R19" s="20" t="n">
        <v>1.96367653</v>
      </c>
    </row>
    <row r="20" spans="1:18">
      <c r="A20" s="15" t="s">
        <v>442</v>
      </c>
      <c r="B20" s="17" t="n">
        <v>3371</v>
      </c>
      <c r="C20" s="18">
        <f>(2954.0/B20*100)</f>
        <v/>
      </c>
      <c r="D20" s="19" t="n">
        <v>417</v>
      </c>
      <c r="E20" s="18" t="n">
        <v>23.50563444</v>
      </c>
      <c r="F20" s="20" t="n">
        <v>2.08966731</v>
      </c>
      <c r="G20" s="18" t="n">
        <v>46.70465772</v>
      </c>
      <c r="H20" s="20" t="n">
        <v>2.36282335</v>
      </c>
      <c r="I20" s="18" t="n">
        <v>0</v>
      </c>
      <c r="J20" s="20" t="n">
        <v>0</v>
      </c>
      <c r="K20" s="18" t="n">
        <v>0.52756814</v>
      </c>
      <c r="L20" s="20" t="n">
        <v>0.36518459</v>
      </c>
      <c r="M20" s="18" t="n">
        <v>0.78942587</v>
      </c>
      <c r="N20" s="20" t="n">
        <v>0.39222165</v>
      </c>
      <c r="O20" s="18" t="n">
        <v>0</v>
      </c>
      <c r="P20" s="20" t="n">
        <v>0</v>
      </c>
      <c r="Q20" s="18" t="n">
        <v>28.47271384</v>
      </c>
      <c r="R20" s="20" t="n">
        <v>1.88986413</v>
      </c>
    </row>
    <row r="21" spans="1:18">
      <c r="A21" s="15" t="s">
        <v>443</v>
      </c>
      <c r="B21" s="17" t="n">
        <v>5741</v>
      </c>
      <c r="C21" s="18">
        <f>(4788.0/B21*100)</f>
        <v/>
      </c>
      <c r="D21" s="19" t="n">
        <v>953</v>
      </c>
      <c r="E21" s="18" t="n">
        <v>32.11859041</v>
      </c>
      <c r="F21" s="20" t="n">
        <v>1.38252365</v>
      </c>
      <c r="G21" s="18" t="n">
        <v>57.52541177</v>
      </c>
      <c r="H21" s="20" t="n">
        <v>1.40809983</v>
      </c>
      <c r="I21" s="18" t="n">
        <v>0</v>
      </c>
      <c r="J21" s="20" t="n">
        <v>0</v>
      </c>
      <c r="K21" s="18" t="n">
        <v>0</v>
      </c>
      <c r="L21" s="20" t="n">
        <v>0</v>
      </c>
      <c r="M21" s="18" t="n">
        <v>0</v>
      </c>
      <c r="N21" s="20" t="n">
        <v>0</v>
      </c>
      <c r="O21" s="18" t="n">
        <v>0</v>
      </c>
      <c r="P21" s="20" t="n">
        <v>0</v>
      </c>
      <c r="Q21" s="18" t="n">
        <v>10.35599783</v>
      </c>
      <c r="R21" s="20" t="n">
        <v>1.03437075</v>
      </c>
    </row>
    <row r="22" spans="1:18">
      <c r="A22" s="15" t="s">
        <v>444</v>
      </c>
      <c r="B22" s="17" t="n">
        <v>6598</v>
      </c>
      <c r="C22" s="18">
        <f>(5776.0/B22*100)</f>
        <v/>
      </c>
      <c r="D22" s="19" t="n">
        <v>822</v>
      </c>
      <c r="E22" s="18" t="n">
        <v>27.63155565</v>
      </c>
      <c r="F22" s="20" t="n">
        <v>1.59668835</v>
      </c>
      <c r="G22" s="18" t="n">
        <v>57.67429311</v>
      </c>
      <c r="H22" s="20" t="n">
        <v>1.86289934</v>
      </c>
      <c r="I22" s="18" t="n">
        <v>0</v>
      </c>
      <c r="J22" s="20" t="n">
        <v>0</v>
      </c>
      <c r="K22" s="18" t="n">
        <v>0.10606738</v>
      </c>
      <c r="L22" s="20" t="n">
        <v>0.11802213</v>
      </c>
      <c r="M22" s="18" t="n">
        <v>0.13045289</v>
      </c>
      <c r="N22" s="20" t="n">
        <v>0.13479163</v>
      </c>
      <c r="O22" s="18" t="n">
        <v>0</v>
      </c>
      <c r="P22" s="20" t="n">
        <v>0</v>
      </c>
      <c r="Q22" s="18" t="n">
        <v>14.45763097</v>
      </c>
      <c r="R22" s="20" t="n">
        <v>1.48351338</v>
      </c>
    </row>
    <row r="23" spans="1:18">
      <c r="A23" s="15" t="s">
        <v>445</v>
      </c>
      <c r="B23" s="17" t="n">
        <v>11583</v>
      </c>
      <c r="C23" s="18">
        <f>(10157.0/B23*100)</f>
        <v/>
      </c>
      <c r="D23" s="19" t="n">
        <v>1426</v>
      </c>
      <c r="E23" s="18" t="n">
        <v>24.95400459</v>
      </c>
      <c r="F23" s="20" t="n">
        <v>1.87344421</v>
      </c>
      <c r="G23" s="18" t="n">
        <v>55.74700919</v>
      </c>
      <c r="H23" s="20" t="n">
        <v>1.75641236</v>
      </c>
      <c r="I23" s="18" t="n">
        <v>0</v>
      </c>
      <c r="J23" s="20" t="n">
        <v>0</v>
      </c>
      <c r="K23" s="18" t="n">
        <v>0.01014592</v>
      </c>
      <c r="L23" s="20" t="n">
        <v>0.007586</v>
      </c>
      <c r="M23" s="18" t="n">
        <v>1.61105802</v>
      </c>
      <c r="N23" s="20" t="n">
        <v>0.80055058</v>
      </c>
      <c r="O23" s="18" t="n">
        <v>0</v>
      </c>
      <c r="P23" s="20" t="n">
        <v>0</v>
      </c>
      <c r="Q23" s="18" t="n">
        <v>17.67778228</v>
      </c>
      <c r="R23" s="20" t="n">
        <v>1.58146157</v>
      </c>
    </row>
    <row r="24" spans="1:18">
      <c r="A24" s="15" t="s">
        <v>446</v>
      </c>
      <c r="B24" s="17" t="n">
        <v>6647</v>
      </c>
      <c r="C24" s="18">
        <f>(5822.0/B24*100)</f>
        <v/>
      </c>
      <c r="D24" s="19" t="n">
        <v>825</v>
      </c>
      <c r="E24" s="18" t="n">
        <v>15.65238024</v>
      </c>
      <c r="F24" s="20" t="n">
        <v>1.4668399</v>
      </c>
      <c r="G24" s="18" t="n">
        <v>63.08797409</v>
      </c>
      <c r="H24" s="20" t="n">
        <v>1.9601093</v>
      </c>
      <c r="I24" s="18" t="n">
        <v>0</v>
      </c>
      <c r="J24" s="20" t="n">
        <v>0</v>
      </c>
      <c r="K24" s="18" t="n">
        <v>0</v>
      </c>
      <c r="L24" s="20" t="n">
        <v>0</v>
      </c>
      <c r="M24" s="18" t="n">
        <v>0</v>
      </c>
      <c r="N24" s="20" t="n">
        <v>0</v>
      </c>
      <c r="O24" s="18" t="n">
        <v>0</v>
      </c>
      <c r="P24" s="20" t="n">
        <v>0</v>
      </c>
      <c r="Q24" s="18" t="n">
        <v>21.25964568</v>
      </c>
      <c r="R24" s="20" t="n">
        <v>1.58672407</v>
      </c>
    </row>
    <row r="25" spans="1:18">
      <c r="A25" s="15" t="s">
        <v>447</v>
      </c>
      <c r="B25" s="17" t="n">
        <v>5581</v>
      </c>
      <c r="C25" s="18">
        <f>(4896.0/B25*100)</f>
        <v/>
      </c>
      <c r="D25" s="19" t="n">
        <v>685</v>
      </c>
      <c r="E25" s="18" t="n">
        <v>19.73551541</v>
      </c>
      <c r="F25" s="20" t="n">
        <v>1.72100818</v>
      </c>
      <c r="G25" s="18" t="n">
        <v>72.65768346</v>
      </c>
      <c r="H25" s="20" t="n">
        <v>1.91685635</v>
      </c>
      <c r="I25" s="18" t="n">
        <v>0</v>
      </c>
      <c r="J25" s="20" t="n">
        <v>0</v>
      </c>
      <c r="K25" s="18" t="n">
        <v>0.14149082</v>
      </c>
      <c r="L25" s="20" t="n">
        <v>0.14122967</v>
      </c>
      <c r="M25" s="18" t="n">
        <v>0</v>
      </c>
      <c r="N25" s="20" t="n">
        <v>0</v>
      </c>
      <c r="O25" s="18" t="n">
        <v>0</v>
      </c>
      <c r="P25" s="20" t="n">
        <v>0</v>
      </c>
      <c r="Q25" s="18" t="n">
        <v>7.4653103</v>
      </c>
      <c r="R25" s="20" t="n">
        <v>1.18282839</v>
      </c>
    </row>
    <row r="26" spans="1:18">
      <c r="A26" s="15" t="s">
        <v>448</v>
      </c>
      <c r="B26" s="17" t="n">
        <v>4869</v>
      </c>
      <c r="C26" s="18">
        <f>(4279.0/B26*100)</f>
        <v/>
      </c>
      <c r="D26" s="19" t="n">
        <v>590</v>
      </c>
      <c r="E26" s="18" t="n">
        <v>26.39180831</v>
      </c>
      <c r="F26" s="20" t="n">
        <v>2.01020478</v>
      </c>
      <c r="G26" s="18" t="n">
        <v>61.60447882</v>
      </c>
      <c r="H26" s="20" t="n">
        <v>2.51125267</v>
      </c>
      <c r="I26" s="18" t="n">
        <v>0</v>
      </c>
      <c r="J26" s="20" t="n">
        <v>0</v>
      </c>
      <c r="K26" s="18" t="n">
        <v>0</v>
      </c>
      <c r="L26" s="20" t="n">
        <v>0</v>
      </c>
      <c r="M26" s="18" t="n">
        <v>0.75946856</v>
      </c>
      <c r="N26" s="20" t="n">
        <v>0.42326332</v>
      </c>
      <c r="O26" s="18" t="n">
        <v>0</v>
      </c>
      <c r="P26" s="20" t="n">
        <v>0</v>
      </c>
      <c r="Q26" s="18" t="n">
        <v>11.2442443</v>
      </c>
      <c r="R26" s="20" t="n">
        <v>1.63799747</v>
      </c>
    </row>
    <row r="27" spans="1:18">
      <c r="A27" s="15" t="s">
        <v>449</v>
      </c>
      <c r="B27" s="17" t="n">
        <v>5299</v>
      </c>
      <c r="C27" s="18">
        <f>(4646.0/B27*100)</f>
        <v/>
      </c>
      <c r="D27" s="19" t="n">
        <v>653</v>
      </c>
      <c r="E27" s="18" t="n">
        <v>25.70796246</v>
      </c>
      <c r="F27" s="20" t="n">
        <v>1.64437086</v>
      </c>
      <c r="G27" s="18" t="n">
        <v>57.01136344</v>
      </c>
      <c r="H27" s="20" t="n">
        <v>1.61212558</v>
      </c>
      <c r="I27" s="18" t="n">
        <v>0</v>
      </c>
      <c r="J27" s="20" t="n">
        <v>0</v>
      </c>
      <c r="K27" s="18" t="n">
        <v>0.15307605</v>
      </c>
      <c r="L27" s="20" t="n">
        <v>0.1525391</v>
      </c>
      <c r="M27" s="18" t="n">
        <v>0</v>
      </c>
      <c r="N27" s="20" t="n">
        <v>0</v>
      </c>
      <c r="O27" s="18" t="n">
        <v>0</v>
      </c>
      <c r="P27" s="20" t="n">
        <v>0</v>
      </c>
      <c r="Q27" s="18" t="n">
        <v>17.12759805</v>
      </c>
      <c r="R27" s="20" t="n">
        <v>1.37733676</v>
      </c>
    </row>
    <row r="28" spans="1:18">
      <c r="A28" s="15" t="s">
        <v>450</v>
      </c>
      <c r="B28" s="17" t="n">
        <v>7568</v>
      </c>
      <c r="C28" s="18">
        <f>(6657.0/B28*100)</f>
        <v/>
      </c>
      <c r="D28" s="19" t="n">
        <v>911</v>
      </c>
      <c r="E28" s="18" t="n">
        <v>52.77583071</v>
      </c>
      <c r="F28" s="20" t="n">
        <v>1.99304457</v>
      </c>
      <c r="G28" s="18" t="n">
        <v>41.00895694</v>
      </c>
      <c r="H28" s="20" t="n">
        <v>2.18987445</v>
      </c>
      <c r="I28" s="18" t="n">
        <v>0</v>
      </c>
      <c r="J28" s="20" t="n">
        <v>0</v>
      </c>
      <c r="K28" s="18" t="n">
        <v>0.10943564</v>
      </c>
      <c r="L28" s="20" t="n">
        <v>0.11903803</v>
      </c>
      <c r="M28" s="18" t="n">
        <v>0</v>
      </c>
      <c r="N28" s="20" t="n">
        <v>0</v>
      </c>
      <c r="O28" s="18" t="n">
        <v>0</v>
      </c>
      <c r="P28" s="20" t="n">
        <v>0</v>
      </c>
      <c r="Q28" s="18" t="n">
        <v>6.10577671</v>
      </c>
      <c r="R28" s="20" t="n">
        <v>0.95964383</v>
      </c>
    </row>
    <row r="29" spans="1:18">
      <c r="A29" s="15" t="s">
        <v>451</v>
      </c>
      <c r="B29" s="17" t="n">
        <v>5385</v>
      </c>
      <c r="C29" s="18">
        <f>(4742.0/B29*100)</f>
        <v/>
      </c>
      <c r="D29" s="19" t="n">
        <v>643</v>
      </c>
      <c r="E29" s="18" t="n">
        <v>30.62421247</v>
      </c>
      <c r="F29" s="20" t="n">
        <v>2.04626129</v>
      </c>
      <c r="G29" s="18" t="n">
        <v>64.31028910000001</v>
      </c>
      <c r="H29" s="20" t="n">
        <v>2.23039906</v>
      </c>
      <c r="I29" s="18" t="n">
        <v>0</v>
      </c>
      <c r="J29" s="20" t="n">
        <v>0</v>
      </c>
      <c r="K29" s="18" t="n">
        <v>0</v>
      </c>
      <c r="L29" s="20" t="n">
        <v>0</v>
      </c>
      <c r="M29" s="18" t="n">
        <v>0.1633203</v>
      </c>
      <c r="N29" s="20" t="n">
        <v>0.17057189</v>
      </c>
      <c r="O29" s="18" t="n">
        <v>0</v>
      </c>
      <c r="P29" s="20" t="n">
        <v>0</v>
      </c>
      <c r="Q29" s="18" t="n">
        <v>4.90217813</v>
      </c>
      <c r="R29" s="20" t="n">
        <v>0.87016403</v>
      </c>
    </row>
    <row r="30" spans="1:18">
      <c r="A30" s="15" t="s">
        <v>452</v>
      </c>
      <c r="B30" s="17" t="n">
        <v>4520</v>
      </c>
      <c r="C30" s="18">
        <f>(3939.0/B30*100)</f>
        <v/>
      </c>
      <c r="D30" s="19" t="n">
        <v>581</v>
      </c>
      <c r="E30" s="18" t="n">
        <v>31.3049178</v>
      </c>
      <c r="F30" s="20" t="n">
        <v>2.05402754</v>
      </c>
      <c r="G30" s="18" t="n">
        <v>51.48279957</v>
      </c>
      <c r="H30" s="20" t="n">
        <v>2.26709296</v>
      </c>
      <c r="I30" s="18" t="n">
        <v>0</v>
      </c>
      <c r="J30" s="20" t="n">
        <v>0</v>
      </c>
      <c r="K30" s="18" t="n">
        <v>0.2153905</v>
      </c>
      <c r="L30" s="20" t="n">
        <v>0.21798241</v>
      </c>
      <c r="M30" s="18" t="n">
        <v>0.25033643</v>
      </c>
      <c r="N30" s="20" t="n">
        <v>0.24538627</v>
      </c>
      <c r="O30" s="18" t="n">
        <v>0</v>
      </c>
      <c r="P30" s="20" t="n">
        <v>0</v>
      </c>
      <c r="Q30" s="18" t="n">
        <v>16.7465557</v>
      </c>
      <c r="R30" s="20" t="n">
        <v>1.37418038</v>
      </c>
    </row>
    <row r="31" spans="1:18">
      <c r="A31" s="15" t="s">
        <v>453</v>
      </c>
      <c r="B31" s="17" t="n">
        <v>5456</v>
      </c>
      <c r="C31" s="18">
        <f>(4790.0/B31*100)</f>
        <v/>
      </c>
      <c r="D31" s="19" t="n">
        <v>666</v>
      </c>
      <c r="E31" s="18" t="n">
        <v>30.86805757</v>
      </c>
      <c r="F31" s="20" t="n">
        <v>1.85233998</v>
      </c>
      <c r="G31" s="18" t="n">
        <v>53.25977463</v>
      </c>
      <c r="H31" s="20" t="n">
        <v>1.83698085</v>
      </c>
      <c r="I31" s="18" t="n">
        <v>0</v>
      </c>
      <c r="J31" s="20" t="n">
        <v>0</v>
      </c>
      <c r="K31" s="18" t="n">
        <v>0.13571865</v>
      </c>
      <c r="L31" s="20" t="n">
        <v>0.13635328</v>
      </c>
      <c r="M31" s="18" t="n">
        <v>0.15180465</v>
      </c>
      <c r="N31" s="20" t="n">
        <v>0.14408668</v>
      </c>
      <c r="O31" s="18" t="n">
        <v>0</v>
      </c>
      <c r="P31" s="20" t="n">
        <v>0</v>
      </c>
      <c r="Q31" s="18" t="n">
        <v>15.5846445</v>
      </c>
      <c r="R31" s="20" t="n">
        <v>1.31298434</v>
      </c>
    </row>
    <row r="32" spans="1:18">
      <c r="A32" s="15" t="s">
        <v>454</v>
      </c>
      <c r="B32" s="17" t="n">
        <v>4478</v>
      </c>
      <c r="C32" s="18">
        <f>(3764.0/B32*100)</f>
        <v/>
      </c>
      <c r="D32" s="19" t="n">
        <v>714</v>
      </c>
      <c r="E32" s="18" t="n">
        <v>19.29150277</v>
      </c>
      <c r="F32" s="20" t="n">
        <v>1.62199703</v>
      </c>
      <c r="G32" s="18" t="n">
        <v>53.38209309</v>
      </c>
      <c r="H32" s="20" t="n">
        <v>2.32953215</v>
      </c>
      <c r="I32" s="18" t="n">
        <v>0</v>
      </c>
      <c r="J32" s="20" t="n">
        <v>0</v>
      </c>
      <c r="K32" s="18" t="n">
        <v>0.13522172</v>
      </c>
      <c r="L32" s="20" t="n">
        <v>0.12733626</v>
      </c>
      <c r="M32" s="18" t="n">
        <v>0.13174273</v>
      </c>
      <c r="N32" s="20" t="n">
        <v>0.13116393</v>
      </c>
      <c r="O32" s="18" t="n">
        <v>0</v>
      </c>
      <c r="P32" s="20" t="n">
        <v>0</v>
      </c>
      <c r="Q32" s="18" t="n">
        <v>27.05943969</v>
      </c>
      <c r="R32" s="20" t="n">
        <v>2.23084248</v>
      </c>
    </row>
    <row r="33" spans="1:18">
      <c r="A33" s="15" t="s">
        <v>455</v>
      </c>
      <c r="B33" s="17" t="n">
        <v>7325</v>
      </c>
      <c r="C33" s="18">
        <f>(6395.0/B33*100)</f>
        <v/>
      </c>
      <c r="D33" s="19" t="n">
        <v>930</v>
      </c>
      <c r="E33" s="18" t="n">
        <v>18.78610971</v>
      </c>
      <c r="F33" s="20" t="n">
        <v>1.28388344</v>
      </c>
      <c r="G33" s="18" t="n">
        <v>58.8628177</v>
      </c>
      <c r="H33" s="20" t="n">
        <v>2.07727001</v>
      </c>
      <c r="I33" s="18" t="n">
        <v>0</v>
      </c>
      <c r="J33" s="20" t="n">
        <v>0</v>
      </c>
      <c r="K33" s="18" t="n">
        <v>0.15488035</v>
      </c>
      <c r="L33" s="20" t="n">
        <v>0.13544688</v>
      </c>
      <c r="M33" s="18" t="n">
        <v>0.11966087</v>
      </c>
      <c r="N33" s="20" t="n">
        <v>0.1156364</v>
      </c>
      <c r="O33" s="18" t="n">
        <v>0</v>
      </c>
      <c r="P33" s="20" t="n">
        <v>0</v>
      </c>
      <c r="Q33" s="18" t="n">
        <v>22.07653137</v>
      </c>
      <c r="R33" s="20" t="n">
        <v>1.79697442</v>
      </c>
    </row>
    <row r="34" spans="1:18">
      <c r="A34" s="15" t="s">
        <v>456</v>
      </c>
      <c r="B34" s="17" t="n">
        <v>6350</v>
      </c>
      <c r="C34" s="18">
        <f>(5576.0/B34*100)</f>
        <v/>
      </c>
      <c r="D34" s="19" t="n">
        <v>774</v>
      </c>
      <c r="E34" s="18" t="n">
        <v>41.92777337</v>
      </c>
      <c r="F34" s="20" t="n">
        <v>1.76393269</v>
      </c>
      <c r="G34" s="18" t="n">
        <v>39.21604839</v>
      </c>
      <c r="H34" s="20" t="n">
        <v>1.92925094</v>
      </c>
      <c r="I34" s="18" t="n">
        <v>0</v>
      </c>
      <c r="J34" s="20" t="n">
        <v>0</v>
      </c>
      <c r="K34" s="18" t="n">
        <v>0.09911932</v>
      </c>
      <c r="L34" s="20" t="n">
        <v>0.09920603</v>
      </c>
      <c r="M34" s="18" t="n">
        <v>0</v>
      </c>
      <c r="N34" s="20" t="n">
        <v>0</v>
      </c>
      <c r="O34" s="18" t="n">
        <v>0</v>
      </c>
      <c r="P34" s="20" t="n">
        <v>0</v>
      </c>
      <c r="Q34" s="18" t="n">
        <v>18.75705892</v>
      </c>
      <c r="R34" s="20" t="n">
        <v>1.62304438</v>
      </c>
    </row>
    <row r="35" spans="1:18">
      <c r="A35" s="15" t="s">
        <v>457</v>
      </c>
      <c r="B35" s="17" t="n">
        <v>6406</v>
      </c>
      <c r="C35" s="18">
        <f>(5645.0/B35*100)</f>
        <v/>
      </c>
      <c r="D35" s="19" t="n">
        <v>761</v>
      </c>
      <c r="E35" s="18" t="n">
        <v>22.16938287</v>
      </c>
      <c r="F35" s="20" t="n">
        <v>1.58623985</v>
      </c>
      <c r="G35" s="18" t="n">
        <v>55.74701826</v>
      </c>
      <c r="H35" s="20" t="n">
        <v>2.10992101</v>
      </c>
      <c r="I35" s="18" t="n">
        <v>0</v>
      </c>
      <c r="J35" s="20" t="n">
        <v>0</v>
      </c>
      <c r="K35" s="18" t="n">
        <v>0.0717028</v>
      </c>
      <c r="L35" s="20" t="n">
        <v>0.07155396</v>
      </c>
      <c r="M35" s="18" t="n">
        <v>0.26219713</v>
      </c>
      <c r="N35" s="20" t="n">
        <v>0.18704255</v>
      </c>
      <c r="O35" s="18" t="n">
        <v>0</v>
      </c>
      <c r="P35" s="20" t="n">
        <v>0</v>
      </c>
      <c r="Q35" s="18" t="n">
        <v>21.74969894</v>
      </c>
      <c r="R35" s="20" t="n">
        <v>1.64946822</v>
      </c>
    </row>
    <row r="36" spans="1:18">
      <c r="A36" s="15" t="s">
        <v>458</v>
      </c>
      <c r="B36" s="17" t="n">
        <v>6736</v>
      </c>
      <c r="C36" s="18">
        <f>(5888.0/B36*100)</f>
        <v/>
      </c>
      <c r="D36" s="19" t="n">
        <v>848</v>
      </c>
      <c r="E36" s="18" t="n">
        <v>31.55467941</v>
      </c>
      <c r="F36" s="20" t="n">
        <v>1.6905699</v>
      </c>
      <c r="G36" s="18" t="n">
        <v>52.97819194</v>
      </c>
      <c r="H36" s="20" t="n">
        <v>1.83144375</v>
      </c>
      <c r="I36" s="18" t="n">
        <v>0</v>
      </c>
      <c r="J36" s="20" t="n">
        <v>0</v>
      </c>
      <c r="K36" s="18" t="n">
        <v>0</v>
      </c>
      <c r="L36" s="20" t="n">
        <v>0</v>
      </c>
      <c r="M36" s="18" t="n">
        <v>0.24657964</v>
      </c>
      <c r="N36" s="20" t="n">
        <v>0.25461027</v>
      </c>
      <c r="O36" s="18" t="n">
        <v>0</v>
      </c>
      <c r="P36" s="20" t="n">
        <v>0</v>
      </c>
      <c r="Q36" s="18" t="n">
        <v>15.22054902</v>
      </c>
      <c r="R36" s="20" t="n">
        <v>1.36781734</v>
      </c>
    </row>
    <row r="37" spans="1:18">
      <c r="A37" s="15" t="s">
        <v>459</v>
      </c>
      <c r="B37" s="17" t="n">
        <v>5458</v>
      </c>
      <c r="C37" s="18">
        <f>(4759.0/B37*100)</f>
        <v/>
      </c>
      <c r="D37" s="19" t="n">
        <v>699</v>
      </c>
      <c r="E37" s="18" t="n">
        <v>26.94846988</v>
      </c>
      <c r="F37" s="20" t="n">
        <v>1.58232681</v>
      </c>
      <c r="G37" s="18" t="n">
        <v>50.73005525</v>
      </c>
      <c r="H37" s="20" t="n">
        <v>2.07661708</v>
      </c>
      <c r="I37" s="18" t="n">
        <v>0</v>
      </c>
      <c r="J37" s="20" t="n">
        <v>0</v>
      </c>
      <c r="K37" s="18" t="n">
        <v>0.86071305</v>
      </c>
      <c r="L37" s="20" t="n">
        <v>0.35526342</v>
      </c>
      <c r="M37" s="18" t="n">
        <v>0</v>
      </c>
      <c r="N37" s="20" t="n">
        <v>0</v>
      </c>
      <c r="O37" s="18" t="n">
        <v>0</v>
      </c>
      <c r="P37" s="20" t="n">
        <v>0</v>
      </c>
      <c r="Q37" s="18" t="n">
        <v>21.46076182</v>
      </c>
      <c r="R37" s="20" t="n">
        <v>1.62612368</v>
      </c>
    </row>
    <row r="38" spans="1:18">
      <c r="A38" s="15" t="s">
        <v>460</v>
      </c>
      <c r="B38" s="17" t="n">
        <v>5860</v>
      </c>
      <c r="C38" s="18">
        <f>(4938.0/B38*100)</f>
        <v/>
      </c>
      <c r="D38" s="19" t="n">
        <v>922</v>
      </c>
      <c r="E38" s="18" t="n">
        <v>24.60199305</v>
      </c>
      <c r="F38" s="20" t="n">
        <v>1.86674611</v>
      </c>
      <c r="G38" s="18" t="n">
        <v>57.74594484</v>
      </c>
      <c r="H38" s="20" t="n">
        <v>2.49456826</v>
      </c>
      <c r="I38" s="18" t="n">
        <v>0</v>
      </c>
      <c r="J38" s="20" t="n">
        <v>0</v>
      </c>
      <c r="K38" s="18" t="n">
        <v>0.19553905</v>
      </c>
      <c r="L38" s="20" t="n">
        <v>0.1064562</v>
      </c>
      <c r="M38" s="18" t="n">
        <v>0.30745276</v>
      </c>
      <c r="N38" s="20" t="n">
        <v>0.18592905</v>
      </c>
      <c r="O38" s="18" t="n">
        <v>0</v>
      </c>
      <c r="P38" s="20" t="n">
        <v>0</v>
      </c>
      <c r="Q38" s="18" t="n">
        <v>17.14907029</v>
      </c>
      <c r="R38" s="20" t="n">
        <v>1.7665046</v>
      </c>
    </row>
    <row r="39" spans="1:18">
      <c r="A39" s="15" t="s">
        <v>461</v>
      </c>
      <c r="B39" s="17" t="n">
        <v>5895</v>
      </c>
      <c r="C39" s="18">
        <f>(5177.0/B39*100)</f>
        <v/>
      </c>
      <c r="D39" s="19" t="n">
        <v>718</v>
      </c>
      <c r="E39" s="18" t="n">
        <v>22.18965695</v>
      </c>
      <c r="F39" s="20" t="n">
        <v>1.52245112</v>
      </c>
      <c r="G39" s="18" t="n">
        <v>54.34153116</v>
      </c>
      <c r="H39" s="20" t="n">
        <v>2.54242779</v>
      </c>
      <c r="I39" s="18" t="n">
        <v>0</v>
      </c>
      <c r="J39" s="20" t="n">
        <v>0</v>
      </c>
      <c r="K39" s="18" t="n">
        <v>0.50380927</v>
      </c>
      <c r="L39" s="20" t="n">
        <v>0.31464295</v>
      </c>
      <c r="M39" s="18" t="n">
        <v>0.12128421</v>
      </c>
      <c r="N39" s="20" t="n">
        <v>0.12503914</v>
      </c>
      <c r="O39" s="18" t="n">
        <v>0</v>
      </c>
      <c r="P39" s="20" t="n">
        <v>0</v>
      </c>
      <c r="Q39" s="18" t="n">
        <v>22.8437184</v>
      </c>
      <c r="R39" s="20" t="n">
        <v>2.2214612</v>
      </c>
    </row>
    <row r="40" spans="1:18">
      <c r="A40" s="15" t="s">
        <v>462</v>
      </c>
      <c r="B40" s="17" t="n">
        <v>14157</v>
      </c>
      <c r="C40" s="18">
        <f>(12452.0/B40*100)</f>
        <v/>
      </c>
      <c r="D40" s="19" t="n">
        <v>1705</v>
      </c>
      <c r="E40" s="18" t="n">
        <v>29.16709764</v>
      </c>
      <c r="F40" s="20" t="n">
        <v>1.70039281</v>
      </c>
      <c r="G40" s="18" t="n">
        <v>56.03806141</v>
      </c>
      <c r="H40" s="20" t="n">
        <v>1.82147839</v>
      </c>
      <c r="I40" s="18" t="n">
        <v>0</v>
      </c>
      <c r="J40" s="20" t="n">
        <v>0</v>
      </c>
      <c r="K40" s="18" t="n">
        <v>0.09662352</v>
      </c>
      <c r="L40" s="20" t="n">
        <v>0.04913723</v>
      </c>
      <c r="M40" s="18" t="n">
        <v>0.30268034</v>
      </c>
      <c r="N40" s="20" t="n">
        <v>0.21824359</v>
      </c>
      <c r="O40" s="18" t="n">
        <v>0</v>
      </c>
      <c r="P40" s="20" t="n">
        <v>0</v>
      </c>
      <c r="Q40" s="18" t="n">
        <v>14.3955371</v>
      </c>
      <c r="R40" s="20" t="n">
        <v>1.3582405</v>
      </c>
    </row>
    <row r="41" spans="1:18">
      <c r="A41" s="15" t="s">
        <v>463</v>
      </c>
      <c r="B41" s="17" t="n">
        <v>5712</v>
      </c>
      <c r="C41" s="18">
        <f>(5033.0/B41*100)</f>
        <v/>
      </c>
      <c r="D41" s="19" t="n">
        <v>679</v>
      </c>
      <c r="E41" s="18" t="n">
        <v>33.80958921</v>
      </c>
      <c r="F41" s="20" t="n">
        <v>1.97964494</v>
      </c>
      <c r="G41" s="18" t="n">
        <v>59.59715666</v>
      </c>
      <c r="H41" s="20" t="n">
        <v>2.19833666</v>
      </c>
      <c r="I41" s="18" t="n">
        <v>0</v>
      </c>
      <c r="J41" s="20" t="n">
        <v>0</v>
      </c>
      <c r="K41" s="18" t="n">
        <v>0.12210029</v>
      </c>
      <c r="L41" s="20" t="n">
        <v>0.13001847</v>
      </c>
      <c r="M41" s="18" t="n">
        <v>0</v>
      </c>
      <c r="N41" s="20" t="n">
        <v>0</v>
      </c>
      <c r="O41" s="18" t="n">
        <v>0</v>
      </c>
      <c r="P41" s="20" t="n">
        <v>0</v>
      </c>
      <c r="Q41" s="18" t="n">
        <v>6.47115385</v>
      </c>
      <c r="R41" s="20" t="n">
        <v>1.12476366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(20529.0/B46*100)</f>
        <v/>
      </c>
      <c r="D46" s="19" t="n">
        <v>2612</v>
      </c>
      <c r="E46" s="18" t="n">
        <v>44.34875934</v>
      </c>
      <c r="F46" s="20" t="n">
        <v>1.51767044</v>
      </c>
      <c r="G46" s="18" t="n">
        <v>38.23221643</v>
      </c>
      <c r="H46" s="20" t="n">
        <v>1.47329697</v>
      </c>
      <c r="I46" s="18" t="n">
        <v>0</v>
      </c>
      <c r="J46" s="20" t="n">
        <v>0</v>
      </c>
      <c r="K46" s="18" t="n">
        <v>0.63940709</v>
      </c>
      <c r="L46" s="20" t="n">
        <v>0.16311174</v>
      </c>
      <c r="M46" s="18" t="n">
        <v>0.49078025</v>
      </c>
      <c r="N46" s="20" t="n">
        <v>0.17132295</v>
      </c>
      <c r="O46" s="18" t="n">
        <v>0</v>
      </c>
      <c r="P46" s="20" t="n">
        <v>0</v>
      </c>
      <c r="Q46" s="18" t="n">
        <v>16.28883689</v>
      </c>
      <c r="R46" s="20" t="n">
        <v>0.99310325</v>
      </c>
    </row>
    <row r="47" spans="1:18">
      <c r="A47" s="15" t="s">
        <v>470</v>
      </c>
      <c r="B47" s="17" t="n">
        <v>5928</v>
      </c>
      <c r="C47" s="18">
        <f>(5205.0/B47*100)</f>
        <v/>
      </c>
      <c r="D47" s="19" t="n">
        <v>723</v>
      </c>
      <c r="E47" s="18" t="n">
        <v>30.72789058</v>
      </c>
      <c r="F47" s="20" t="n">
        <v>1.89513468</v>
      </c>
      <c r="G47" s="18" t="n">
        <v>29.67252724</v>
      </c>
      <c r="H47" s="20" t="n">
        <v>1.87046406</v>
      </c>
      <c r="I47" s="18" t="n">
        <v>0</v>
      </c>
      <c r="J47" s="20" t="n">
        <v>0</v>
      </c>
      <c r="K47" s="18" t="n">
        <v>0.70551847</v>
      </c>
      <c r="L47" s="20" t="n">
        <v>0.37944055</v>
      </c>
      <c r="M47" s="18" t="n">
        <v>0.5624122499999999</v>
      </c>
      <c r="N47" s="20" t="n">
        <v>0.321215</v>
      </c>
      <c r="O47" s="18" t="n">
        <v>0</v>
      </c>
      <c r="P47" s="20" t="n">
        <v>0</v>
      </c>
      <c r="Q47" s="18" t="n">
        <v>38.33165145</v>
      </c>
      <c r="R47" s="20" t="n">
        <v>2.08198395</v>
      </c>
    </row>
    <row r="48" spans="1:18">
      <c r="A48" s="15" t="s">
        <v>471</v>
      </c>
      <c r="B48" s="17" t="n">
        <v>9841</v>
      </c>
      <c r="C48" s="18">
        <f>(8618.0/B48*100)</f>
        <v/>
      </c>
      <c r="D48" s="19" t="n">
        <v>1223</v>
      </c>
      <c r="E48" s="18" t="n">
        <v>15.56813849</v>
      </c>
      <c r="F48" s="20" t="n">
        <v>1.48270979</v>
      </c>
      <c r="G48" s="18" t="n">
        <v>73.86494077</v>
      </c>
      <c r="H48" s="20" t="n">
        <v>1.90207973</v>
      </c>
      <c r="I48" s="18" t="n">
        <v>0</v>
      </c>
      <c r="J48" s="20" t="n">
        <v>0</v>
      </c>
      <c r="K48" s="18" t="n">
        <v>0.20993608</v>
      </c>
      <c r="L48" s="20" t="n">
        <v>0.13164032</v>
      </c>
      <c r="M48" s="18" t="n">
        <v>0</v>
      </c>
      <c r="N48" s="20" t="n">
        <v>0</v>
      </c>
      <c r="O48" s="18" t="n">
        <v>0</v>
      </c>
      <c r="P48" s="20" t="n">
        <v>0</v>
      </c>
      <c r="Q48" s="18" t="n">
        <v>10.35698466</v>
      </c>
      <c r="R48" s="20" t="n">
        <v>1.30947538</v>
      </c>
    </row>
    <row r="49" spans="1:18">
      <c r="A49" s="15" t="s">
        <v>472</v>
      </c>
      <c r="B49" s="17" t="n">
        <v>11795</v>
      </c>
      <c r="C49" s="18">
        <f>(10329.0/B49*100)</f>
        <v/>
      </c>
      <c r="D49" s="19" t="n">
        <v>1466</v>
      </c>
      <c r="E49" s="18" t="n">
        <v>50.3475736</v>
      </c>
      <c r="F49" s="20" t="n">
        <v>1.82423747</v>
      </c>
      <c r="G49" s="18" t="n">
        <v>42.59572136</v>
      </c>
      <c r="H49" s="20" t="n">
        <v>1.75409564</v>
      </c>
      <c r="I49" s="18" t="n">
        <v>0</v>
      </c>
      <c r="J49" s="20" t="n">
        <v>0</v>
      </c>
      <c r="K49" s="18" t="n">
        <v>0.14883834</v>
      </c>
      <c r="L49" s="20" t="n">
        <v>0.12728354</v>
      </c>
      <c r="M49" s="18" t="n">
        <v>0.15224568</v>
      </c>
      <c r="N49" s="20" t="n">
        <v>0.09702324</v>
      </c>
      <c r="O49" s="18" t="n">
        <v>0</v>
      </c>
      <c r="P49" s="20" t="n">
        <v>0</v>
      </c>
      <c r="Q49" s="18" t="n">
        <v>6.75562101</v>
      </c>
      <c r="R49" s="20" t="n">
        <v>0.85174982</v>
      </c>
    </row>
    <row r="50" spans="1:18">
      <c r="A50" s="15" t="s">
        <v>473</v>
      </c>
      <c r="B50" s="17" t="n">
        <v>6866</v>
      </c>
      <c r="C50" s="18">
        <f>(6112.0/B50*100)</f>
        <v/>
      </c>
      <c r="D50" s="19" t="n">
        <v>754</v>
      </c>
      <c r="E50" s="18" t="n">
        <v>55.11122358</v>
      </c>
      <c r="F50" s="20" t="n">
        <v>2.24416777</v>
      </c>
      <c r="G50" s="18" t="n">
        <v>36.45490564</v>
      </c>
      <c r="H50" s="20" t="n">
        <v>2.18925631</v>
      </c>
      <c r="I50" s="18" t="n">
        <v>0</v>
      </c>
      <c r="J50" s="20" t="n">
        <v>0</v>
      </c>
      <c r="K50" s="18" t="n">
        <v>0.14649227</v>
      </c>
      <c r="L50" s="20" t="n">
        <v>0.14693233</v>
      </c>
      <c r="M50" s="18" t="n">
        <v>0</v>
      </c>
      <c r="N50" s="20" t="n">
        <v>0</v>
      </c>
      <c r="O50" s="18" t="n">
        <v>0</v>
      </c>
      <c r="P50" s="20" t="n">
        <v>0</v>
      </c>
      <c r="Q50" s="18" t="n">
        <v>8.28737851</v>
      </c>
      <c r="R50" s="20" t="n">
        <v>0.92406317</v>
      </c>
    </row>
    <row r="51" spans="1:18">
      <c r="A51" s="15" t="s">
        <v>474</v>
      </c>
      <c r="B51" s="17" t="n">
        <v>5809</v>
      </c>
      <c r="C51" s="18">
        <f>(5086.0/B51*100)</f>
        <v/>
      </c>
      <c r="D51" s="19" t="n">
        <v>723</v>
      </c>
      <c r="E51" s="18" t="n">
        <v>32.59744307</v>
      </c>
      <c r="F51" s="20" t="n">
        <v>1.54031719</v>
      </c>
      <c r="G51" s="18" t="n">
        <v>49.39149943</v>
      </c>
      <c r="H51" s="20" t="n">
        <v>1.71644387</v>
      </c>
      <c r="I51" s="18" t="n">
        <v>0</v>
      </c>
      <c r="J51" s="20" t="n">
        <v>0</v>
      </c>
      <c r="K51" s="18" t="n">
        <v>0.17437583</v>
      </c>
      <c r="L51" s="20" t="n">
        <v>0.1760029</v>
      </c>
      <c r="M51" s="18" t="n">
        <v>0</v>
      </c>
      <c r="N51" s="20" t="n">
        <v>0</v>
      </c>
      <c r="O51" s="18" t="n">
        <v>0</v>
      </c>
      <c r="P51" s="20" t="n">
        <v>0</v>
      </c>
      <c r="Q51" s="18" t="n">
        <v>17.83668167</v>
      </c>
      <c r="R51" s="20" t="n">
        <v>1.43647796</v>
      </c>
    </row>
    <row r="52" spans="1:18">
      <c r="A52" s="15" t="s">
        <v>475</v>
      </c>
      <c r="B52" s="17" t="n">
        <v>5571</v>
      </c>
      <c r="C52" s="18">
        <f>(4894.0/B52*100)</f>
        <v/>
      </c>
      <c r="D52" s="19" t="n">
        <v>677</v>
      </c>
      <c r="E52" s="18" t="n">
        <v>36.72164837</v>
      </c>
      <c r="F52" s="20" t="n">
        <v>1.77147183</v>
      </c>
      <c r="G52" s="18" t="n">
        <v>26.66074951</v>
      </c>
      <c r="H52" s="20" t="n">
        <v>1.75046316</v>
      </c>
      <c r="I52" s="18" t="n">
        <v>0</v>
      </c>
      <c r="J52" s="20" t="n">
        <v>0</v>
      </c>
      <c r="K52" s="18" t="n">
        <v>0.19441853</v>
      </c>
      <c r="L52" s="20" t="n">
        <v>0.19342397</v>
      </c>
      <c r="M52" s="18" t="n">
        <v>0</v>
      </c>
      <c r="N52" s="20" t="n">
        <v>0</v>
      </c>
      <c r="O52" s="18" t="n">
        <v>0</v>
      </c>
      <c r="P52" s="20" t="n">
        <v>0</v>
      </c>
      <c r="Q52" s="18" t="n">
        <v>36.42318359</v>
      </c>
      <c r="R52" s="20" t="n">
        <v>2.03275842</v>
      </c>
    </row>
    <row r="53" spans="1:18">
      <c r="A53" s="15" t="s">
        <v>476</v>
      </c>
      <c r="B53" s="17" t="n">
        <v>4740</v>
      </c>
      <c r="C53" s="18">
        <f>(3972.0/B53*100)</f>
        <v/>
      </c>
      <c r="D53" s="19" t="n">
        <v>768</v>
      </c>
      <c r="E53" s="18" t="n">
        <v>37.98056929</v>
      </c>
      <c r="F53" s="20" t="n">
        <v>1.88320866</v>
      </c>
      <c r="G53" s="18" t="n">
        <v>22.88450364</v>
      </c>
      <c r="H53" s="20" t="n">
        <v>1.56613892</v>
      </c>
      <c r="I53" s="18" t="n">
        <v>0</v>
      </c>
      <c r="J53" s="20" t="n">
        <v>0</v>
      </c>
      <c r="K53" s="18" t="n">
        <v>3.33574099</v>
      </c>
      <c r="L53" s="20" t="n">
        <v>0.90766775</v>
      </c>
      <c r="M53" s="18" t="n">
        <v>0.5297485</v>
      </c>
      <c r="N53" s="20" t="n">
        <v>0.41199128</v>
      </c>
      <c r="O53" s="18" t="n">
        <v>0</v>
      </c>
      <c r="P53" s="20" t="n">
        <v>0</v>
      </c>
      <c r="Q53" s="18" t="n">
        <v>35.26943759</v>
      </c>
      <c r="R53" s="20" t="n">
        <v>2.22059635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20.54923665</v>
      </c>
      <c r="F55" s="20" t="n">
        <v>1.52960368</v>
      </c>
      <c r="G55" s="18" t="n">
        <v>71.09563009</v>
      </c>
      <c r="H55" s="20" t="n">
        <v>1.66069663</v>
      </c>
      <c r="I55" s="18" t="n">
        <v>0</v>
      </c>
      <c r="J55" s="20" t="n">
        <v>0</v>
      </c>
      <c r="K55" s="18" t="n">
        <v>0</v>
      </c>
      <c r="L55" s="20" t="n">
        <v>0</v>
      </c>
      <c r="M55" s="18" t="n">
        <v>3.64233292</v>
      </c>
      <c r="N55" s="20" t="n">
        <v>1.26419523</v>
      </c>
      <c r="O55" s="18" t="n">
        <v>0</v>
      </c>
      <c r="P55" s="20" t="n">
        <v>0</v>
      </c>
      <c r="Q55" s="18" t="n">
        <v>4.71280034</v>
      </c>
      <c r="R55" s="20" t="n">
        <v>0.81116963</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(5703.0/B61*100)</f>
        <v/>
      </c>
      <c r="D61" s="19" t="n">
        <v>822</v>
      </c>
      <c r="E61" s="18" t="n">
        <v>32.33555174</v>
      </c>
      <c r="F61" s="20" t="n">
        <v>1.91475929</v>
      </c>
      <c r="G61" s="18" t="n">
        <v>46.2855444</v>
      </c>
      <c r="H61" s="20" t="n">
        <v>2.23543093</v>
      </c>
      <c r="I61" s="18" t="n">
        <v>0</v>
      </c>
      <c r="J61" s="20" t="n">
        <v>0</v>
      </c>
      <c r="K61" s="18" t="n">
        <v>0.32925431</v>
      </c>
      <c r="L61" s="20" t="n">
        <v>0.19321535</v>
      </c>
      <c r="M61" s="18" t="n">
        <v>0.30758759</v>
      </c>
      <c r="N61" s="20" t="n">
        <v>0.19610199</v>
      </c>
      <c r="O61" s="18" t="n">
        <v>0</v>
      </c>
      <c r="P61" s="20" t="n">
        <v>0</v>
      </c>
      <c r="Q61" s="18" t="n">
        <v>20.74206195</v>
      </c>
      <c r="R61" s="20" t="n">
        <v>1.65092375</v>
      </c>
    </row>
    <row r="62" spans="1:18">
      <c r="A62" s="15" t="s">
        <v>486</v>
      </c>
      <c r="B62" s="17" t="n">
        <v>4476</v>
      </c>
      <c r="C62" s="18">
        <f>(3938.0/B62*100)</f>
        <v/>
      </c>
      <c r="D62" s="19" t="n">
        <v>538</v>
      </c>
      <c r="E62" s="18" t="n">
        <v>21.02423766</v>
      </c>
      <c r="F62" s="20" t="n">
        <v>1.69367164</v>
      </c>
      <c r="G62" s="18" t="n">
        <v>75.03641699000001</v>
      </c>
      <c r="H62" s="20" t="n">
        <v>1.62938518</v>
      </c>
      <c r="I62" s="18" t="n">
        <v>0</v>
      </c>
      <c r="J62" s="20" t="n">
        <v>0</v>
      </c>
      <c r="K62" s="18" t="n">
        <v>0.18461652</v>
      </c>
      <c r="L62" s="20" t="n">
        <v>0.18615073</v>
      </c>
      <c r="M62" s="18" t="n">
        <v>0.18461652</v>
      </c>
      <c r="N62" s="20" t="n">
        <v>0.18596128</v>
      </c>
      <c r="O62" s="18" t="n">
        <v>0</v>
      </c>
      <c r="P62" s="20" t="n">
        <v>0</v>
      </c>
      <c r="Q62" s="18" t="n">
        <v>3.57011232</v>
      </c>
      <c r="R62" s="20" t="n">
        <v>0.88917303</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(4984.0/B67*100)</f>
        <v/>
      </c>
      <c r="D67" s="19" t="n">
        <v>681</v>
      </c>
      <c r="E67" s="18" t="n">
        <v>25.43101692</v>
      </c>
      <c r="F67" s="20" t="n">
        <v>1.76577719</v>
      </c>
      <c r="G67" s="18" t="n">
        <v>39.74064296</v>
      </c>
      <c r="H67" s="20" t="n">
        <v>1.93922904</v>
      </c>
      <c r="I67" s="18" t="n">
        <v>0</v>
      </c>
      <c r="J67" s="20" t="n">
        <v>0</v>
      </c>
      <c r="K67" s="18" t="n">
        <v>0.41924811</v>
      </c>
      <c r="L67" s="20" t="n">
        <v>0.24539927</v>
      </c>
      <c r="M67" s="18" t="n">
        <v>0.54513468</v>
      </c>
      <c r="N67" s="20" t="n">
        <v>0.26886941</v>
      </c>
      <c r="O67" s="18" t="n">
        <v>0</v>
      </c>
      <c r="P67" s="20" t="n">
        <v>0</v>
      </c>
      <c r="Q67" s="18" t="n">
        <v>33.86395733</v>
      </c>
      <c r="R67" s="20" t="n">
        <v>1.80912718</v>
      </c>
    </row>
    <row r="68" spans="1:18">
      <c r="A68" s="15" t="s">
        <v>492</v>
      </c>
      <c r="B68" s="17" t="n">
        <v>6971</v>
      </c>
      <c r="C68" s="18">
        <f>(6161.0/B68*100)</f>
        <v/>
      </c>
      <c r="D68" s="19" t="n">
        <v>810</v>
      </c>
      <c r="E68" s="18" t="n">
        <v>56.58583287</v>
      </c>
      <c r="F68" s="20" t="n">
        <v>1.6108117</v>
      </c>
      <c r="G68" s="18" t="n">
        <v>29.83651155</v>
      </c>
      <c r="H68" s="20" t="n">
        <v>1.53162841</v>
      </c>
      <c r="I68" s="18" t="n">
        <v>0</v>
      </c>
      <c r="J68" s="20" t="n">
        <v>0</v>
      </c>
      <c r="K68" s="18" t="n">
        <v>0</v>
      </c>
      <c r="L68" s="20" t="n">
        <v>0</v>
      </c>
      <c r="M68" s="18" t="n">
        <v>0.25831479</v>
      </c>
      <c r="N68" s="20" t="n">
        <v>0.1830153</v>
      </c>
      <c r="O68" s="18" t="n">
        <v>0</v>
      </c>
      <c r="P68" s="20" t="n">
        <v>0</v>
      </c>
      <c r="Q68" s="18" t="n">
        <v>13.31934079</v>
      </c>
      <c r="R68" s="20" t="n">
        <v>1.31219563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48.38901585</v>
      </c>
      <c r="F70" s="20" t="n">
        <v>0.95589493</v>
      </c>
      <c r="G70" s="18" t="n">
        <v>33.57967155</v>
      </c>
      <c r="H70" s="20" t="n">
        <v>1.07641886</v>
      </c>
      <c r="I70" s="18" t="n">
        <v>0</v>
      </c>
      <c r="J70" s="20" t="n">
        <v>0</v>
      </c>
      <c r="K70" s="18" t="n">
        <v>1.14689243</v>
      </c>
      <c r="L70" s="20" t="n">
        <v>0.26131914</v>
      </c>
      <c r="M70" s="18" t="n">
        <v>0.04916004</v>
      </c>
      <c r="N70" s="20" t="n">
        <v>0.04915546</v>
      </c>
      <c r="O70" s="18" t="n">
        <v>0</v>
      </c>
      <c r="P70" s="20" t="n">
        <v>0</v>
      </c>
      <c r="Q70" s="18" t="n">
        <v>16.83526012</v>
      </c>
      <c r="R70" s="20" t="n">
        <v>0.84065414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(5306.0/B72*100)</f>
        <v/>
      </c>
      <c r="D72" s="19" t="n">
        <v>730</v>
      </c>
      <c r="E72" s="18" t="n">
        <v>26.28893838</v>
      </c>
      <c r="F72" s="20" t="n">
        <v>1.69211438</v>
      </c>
      <c r="G72" s="18" t="n">
        <v>65.43228361</v>
      </c>
      <c r="H72" s="20" t="n">
        <v>2.00456193</v>
      </c>
      <c r="I72" s="18" t="n">
        <v>0</v>
      </c>
      <c r="J72" s="20" t="n">
        <v>0</v>
      </c>
      <c r="K72" s="18" t="n">
        <v>0</v>
      </c>
      <c r="L72" s="20" t="n">
        <v>0</v>
      </c>
      <c r="M72" s="18" t="n">
        <v>0.05921648</v>
      </c>
      <c r="N72" s="20" t="n">
        <v>0.05942104</v>
      </c>
      <c r="O72" s="18" t="n">
        <v>0</v>
      </c>
      <c r="P72" s="20" t="n">
        <v>0</v>
      </c>
      <c r="Q72" s="18" t="n">
        <v>8.219561540000001</v>
      </c>
      <c r="R72" s="20" t="n">
        <v>1.17579774</v>
      </c>
    </row>
    <row r="73" spans="1:18">
      <c r="A73" s="15" t="s">
        <v>497</v>
      </c>
      <c r="B73" s="17" t="n">
        <v>6115</v>
      </c>
      <c r="C73" s="18">
        <f>(5371.0/B73*100)</f>
        <v/>
      </c>
      <c r="D73" s="19" t="n">
        <v>744</v>
      </c>
      <c r="E73" s="18" t="n">
        <v>26.51347819</v>
      </c>
      <c r="F73" s="20" t="n">
        <v>1.74711812</v>
      </c>
      <c r="G73" s="18" t="n">
        <v>66.83340123000001</v>
      </c>
      <c r="H73" s="20" t="n">
        <v>1.85044339</v>
      </c>
      <c r="I73" s="18" t="n">
        <v>0</v>
      </c>
      <c r="J73" s="20" t="n">
        <v>0</v>
      </c>
      <c r="K73" s="18" t="n">
        <v>0.45219727</v>
      </c>
      <c r="L73" s="20" t="n">
        <v>0.14558784</v>
      </c>
      <c r="M73" s="18" t="n">
        <v>0.07064096</v>
      </c>
      <c r="N73" s="20" t="n">
        <v>0.0717194</v>
      </c>
      <c r="O73" s="18" t="n">
        <v>0</v>
      </c>
      <c r="P73" s="20" t="n">
        <v>0</v>
      </c>
      <c r="Q73" s="18" t="n">
        <v>6.13028234</v>
      </c>
      <c r="R73" s="20" t="n">
        <v>0.93786766</v>
      </c>
    </row>
    <row r="74" spans="1:18">
      <c r="A74" s="15" t="s">
        <v>498</v>
      </c>
      <c r="B74" s="17" t="n">
        <v>7708</v>
      </c>
      <c r="C74" s="18">
        <f>(6745.0/B74*100)</f>
        <v/>
      </c>
      <c r="D74" s="19" t="n">
        <v>963</v>
      </c>
      <c r="E74" s="18" t="n">
        <v>34.68166033</v>
      </c>
      <c r="F74" s="20" t="n">
        <v>1.54840733</v>
      </c>
      <c r="G74" s="18" t="n">
        <v>55.10894443</v>
      </c>
      <c r="H74" s="20" t="n">
        <v>1.75057309</v>
      </c>
      <c r="I74" s="18" t="n">
        <v>0</v>
      </c>
      <c r="J74" s="20" t="n">
        <v>0</v>
      </c>
      <c r="K74" s="18" t="n">
        <v>0.05250165</v>
      </c>
      <c r="L74" s="20" t="n">
        <v>0.05280842</v>
      </c>
      <c r="M74" s="18" t="n">
        <v>0.13529988</v>
      </c>
      <c r="N74" s="20" t="n">
        <v>0.13567856</v>
      </c>
      <c r="O74" s="18" t="n">
        <v>0</v>
      </c>
      <c r="P74" s="20" t="n">
        <v>0</v>
      </c>
      <c r="Q74" s="18" t="n">
        <v>10.02159371</v>
      </c>
      <c r="R74" s="20" t="n">
        <v>1.03076923</v>
      </c>
    </row>
    <row r="75" spans="1:18">
      <c r="A75" s="15" t="s">
        <v>499</v>
      </c>
      <c r="B75" s="17" t="n">
        <v>8249</v>
      </c>
      <c r="C75" s="18">
        <f>(7213.0/B75*100)</f>
        <v/>
      </c>
      <c r="D75" s="19" t="n">
        <v>1036</v>
      </c>
      <c r="E75" s="18" t="n">
        <v>63.50450806</v>
      </c>
      <c r="F75" s="20" t="n">
        <v>1.73930564</v>
      </c>
      <c r="G75" s="18" t="n">
        <v>32.66254866</v>
      </c>
      <c r="H75" s="20" t="n">
        <v>1.71990304</v>
      </c>
      <c r="I75" s="18" t="n">
        <v>0</v>
      </c>
      <c r="J75" s="20" t="n">
        <v>0</v>
      </c>
      <c r="K75" s="18" t="n">
        <v>0</v>
      </c>
      <c r="L75" s="20" t="n">
        <v>0</v>
      </c>
      <c r="M75" s="18" t="n">
        <v>0.2384062</v>
      </c>
      <c r="N75" s="20" t="n">
        <v>0.21208563</v>
      </c>
      <c r="O75" s="18" t="n">
        <v>0</v>
      </c>
      <c r="P75" s="20" t="n">
        <v>0</v>
      </c>
      <c r="Q75" s="18" t="n">
        <v>3.59453708</v>
      </c>
      <c r="R75" s="20" t="n">
        <v>0.78265188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(4772.0/B77*100)</f>
        <v/>
      </c>
      <c r="D77" s="19" t="n">
        <v>603</v>
      </c>
      <c r="E77" s="18" t="n">
        <v>25.67139565</v>
      </c>
      <c r="F77" s="20" t="n">
        <v>1.87867787</v>
      </c>
      <c r="G77" s="18" t="n">
        <v>51.42397817</v>
      </c>
      <c r="H77" s="20" t="n">
        <v>2.33466186</v>
      </c>
      <c r="I77" s="18" t="n">
        <v>0</v>
      </c>
      <c r="J77" s="20" t="n">
        <v>0</v>
      </c>
      <c r="K77" s="18" t="n">
        <v>0.80539017</v>
      </c>
      <c r="L77" s="20" t="n">
        <v>0.34749873</v>
      </c>
      <c r="M77" s="18" t="n">
        <v>0.82479723</v>
      </c>
      <c r="N77" s="20" t="n">
        <v>0.41890208</v>
      </c>
      <c r="O77" s="18" t="n">
        <v>0</v>
      </c>
      <c r="P77" s="20" t="n">
        <v>0</v>
      </c>
      <c r="Q77" s="18" t="n">
        <v>21.27443878</v>
      </c>
      <c r="R77" s="20" t="n">
        <v>2.02096006</v>
      </c>
    </row>
    <row r="78" spans="1:18">
      <c r="A78" s="15" t="s">
        <v>502</v>
      </c>
      <c r="B78" s="17" t="n">
        <v>14167</v>
      </c>
      <c r="C78" s="18">
        <f>(12477.0/B78*100)</f>
        <v/>
      </c>
      <c r="D78" s="19" t="n">
        <v>1690</v>
      </c>
      <c r="E78" s="18" t="n">
        <v>46.1331124</v>
      </c>
      <c r="F78" s="20" t="n">
        <v>1.62809672</v>
      </c>
      <c r="G78" s="18" t="n">
        <v>35.71955699</v>
      </c>
      <c r="H78" s="20" t="n">
        <v>1.5583594</v>
      </c>
      <c r="I78" s="18" t="n">
        <v>0</v>
      </c>
      <c r="J78" s="20" t="n">
        <v>0</v>
      </c>
      <c r="K78" s="18" t="n">
        <v>0.6555874</v>
      </c>
      <c r="L78" s="20" t="n">
        <v>0.2252505</v>
      </c>
      <c r="M78" s="18" t="n">
        <v>0.62686088</v>
      </c>
      <c r="N78" s="20" t="n">
        <v>0.34876972</v>
      </c>
      <c r="O78" s="18" t="n">
        <v>0</v>
      </c>
      <c r="P78" s="20" t="n">
        <v>0</v>
      </c>
      <c r="Q78" s="18" t="n">
        <v>16.86488233</v>
      </c>
      <c r="R78" s="20" t="n">
        <v>1.58099442</v>
      </c>
    </row>
    <row r="79" spans="1:18">
      <c r="A79" s="15" t="s">
        <v>503</v>
      </c>
      <c r="B79" s="17" t="n">
        <v>6062</v>
      </c>
      <c r="C79" s="18">
        <f>(5317.0/B79*100)</f>
        <v/>
      </c>
      <c r="D79" s="19" t="n">
        <v>745</v>
      </c>
      <c r="E79" s="18" t="n">
        <v>31.99606399</v>
      </c>
      <c r="F79" s="20" t="n">
        <v>1.60809443</v>
      </c>
      <c r="G79" s="18" t="n">
        <v>40.43509735</v>
      </c>
      <c r="H79" s="20" t="n">
        <v>2.27037493</v>
      </c>
      <c r="I79" s="18" t="n">
        <v>0</v>
      </c>
      <c r="J79" s="20" t="n">
        <v>0</v>
      </c>
      <c r="K79" s="18" t="n">
        <v>0.54588273</v>
      </c>
      <c r="L79" s="20" t="n">
        <v>0.3206662</v>
      </c>
      <c r="M79" s="18" t="n">
        <v>0.14550643</v>
      </c>
      <c r="N79" s="20" t="n">
        <v>0.15118125</v>
      </c>
      <c r="O79" s="18" t="n">
        <v>0</v>
      </c>
      <c r="P79" s="20" t="n">
        <v>0</v>
      </c>
      <c r="Q79" s="18" t="n">
        <v>26.8774495</v>
      </c>
      <c r="R79" s="20" t="n">
        <v>1.77815341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(28307.0/B82*100)</f>
        <v/>
      </c>
      <c r="D82" s="19" t="n">
        <v>4023</v>
      </c>
      <c r="E82" s="18" t="n">
        <v>30.1736715</v>
      </c>
      <c r="F82" s="20" t="n">
        <v>1.06721965</v>
      </c>
      <c r="G82" s="18" t="n">
        <v>53.68544956</v>
      </c>
      <c r="H82" s="20" t="n">
        <v>1.20633925</v>
      </c>
      <c r="I82" s="18" t="n">
        <v>0</v>
      </c>
      <c r="J82" s="20" t="n">
        <v>0</v>
      </c>
      <c r="K82" s="18" t="n">
        <v>0.10803753</v>
      </c>
      <c r="L82" s="20" t="n">
        <v>0.04073031</v>
      </c>
      <c r="M82" s="18" t="n">
        <v>0.18958335</v>
      </c>
      <c r="N82" s="20" t="n">
        <v>0.18919929</v>
      </c>
      <c r="O82" s="18" t="n">
        <v>0</v>
      </c>
      <c r="P82" s="20" t="n">
        <v>0</v>
      </c>
      <c r="Q82" s="18" t="n">
        <v>15.84325806</v>
      </c>
      <c r="R82" s="20" t="n">
        <v>0.99868418</v>
      </c>
    </row>
    <row r="83" spans="1:18">
      <c r="A83" s="15" t="s">
        <v>507</v>
      </c>
      <c r="B83" s="17" t="n">
        <v>1652</v>
      </c>
      <c r="C83" s="18">
        <f>(1459.0/B83*100)</f>
        <v/>
      </c>
      <c r="D83" s="19" t="n">
        <v>193</v>
      </c>
      <c r="E83" s="18" t="n">
        <v>31.49254825</v>
      </c>
      <c r="F83" s="20" t="n">
        <v>3.41522324</v>
      </c>
      <c r="G83" s="18" t="n">
        <v>66.4571428</v>
      </c>
      <c r="H83" s="20" t="n">
        <v>3.39960233</v>
      </c>
      <c r="I83" s="18" t="n">
        <v>0</v>
      </c>
      <c r="J83" s="20" t="n">
        <v>0</v>
      </c>
      <c r="K83" s="18" t="n">
        <v>0</v>
      </c>
      <c r="L83" s="20" t="n">
        <v>0</v>
      </c>
      <c r="M83" s="18" t="n">
        <v>0</v>
      </c>
      <c r="N83" s="20" t="n">
        <v>0</v>
      </c>
      <c r="O83" s="18" t="n">
        <v>0</v>
      </c>
      <c r="P83" s="20" t="n">
        <v>0</v>
      </c>
      <c r="Q83" s="18" t="n">
        <v>2.05030895</v>
      </c>
      <c r="R83" s="20" t="n">
        <v>1.01134501</v>
      </c>
    </row>
    <row r="84" spans="1:18">
      <c r="A84" s="23" t="s">
        <v>508</v>
      </c>
      <c r="B84" s="24" t="n">
        <v>1887</v>
      </c>
      <c r="C84" s="25">
        <f>(1658.0/B84*100)</f>
        <v/>
      </c>
      <c r="D84" s="19" t="n">
        <v>229</v>
      </c>
      <c r="E84" s="18" t="n">
        <v>37.8371053</v>
      </c>
      <c r="F84" s="20" t="n">
        <v>3.06816893</v>
      </c>
      <c r="G84" s="18" t="n">
        <v>54.81967441</v>
      </c>
      <c r="H84" s="20" t="n">
        <v>3.00893176</v>
      </c>
      <c r="I84" s="18" t="n">
        <v>0</v>
      </c>
      <c r="J84" s="20" t="n">
        <v>0</v>
      </c>
      <c r="K84" s="18" t="n">
        <v>0</v>
      </c>
      <c r="L84" s="20" t="n">
        <v>0</v>
      </c>
      <c r="M84" s="18" t="n">
        <v>0</v>
      </c>
      <c r="N84" s="20" t="n">
        <v>0</v>
      </c>
      <c r="O84" s="18" t="n">
        <v>0</v>
      </c>
      <c r="P84" s="20" t="n">
        <v>0</v>
      </c>
      <c r="Q84" s="18" t="n">
        <v>7.34322029</v>
      </c>
      <c r="R84" s="20" t="n">
        <v>2.43845535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539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(12766.0/B7*100)</f>
        <v/>
      </c>
      <c r="D7" s="19" t="n">
        <v>1764</v>
      </c>
      <c r="E7" s="18" t="n">
        <v>15.42009389</v>
      </c>
      <c r="F7" s="20" t="n">
        <v>0.92602423</v>
      </c>
      <c r="G7" s="18" t="n">
        <v>78.45472789999999</v>
      </c>
      <c r="H7" s="20" t="n">
        <v>1.16402191</v>
      </c>
      <c r="I7" s="18" t="n">
        <v>0</v>
      </c>
      <c r="J7" s="20" t="n">
        <v>0</v>
      </c>
      <c r="K7" s="18" t="n">
        <v>0.18877044</v>
      </c>
      <c r="L7" s="20" t="n">
        <v>0.0863955</v>
      </c>
      <c r="M7" s="18" t="n">
        <v>0.0324873</v>
      </c>
      <c r="N7" s="20" t="n">
        <v>0.02142622</v>
      </c>
      <c r="O7" s="18" t="n">
        <v>0</v>
      </c>
      <c r="P7" s="20" t="n">
        <v>0</v>
      </c>
      <c r="Q7" s="18" t="n">
        <v>5.90392047</v>
      </c>
      <c r="R7" s="20" t="n">
        <v>0.70961385</v>
      </c>
    </row>
    <row r="8" spans="1:18">
      <c r="A8" s="15" t="s">
        <v>430</v>
      </c>
      <c r="B8" s="17" t="n">
        <v>7007</v>
      </c>
      <c r="C8" s="18">
        <f>(6175.0/B8*100)</f>
        <v/>
      </c>
      <c r="D8" s="19" t="n">
        <v>832</v>
      </c>
      <c r="E8" s="18" t="n">
        <v>18.39367498</v>
      </c>
      <c r="F8" s="20" t="n">
        <v>1.42192298</v>
      </c>
      <c r="G8" s="18" t="n">
        <v>75.85916625</v>
      </c>
      <c r="H8" s="20" t="n">
        <v>1.75164366</v>
      </c>
      <c r="I8" s="18" t="n">
        <v>0</v>
      </c>
      <c r="J8" s="20" t="n">
        <v>0</v>
      </c>
      <c r="K8" s="18" t="n">
        <v>0.23780197</v>
      </c>
      <c r="L8" s="20" t="n">
        <v>0.14198347</v>
      </c>
      <c r="M8" s="18" t="n">
        <v>0</v>
      </c>
      <c r="N8" s="20" t="n">
        <v>0</v>
      </c>
      <c r="O8" s="18" t="n">
        <v>0</v>
      </c>
      <c r="P8" s="20" t="n">
        <v>0</v>
      </c>
      <c r="Q8" s="18" t="n">
        <v>5.5093568</v>
      </c>
      <c r="R8" s="20" t="n">
        <v>1.01887177</v>
      </c>
    </row>
    <row r="9" spans="1:18">
      <c r="A9" s="15" t="s">
        <v>431</v>
      </c>
      <c r="B9" s="17" t="n">
        <v>9651</v>
      </c>
      <c r="C9" s="18">
        <f>(8504.0/B9*100)</f>
        <v/>
      </c>
      <c r="D9" s="19" t="n">
        <v>1147</v>
      </c>
      <c r="E9" s="18" t="n">
        <v>17.04867785</v>
      </c>
      <c r="F9" s="20" t="n">
        <v>1.21622913</v>
      </c>
      <c r="G9" s="18" t="n">
        <v>75.53217753</v>
      </c>
      <c r="H9" s="20" t="n">
        <v>1.87314733</v>
      </c>
      <c r="I9" s="18" t="n">
        <v>0</v>
      </c>
      <c r="J9" s="20" t="n">
        <v>0</v>
      </c>
      <c r="K9" s="18" t="n">
        <v>0.07820233</v>
      </c>
      <c r="L9" s="20" t="n">
        <v>0.07557224999999999</v>
      </c>
      <c r="M9" s="18" t="n">
        <v>0.22926806</v>
      </c>
      <c r="N9" s="20" t="n">
        <v>0.13248843</v>
      </c>
      <c r="O9" s="18" t="n">
        <v>0</v>
      </c>
      <c r="P9" s="20" t="n">
        <v>0</v>
      </c>
      <c r="Q9" s="18" t="n">
        <v>7.11167423</v>
      </c>
      <c r="R9" s="20" t="n">
        <v>1.31309607</v>
      </c>
    </row>
    <row r="10" spans="1:18">
      <c r="A10" s="15" t="s">
        <v>432</v>
      </c>
      <c r="B10" s="17" t="n">
        <v>20058</v>
      </c>
      <c r="C10" s="18">
        <f>(17591.0/B10*100)</f>
        <v/>
      </c>
      <c r="D10" s="19" t="n">
        <v>2467</v>
      </c>
      <c r="E10" s="18" t="n">
        <v>15.12753249</v>
      </c>
      <c r="F10" s="20" t="n">
        <v>0.95048386</v>
      </c>
      <c r="G10" s="18" t="n">
        <v>80.76191414</v>
      </c>
      <c r="H10" s="20" t="n">
        <v>1.12169929</v>
      </c>
      <c r="I10" s="18" t="n">
        <v>0</v>
      </c>
      <c r="J10" s="20" t="n">
        <v>0</v>
      </c>
      <c r="K10" s="18" t="n">
        <v>0.35736367</v>
      </c>
      <c r="L10" s="20" t="n">
        <v>0.16296339</v>
      </c>
      <c r="M10" s="18" t="n">
        <v>0.08197297000000001</v>
      </c>
      <c r="N10" s="20" t="n">
        <v>0.08315306</v>
      </c>
      <c r="O10" s="18" t="n">
        <v>0</v>
      </c>
      <c r="P10" s="20" t="n">
        <v>0</v>
      </c>
      <c r="Q10" s="18" t="n">
        <v>3.67121673</v>
      </c>
      <c r="R10" s="20" t="n">
        <v>0.52250174</v>
      </c>
    </row>
    <row r="11" spans="1:18">
      <c r="A11" s="15" t="s">
        <v>433</v>
      </c>
      <c r="B11" s="17" t="n">
        <v>7053</v>
      </c>
      <c r="C11" s="18">
        <f>(6181.0/B11*100)</f>
        <v/>
      </c>
      <c r="D11" s="19" t="n">
        <v>872</v>
      </c>
      <c r="E11" s="18" t="n">
        <v>26.58604785</v>
      </c>
      <c r="F11" s="20" t="n">
        <v>1.58400338</v>
      </c>
      <c r="G11" s="18" t="n">
        <v>67.42398600999999</v>
      </c>
      <c r="H11" s="20" t="n">
        <v>1.61909874</v>
      </c>
      <c r="I11" s="18" t="n">
        <v>0</v>
      </c>
      <c r="J11" s="20" t="n">
        <v>0</v>
      </c>
      <c r="K11" s="18" t="n">
        <v>0.34390113</v>
      </c>
      <c r="L11" s="20" t="n">
        <v>0.34382761</v>
      </c>
      <c r="M11" s="18" t="n">
        <v>0.05054947</v>
      </c>
      <c r="N11" s="20" t="n">
        <v>0.05514223</v>
      </c>
      <c r="O11" s="18" t="n">
        <v>0</v>
      </c>
      <c r="P11" s="20" t="n">
        <v>0</v>
      </c>
      <c r="Q11" s="18" t="n">
        <v>5.59551554</v>
      </c>
      <c r="R11" s="20" t="n">
        <v>0.76595874</v>
      </c>
    </row>
    <row r="12" spans="1:18">
      <c r="A12" s="15" t="s">
        <v>434</v>
      </c>
      <c r="B12" s="17" t="n">
        <v>6894</v>
      </c>
      <c r="C12" s="18">
        <f>(6045.0/B12*100)</f>
        <v/>
      </c>
      <c r="D12" s="19" t="n">
        <v>849</v>
      </c>
      <c r="E12" s="18" t="n">
        <v>22.05656199</v>
      </c>
      <c r="F12" s="20" t="n">
        <v>1.75479611</v>
      </c>
      <c r="G12" s="18" t="n">
        <v>69.73937567999999</v>
      </c>
      <c r="H12" s="20" t="n">
        <v>2.23797183</v>
      </c>
      <c r="I12" s="18" t="n">
        <v>0</v>
      </c>
      <c r="J12" s="20" t="n">
        <v>0</v>
      </c>
      <c r="K12" s="18" t="n">
        <v>0.09169405</v>
      </c>
      <c r="L12" s="20" t="n">
        <v>0.13085354</v>
      </c>
      <c r="M12" s="18" t="n">
        <v>0.0704043</v>
      </c>
      <c r="N12" s="20" t="n">
        <v>0.09401838</v>
      </c>
      <c r="O12" s="18" t="n">
        <v>0</v>
      </c>
      <c r="P12" s="20" t="n">
        <v>0</v>
      </c>
      <c r="Q12" s="18" t="n">
        <v>8.041963969999999</v>
      </c>
      <c r="R12" s="20" t="n">
        <v>1.36599886</v>
      </c>
    </row>
    <row r="13" spans="1:18">
      <c r="A13" s="15" t="s">
        <v>435</v>
      </c>
      <c r="B13" s="17" t="n">
        <v>7161</v>
      </c>
      <c r="C13" s="18">
        <f>(6328.0/B13*100)</f>
        <v/>
      </c>
      <c r="D13" s="19" t="n">
        <v>833</v>
      </c>
      <c r="E13" s="18" t="n">
        <v>12.20049504</v>
      </c>
      <c r="F13" s="20" t="n">
        <v>1.24067225</v>
      </c>
      <c r="G13" s="18" t="n">
        <v>67.56497932000001</v>
      </c>
      <c r="H13" s="20" t="n">
        <v>2.47949326</v>
      </c>
      <c r="I13" s="18" t="n">
        <v>0</v>
      </c>
      <c r="J13" s="20" t="n">
        <v>0</v>
      </c>
      <c r="K13" s="18" t="n">
        <v>0.90718983</v>
      </c>
      <c r="L13" s="20" t="n">
        <v>0.45983378</v>
      </c>
      <c r="M13" s="18" t="n">
        <v>0.14834879</v>
      </c>
      <c r="N13" s="20" t="n">
        <v>0.09581272</v>
      </c>
      <c r="O13" s="18" t="n">
        <v>0</v>
      </c>
      <c r="P13" s="20" t="n">
        <v>0</v>
      </c>
      <c r="Q13" s="18" t="n">
        <v>19.17898702</v>
      </c>
      <c r="R13" s="20" t="n">
        <v>2.172177</v>
      </c>
    </row>
    <row r="14" spans="1:18">
      <c r="A14" s="15" t="s">
        <v>436</v>
      </c>
      <c r="B14" s="17" t="n">
        <v>5587</v>
      </c>
      <c r="C14" s="18">
        <f>(4913.0/B14*100)</f>
        <v/>
      </c>
      <c r="D14" s="19" t="n">
        <v>674</v>
      </c>
      <c r="E14" s="18" t="n">
        <v>22.29942186</v>
      </c>
      <c r="F14" s="20" t="n">
        <v>1.968949</v>
      </c>
      <c r="G14" s="18" t="n">
        <v>68.94728397999999</v>
      </c>
      <c r="H14" s="20" t="n">
        <v>2.34817737</v>
      </c>
      <c r="I14" s="18" t="n">
        <v>0</v>
      </c>
      <c r="J14" s="20" t="n">
        <v>0</v>
      </c>
      <c r="K14" s="18" t="n">
        <v>0.11944909</v>
      </c>
      <c r="L14" s="20" t="n">
        <v>0.12579348</v>
      </c>
      <c r="M14" s="18" t="n">
        <v>0</v>
      </c>
      <c r="N14" s="20" t="n">
        <v>0</v>
      </c>
      <c r="O14" s="18" t="n">
        <v>0</v>
      </c>
      <c r="P14" s="20" t="n">
        <v>0</v>
      </c>
      <c r="Q14" s="18" t="n">
        <v>8.63384508</v>
      </c>
      <c r="R14" s="20" t="n">
        <v>1.71767219</v>
      </c>
    </row>
    <row r="15" spans="1:18">
      <c r="A15" s="15" t="s">
        <v>437</v>
      </c>
      <c r="B15" s="17" t="n">
        <v>5882</v>
      </c>
      <c r="C15" s="18">
        <f>(5144.0/B15*100)</f>
        <v/>
      </c>
      <c r="D15" s="19" t="n">
        <v>738</v>
      </c>
      <c r="E15" s="18" t="n">
        <v>11.51079287</v>
      </c>
      <c r="F15" s="20" t="n">
        <v>1.40152608</v>
      </c>
      <c r="G15" s="18" t="n">
        <v>84.96244901</v>
      </c>
      <c r="H15" s="20" t="n">
        <v>1.60622556</v>
      </c>
      <c r="I15" s="18" t="n">
        <v>0</v>
      </c>
      <c r="J15" s="20" t="n">
        <v>0</v>
      </c>
      <c r="K15" s="18" t="n">
        <v>0.40485839</v>
      </c>
      <c r="L15" s="20" t="n">
        <v>0.23174125</v>
      </c>
      <c r="M15" s="18" t="n">
        <v>0</v>
      </c>
      <c r="N15" s="20" t="n">
        <v>0</v>
      </c>
      <c r="O15" s="18" t="n">
        <v>0</v>
      </c>
      <c r="P15" s="20" t="n">
        <v>0</v>
      </c>
      <c r="Q15" s="18" t="n">
        <v>3.12189973</v>
      </c>
      <c r="R15" s="20" t="n">
        <v>0.62521185</v>
      </c>
    </row>
    <row r="16" spans="1:18">
      <c r="A16" s="15" t="s">
        <v>438</v>
      </c>
      <c r="B16" s="17" t="n">
        <v>6108</v>
      </c>
      <c r="C16" s="18">
        <f>(5331.0/B16*100)</f>
        <v/>
      </c>
      <c r="D16" s="19" t="n">
        <v>777</v>
      </c>
      <c r="E16" s="18" t="n">
        <v>15.44470263</v>
      </c>
      <c r="F16" s="20" t="n">
        <v>1.2549839</v>
      </c>
      <c r="G16" s="18" t="n">
        <v>77.57867821000001</v>
      </c>
      <c r="H16" s="20" t="n">
        <v>1.5030552</v>
      </c>
      <c r="I16" s="18" t="n">
        <v>0</v>
      </c>
      <c r="J16" s="20" t="n">
        <v>0</v>
      </c>
      <c r="K16" s="18" t="n">
        <v>0.97070432</v>
      </c>
      <c r="L16" s="20" t="n">
        <v>0.40247702</v>
      </c>
      <c r="M16" s="18" t="n">
        <v>0</v>
      </c>
      <c r="N16" s="20" t="n">
        <v>0</v>
      </c>
      <c r="O16" s="18" t="n">
        <v>0</v>
      </c>
      <c r="P16" s="20" t="n">
        <v>0</v>
      </c>
      <c r="Q16" s="18" t="n">
        <v>6.00591483</v>
      </c>
      <c r="R16" s="20" t="n">
        <v>0.91498092</v>
      </c>
    </row>
    <row r="17" spans="1:18">
      <c r="A17" s="15" t="s">
        <v>439</v>
      </c>
      <c r="B17" s="17" t="n">
        <v>6504</v>
      </c>
      <c r="C17" s="18">
        <f>(5713.0/B17*100)</f>
        <v/>
      </c>
      <c r="D17" s="19" t="n">
        <v>791</v>
      </c>
      <c r="E17" s="18" t="n">
        <v>13.80209711</v>
      </c>
      <c r="F17" s="20" t="n">
        <v>1.43329869</v>
      </c>
      <c r="G17" s="18" t="n">
        <v>82.31214199999999</v>
      </c>
      <c r="H17" s="20" t="n">
        <v>1.81008992</v>
      </c>
      <c r="I17" s="18" t="n">
        <v>0</v>
      </c>
      <c r="J17" s="20" t="n">
        <v>0</v>
      </c>
      <c r="K17" s="18" t="n">
        <v>0.21812658</v>
      </c>
      <c r="L17" s="20" t="n">
        <v>0.15622659</v>
      </c>
      <c r="M17" s="18" t="n">
        <v>0</v>
      </c>
      <c r="N17" s="20" t="n">
        <v>0</v>
      </c>
      <c r="O17" s="18" t="n">
        <v>0</v>
      </c>
      <c r="P17" s="20" t="n">
        <v>0</v>
      </c>
      <c r="Q17" s="18" t="n">
        <v>3.66763431</v>
      </c>
      <c r="R17" s="20" t="n">
        <v>0.7953543</v>
      </c>
    </row>
    <row r="18" spans="1:18">
      <c r="A18" s="15" t="s">
        <v>440</v>
      </c>
      <c r="B18" s="17" t="n">
        <v>5532</v>
      </c>
      <c r="C18" s="18">
        <f>(4844.0/B18*100)</f>
        <v/>
      </c>
      <c r="D18" s="19" t="n">
        <v>688</v>
      </c>
      <c r="E18" s="18" t="n">
        <v>28.71087013</v>
      </c>
      <c r="F18" s="20" t="n">
        <v>1.73665665</v>
      </c>
      <c r="G18" s="18" t="n">
        <v>61.68280375</v>
      </c>
      <c r="H18" s="20" t="n">
        <v>1.91643051</v>
      </c>
      <c r="I18" s="18" t="n">
        <v>0</v>
      </c>
      <c r="J18" s="20" t="n">
        <v>0</v>
      </c>
      <c r="K18" s="18" t="n">
        <v>0</v>
      </c>
      <c r="L18" s="20" t="n">
        <v>0</v>
      </c>
      <c r="M18" s="18" t="n">
        <v>0</v>
      </c>
      <c r="N18" s="20" t="n">
        <v>0</v>
      </c>
      <c r="O18" s="18" t="n">
        <v>0</v>
      </c>
      <c r="P18" s="20" t="n">
        <v>0</v>
      </c>
      <c r="Q18" s="18" t="n">
        <v>9.60632612</v>
      </c>
      <c r="R18" s="20" t="n">
        <v>1.62937428</v>
      </c>
    </row>
    <row r="19" spans="1:18">
      <c r="A19" s="15" t="s">
        <v>441</v>
      </c>
      <c r="B19" s="17" t="n">
        <v>5658</v>
      </c>
      <c r="C19" s="18">
        <f>(4937.0/B19*100)</f>
        <v/>
      </c>
      <c r="D19" s="19" t="n">
        <v>721</v>
      </c>
      <c r="E19" s="18" t="n">
        <v>19.36822933</v>
      </c>
      <c r="F19" s="20" t="n">
        <v>1.59180892</v>
      </c>
      <c r="G19" s="18" t="n">
        <v>57.44658032</v>
      </c>
      <c r="H19" s="20" t="n">
        <v>2.21236895</v>
      </c>
      <c r="I19" s="18" t="n">
        <v>0</v>
      </c>
      <c r="J19" s="20" t="n">
        <v>0</v>
      </c>
      <c r="K19" s="18" t="n">
        <v>0.62349161</v>
      </c>
      <c r="L19" s="20" t="n">
        <v>0.43969446</v>
      </c>
      <c r="M19" s="18" t="n">
        <v>0</v>
      </c>
      <c r="N19" s="20" t="n">
        <v>0</v>
      </c>
      <c r="O19" s="18" t="n">
        <v>0</v>
      </c>
      <c r="P19" s="20" t="n">
        <v>0</v>
      </c>
      <c r="Q19" s="18" t="n">
        <v>22.56169873</v>
      </c>
      <c r="R19" s="20" t="n">
        <v>2.01895087</v>
      </c>
    </row>
    <row r="20" spans="1:18">
      <c r="A20" s="15" t="s">
        <v>442</v>
      </c>
      <c r="B20" s="17" t="n">
        <v>3371</v>
      </c>
      <c r="C20" s="18">
        <f>(2954.0/B20*100)</f>
        <v/>
      </c>
      <c r="D20" s="19" t="n">
        <v>417</v>
      </c>
      <c r="E20" s="18" t="n">
        <v>16.16035589</v>
      </c>
      <c r="F20" s="20" t="n">
        <v>1.95644922</v>
      </c>
      <c r="G20" s="18" t="n">
        <v>58.48478169</v>
      </c>
      <c r="H20" s="20" t="n">
        <v>2.61181234</v>
      </c>
      <c r="I20" s="18" t="n">
        <v>0</v>
      </c>
      <c r="J20" s="20" t="n">
        <v>0</v>
      </c>
      <c r="K20" s="18" t="n">
        <v>0.52756814</v>
      </c>
      <c r="L20" s="20" t="n">
        <v>0.36518459</v>
      </c>
      <c r="M20" s="18" t="n">
        <v>0.78942587</v>
      </c>
      <c r="N20" s="20" t="n">
        <v>0.39222165</v>
      </c>
      <c r="O20" s="18" t="n">
        <v>0</v>
      </c>
      <c r="P20" s="20" t="n">
        <v>0</v>
      </c>
      <c r="Q20" s="18" t="n">
        <v>24.0378684</v>
      </c>
      <c r="R20" s="20" t="n">
        <v>2.12564307</v>
      </c>
    </row>
    <row r="21" spans="1:18">
      <c r="A21" s="15" t="s">
        <v>443</v>
      </c>
      <c r="B21" s="17" t="n">
        <v>5741</v>
      </c>
      <c r="C21" s="18">
        <f>(4788.0/B21*100)</f>
        <v/>
      </c>
      <c r="D21" s="19" t="n">
        <v>953</v>
      </c>
      <c r="E21" s="18" t="n">
        <v>14.70199883</v>
      </c>
      <c r="F21" s="20" t="n">
        <v>1.24099607</v>
      </c>
      <c r="G21" s="18" t="n">
        <v>82.56042232999999</v>
      </c>
      <c r="H21" s="20" t="n">
        <v>1.22139604</v>
      </c>
      <c r="I21" s="18" t="n">
        <v>0</v>
      </c>
      <c r="J21" s="20" t="n">
        <v>0</v>
      </c>
      <c r="K21" s="18" t="n">
        <v>0</v>
      </c>
      <c r="L21" s="20" t="n">
        <v>0</v>
      </c>
      <c r="M21" s="18" t="n">
        <v>0</v>
      </c>
      <c r="N21" s="20" t="n">
        <v>0</v>
      </c>
      <c r="O21" s="18" t="n">
        <v>0</v>
      </c>
      <c r="P21" s="20" t="n">
        <v>0</v>
      </c>
      <c r="Q21" s="18" t="n">
        <v>2.73757883</v>
      </c>
      <c r="R21" s="20" t="n">
        <v>0.5420160000000001</v>
      </c>
    </row>
    <row r="22" spans="1:18">
      <c r="A22" s="15" t="s">
        <v>444</v>
      </c>
      <c r="B22" s="17" t="n">
        <v>6598</v>
      </c>
      <c r="C22" s="18">
        <f>(5776.0/B22*100)</f>
        <v/>
      </c>
      <c r="D22" s="19" t="n">
        <v>822</v>
      </c>
      <c r="E22" s="18" t="n">
        <v>22.70291161</v>
      </c>
      <c r="F22" s="20" t="n">
        <v>1.68880884</v>
      </c>
      <c r="G22" s="18" t="n">
        <v>70.98872122</v>
      </c>
      <c r="H22" s="20" t="n">
        <v>1.74924553</v>
      </c>
      <c r="I22" s="18" t="n">
        <v>0</v>
      </c>
      <c r="J22" s="20" t="n">
        <v>0</v>
      </c>
      <c r="K22" s="18" t="n">
        <v>0.10606738</v>
      </c>
      <c r="L22" s="20" t="n">
        <v>0.11802213</v>
      </c>
      <c r="M22" s="18" t="n">
        <v>0</v>
      </c>
      <c r="N22" s="20" t="n">
        <v>0</v>
      </c>
      <c r="O22" s="18" t="n">
        <v>0</v>
      </c>
      <c r="P22" s="20" t="n">
        <v>0</v>
      </c>
      <c r="Q22" s="18" t="n">
        <v>6.20229979</v>
      </c>
      <c r="R22" s="20" t="n">
        <v>0.80650736</v>
      </c>
    </row>
    <row r="23" spans="1:18">
      <c r="A23" s="15" t="s">
        <v>445</v>
      </c>
      <c r="B23" s="17" t="n">
        <v>11583</v>
      </c>
      <c r="C23" s="18">
        <f>(10157.0/B23*100)</f>
        <v/>
      </c>
      <c r="D23" s="19" t="n">
        <v>1426</v>
      </c>
      <c r="E23" s="18" t="n">
        <v>17.58841098</v>
      </c>
      <c r="F23" s="20" t="n">
        <v>1.38262181</v>
      </c>
      <c r="G23" s="18" t="n">
        <v>72.53936720999999</v>
      </c>
      <c r="H23" s="20" t="n">
        <v>2.03143709</v>
      </c>
      <c r="I23" s="18" t="n">
        <v>0</v>
      </c>
      <c r="J23" s="20" t="n">
        <v>0</v>
      </c>
      <c r="K23" s="18" t="n">
        <v>0.01014592</v>
      </c>
      <c r="L23" s="20" t="n">
        <v>0.007586</v>
      </c>
      <c r="M23" s="18" t="n">
        <v>1.61105802</v>
      </c>
      <c r="N23" s="20" t="n">
        <v>0.80055058</v>
      </c>
      <c r="O23" s="18" t="n">
        <v>0</v>
      </c>
      <c r="P23" s="20" t="n">
        <v>0</v>
      </c>
      <c r="Q23" s="18" t="n">
        <v>8.251017879999999</v>
      </c>
      <c r="R23" s="20" t="n">
        <v>1.21937034</v>
      </c>
    </row>
    <row r="24" spans="1:18">
      <c r="A24" s="15" t="s">
        <v>446</v>
      </c>
      <c r="B24" s="17" t="n">
        <v>6647</v>
      </c>
      <c r="C24" s="18">
        <f>(5822.0/B24*100)</f>
        <v/>
      </c>
      <c r="D24" s="19" t="n">
        <v>825</v>
      </c>
      <c r="E24" s="18" t="n">
        <v>15.25807934</v>
      </c>
      <c r="F24" s="20" t="n">
        <v>1.20962625</v>
      </c>
      <c r="G24" s="18" t="n">
        <v>81.28751475</v>
      </c>
      <c r="H24" s="20" t="n">
        <v>1.47180306</v>
      </c>
      <c r="I24" s="18" t="n">
        <v>0</v>
      </c>
      <c r="J24" s="20" t="n">
        <v>0</v>
      </c>
      <c r="K24" s="18" t="n">
        <v>0</v>
      </c>
      <c r="L24" s="20" t="n">
        <v>0</v>
      </c>
      <c r="M24" s="18" t="n">
        <v>0</v>
      </c>
      <c r="N24" s="20" t="n">
        <v>0</v>
      </c>
      <c r="O24" s="18" t="n">
        <v>0</v>
      </c>
      <c r="P24" s="20" t="n">
        <v>0</v>
      </c>
      <c r="Q24" s="18" t="n">
        <v>3.45440591</v>
      </c>
      <c r="R24" s="20" t="n">
        <v>0.65449883</v>
      </c>
    </row>
    <row r="25" spans="1:18">
      <c r="A25" s="15" t="s">
        <v>447</v>
      </c>
      <c r="B25" s="17" t="n">
        <v>5581</v>
      </c>
      <c r="C25" s="18">
        <f>(4896.0/B25*100)</f>
        <v/>
      </c>
      <c r="D25" s="19" t="n">
        <v>685</v>
      </c>
      <c r="E25" s="18" t="n">
        <v>13.94371608</v>
      </c>
      <c r="F25" s="20" t="n">
        <v>1.43041012</v>
      </c>
      <c r="G25" s="18" t="n">
        <v>81.98828125999999</v>
      </c>
      <c r="H25" s="20" t="n">
        <v>1.59684584</v>
      </c>
      <c r="I25" s="18" t="n">
        <v>0</v>
      </c>
      <c r="J25" s="20" t="n">
        <v>0</v>
      </c>
      <c r="K25" s="18" t="n">
        <v>0.14149082</v>
      </c>
      <c r="L25" s="20" t="n">
        <v>0.14122967</v>
      </c>
      <c r="M25" s="18" t="n">
        <v>0</v>
      </c>
      <c r="N25" s="20" t="n">
        <v>0</v>
      </c>
      <c r="O25" s="18" t="n">
        <v>0</v>
      </c>
      <c r="P25" s="20" t="n">
        <v>0</v>
      </c>
      <c r="Q25" s="18" t="n">
        <v>3.92651184</v>
      </c>
      <c r="R25" s="20" t="n">
        <v>0.88076107</v>
      </c>
    </row>
    <row r="26" spans="1:18">
      <c r="A26" s="15" t="s">
        <v>448</v>
      </c>
      <c r="B26" s="17" t="n">
        <v>4869</v>
      </c>
      <c r="C26" s="18">
        <f>(4279.0/B26*100)</f>
        <v/>
      </c>
      <c r="D26" s="19" t="n">
        <v>590</v>
      </c>
      <c r="E26" s="18" t="n">
        <v>30.69884495</v>
      </c>
      <c r="F26" s="20" t="n">
        <v>1.73194829</v>
      </c>
      <c r="G26" s="18" t="n">
        <v>64.38217799</v>
      </c>
      <c r="H26" s="20" t="n">
        <v>1.95625837</v>
      </c>
      <c r="I26" s="18" t="n">
        <v>0</v>
      </c>
      <c r="J26" s="20" t="n">
        <v>0</v>
      </c>
      <c r="K26" s="18" t="n">
        <v>0</v>
      </c>
      <c r="L26" s="20" t="n">
        <v>0</v>
      </c>
      <c r="M26" s="18" t="n">
        <v>0.62691284</v>
      </c>
      <c r="N26" s="20" t="n">
        <v>0.40259334</v>
      </c>
      <c r="O26" s="18" t="n">
        <v>0</v>
      </c>
      <c r="P26" s="20" t="n">
        <v>0</v>
      </c>
      <c r="Q26" s="18" t="n">
        <v>4.29206422</v>
      </c>
      <c r="R26" s="20" t="n">
        <v>0.90835743</v>
      </c>
    </row>
    <row r="27" spans="1:18">
      <c r="A27" s="15" t="s">
        <v>449</v>
      </c>
      <c r="B27" s="17" t="n">
        <v>5299</v>
      </c>
      <c r="C27" s="18">
        <f>(4646.0/B27*100)</f>
        <v/>
      </c>
      <c r="D27" s="19" t="n">
        <v>653</v>
      </c>
      <c r="E27" s="18" t="n">
        <v>16.05891496</v>
      </c>
      <c r="F27" s="20" t="n">
        <v>1.62157636</v>
      </c>
      <c r="G27" s="18" t="n">
        <v>77.940502</v>
      </c>
      <c r="H27" s="20" t="n">
        <v>1.63485025</v>
      </c>
      <c r="I27" s="18" t="n">
        <v>0</v>
      </c>
      <c r="J27" s="20" t="n">
        <v>0</v>
      </c>
      <c r="K27" s="18" t="n">
        <v>0.15307605</v>
      </c>
      <c r="L27" s="20" t="n">
        <v>0.1525391</v>
      </c>
      <c r="M27" s="18" t="n">
        <v>0</v>
      </c>
      <c r="N27" s="20" t="n">
        <v>0</v>
      </c>
      <c r="O27" s="18" t="n">
        <v>0</v>
      </c>
      <c r="P27" s="20" t="n">
        <v>0</v>
      </c>
      <c r="Q27" s="18" t="n">
        <v>5.84750699</v>
      </c>
      <c r="R27" s="20" t="n">
        <v>0.80541511</v>
      </c>
    </row>
    <row r="28" spans="1:18">
      <c r="A28" s="15" t="s">
        <v>450</v>
      </c>
      <c r="B28" s="17" t="n">
        <v>7568</v>
      </c>
      <c r="C28" s="18">
        <f>(6657.0/B28*100)</f>
        <v/>
      </c>
      <c r="D28" s="19" t="n">
        <v>911</v>
      </c>
      <c r="E28" s="18" t="n">
        <v>38.06052623</v>
      </c>
      <c r="F28" s="20" t="n">
        <v>2.18726781</v>
      </c>
      <c r="G28" s="18" t="n">
        <v>57.84214279</v>
      </c>
      <c r="H28" s="20" t="n">
        <v>2.41519237</v>
      </c>
      <c r="I28" s="18" t="n">
        <v>0</v>
      </c>
      <c r="J28" s="20" t="n">
        <v>0</v>
      </c>
      <c r="K28" s="18" t="n">
        <v>0.10943564</v>
      </c>
      <c r="L28" s="20" t="n">
        <v>0.11903803</v>
      </c>
      <c r="M28" s="18" t="n">
        <v>0</v>
      </c>
      <c r="N28" s="20" t="n">
        <v>0</v>
      </c>
      <c r="O28" s="18" t="n">
        <v>0</v>
      </c>
      <c r="P28" s="20" t="n">
        <v>0</v>
      </c>
      <c r="Q28" s="18" t="n">
        <v>3.98789534</v>
      </c>
      <c r="R28" s="20" t="n">
        <v>0.8256337500000001</v>
      </c>
    </row>
    <row r="29" spans="1:18">
      <c r="A29" s="15" t="s">
        <v>451</v>
      </c>
      <c r="B29" s="17" t="n">
        <v>5385</v>
      </c>
      <c r="C29" s="18">
        <f>(4743.0/B29*100)</f>
        <v/>
      </c>
      <c r="D29" s="19" t="n">
        <v>642</v>
      </c>
      <c r="E29" s="18" t="n">
        <v>12.51522075</v>
      </c>
      <c r="F29" s="20" t="n">
        <v>1.42349519</v>
      </c>
      <c r="G29" s="18" t="n">
        <v>85.14271918999999</v>
      </c>
      <c r="H29" s="20" t="n">
        <v>1.67451145</v>
      </c>
      <c r="I29" s="18" t="n">
        <v>0</v>
      </c>
      <c r="J29" s="20" t="n">
        <v>0</v>
      </c>
      <c r="K29" s="18" t="n">
        <v>0</v>
      </c>
      <c r="L29" s="20" t="n">
        <v>0</v>
      </c>
      <c r="M29" s="18" t="n">
        <v>0.16363705</v>
      </c>
      <c r="N29" s="20" t="n">
        <v>0.17090292</v>
      </c>
      <c r="O29" s="18" t="n">
        <v>0</v>
      </c>
      <c r="P29" s="20" t="n">
        <v>0</v>
      </c>
      <c r="Q29" s="18" t="n">
        <v>2.17842302</v>
      </c>
      <c r="R29" s="20" t="n">
        <v>0.67616759</v>
      </c>
    </row>
    <row r="30" spans="1:18">
      <c r="A30" s="15" t="s">
        <v>452</v>
      </c>
      <c r="B30" s="17" t="n">
        <v>4520</v>
      </c>
      <c r="C30" s="18">
        <f>(3939.0/B30*100)</f>
        <v/>
      </c>
      <c r="D30" s="19" t="n">
        <v>581</v>
      </c>
      <c r="E30" s="18" t="n">
        <v>13.94227755</v>
      </c>
      <c r="F30" s="20" t="n">
        <v>1.31398633</v>
      </c>
      <c r="G30" s="18" t="n">
        <v>78.72873633</v>
      </c>
      <c r="H30" s="20" t="n">
        <v>1.47125173</v>
      </c>
      <c r="I30" s="18" t="n">
        <v>0</v>
      </c>
      <c r="J30" s="20" t="n">
        <v>0</v>
      </c>
      <c r="K30" s="18" t="n">
        <v>0.2153905</v>
      </c>
      <c r="L30" s="20" t="n">
        <v>0.21798241</v>
      </c>
      <c r="M30" s="18" t="n">
        <v>0.25033643</v>
      </c>
      <c r="N30" s="20" t="n">
        <v>0.24538627</v>
      </c>
      <c r="O30" s="18" t="n">
        <v>0</v>
      </c>
      <c r="P30" s="20" t="n">
        <v>0</v>
      </c>
      <c r="Q30" s="18" t="n">
        <v>6.8632592</v>
      </c>
      <c r="R30" s="20" t="n">
        <v>0.83768489</v>
      </c>
    </row>
    <row r="31" spans="1:18">
      <c r="A31" s="15" t="s">
        <v>453</v>
      </c>
      <c r="B31" s="17" t="n">
        <v>5456</v>
      </c>
      <c r="C31" s="18">
        <f>(4790.0/B31*100)</f>
        <v/>
      </c>
      <c r="D31" s="19" t="n">
        <v>666</v>
      </c>
      <c r="E31" s="18" t="n">
        <v>11.35823828</v>
      </c>
      <c r="F31" s="20" t="n">
        <v>1.178398</v>
      </c>
      <c r="G31" s="18" t="n">
        <v>81.91332446</v>
      </c>
      <c r="H31" s="20" t="n">
        <v>1.46505723</v>
      </c>
      <c r="I31" s="18" t="n">
        <v>0</v>
      </c>
      <c r="J31" s="20" t="n">
        <v>0</v>
      </c>
      <c r="K31" s="18" t="n">
        <v>0.13571865</v>
      </c>
      <c r="L31" s="20" t="n">
        <v>0.13635328</v>
      </c>
      <c r="M31" s="18" t="n">
        <v>0.15180465</v>
      </c>
      <c r="N31" s="20" t="n">
        <v>0.14408668</v>
      </c>
      <c r="O31" s="18" t="n">
        <v>0</v>
      </c>
      <c r="P31" s="20" t="n">
        <v>0</v>
      </c>
      <c r="Q31" s="18" t="n">
        <v>6.44091396</v>
      </c>
      <c r="R31" s="20" t="n">
        <v>1.10105612</v>
      </c>
    </row>
    <row r="32" spans="1:18">
      <c r="A32" s="15" t="s">
        <v>454</v>
      </c>
      <c r="B32" s="17" t="n">
        <v>4478</v>
      </c>
      <c r="C32" s="18">
        <f>(3764.0/B32*100)</f>
        <v/>
      </c>
      <c r="D32" s="19" t="n">
        <v>714</v>
      </c>
      <c r="E32" s="18" t="n">
        <v>20.5836005</v>
      </c>
      <c r="F32" s="20" t="n">
        <v>1.62703632</v>
      </c>
      <c r="G32" s="18" t="n">
        <v>56.29168568</v>
      </c>
      <c r="H32" s="20" t="n">
        <v>2.30007551</v>
      </c>
      <c r="I32" s="18" t="n">
        <v>0</v>
      </c>
      <c r="J32" s="20" t="n">
        <v>0</v>
      </c>
      <c r="K32" s="18" t="n">
        <v>0.13522172</v>
      </c>
      <c r="L32" s="20" t="n">
        <v>0.12733626</v>
      </c>
      <c r="M32" s="18" t="n">
        <v>0.13174273</v>
      </c>
      <c r="N32" s="20" t="n">
        <v>0.13116393</v>
      </c>
      <c r="O32" s="18" t="n">
        <v>0</v>
      </c>
      <c r="P32" s="20" t="n">
        <v>0</v>
      </c>
      <c r="Q32" s="18" t="n">
        <v>22.85774937</v>
      </c>
      <c r="R32" s="20" t="n">
        <v>2.09913059</v>
      </c>
    </row>
    <row r="33" spans="1:18">
      <c r="A33" s="15" t="s">
        <v>455</v>
      </c>
      <c r="B33" s="17" t="n">
        <v>7325</v>
      </c>
      <c r="C33" s="18">
        <f>(6395.0/B33*100)</f>
        <v/>
      </c>
      <c r="D33" s="19" t="n">
        <v>930</v>
      </c>
      <c r="E33" s="18" t="n">
        <v>18.01127929</v>
      </c>
      <c r="F33" s="20" t="n">
        <v>1.28578801</v>
      </c>
      <c r="G33" s="18" t="n">
        <v>67.02935307</v>
      </c>
      <c r="H33" s="20" t="n">
        <v>2.24457737</v>
      </c>
      <c r="I33" s="18" t="n">
        <v>0</v>
      </c>
      <c r="J33" s="20" t="n">
        <v>0</v>
      </c>
      <c r="K33" s="18" t="n">
        <v>0.15488035</v>
      </c>
      <c r="L33" s="20" t="n">
        <v>0.13544688</v>
      </c>
      <c r="M33" s="18" t="n">
        <v>0.11966087</v>
      </c>
      <c r="N33" s="20" t="n">
        <v>0.1156364</v>
      </c>
      <c r="O33" s="18" t="n">
        <v>0</v>
      </c>
      <c r="P33" s="20" t="n">
        <v>0</v>
      </c>
      <c r="Q33" s="18" t="n">
        <v>14.68482643</v>
      </c>
      <c r="R33" s="20" t="n">
        <v>1.78316178</v>
      </c>
    </row>
    <row r="34" spans="1:18">
      <c r="A34" s="15" t="s">
        <v>456</v>
      </c>
      <c r="B34" s="17" t="n">
        <v>6350</v>
      </c>
      <c r="C34" s="18">
        <f>(5576.0/B34*100)</f>
        <v/>
      </c>
      <c r="D34" s="19" t="n">
        <v>774</v>
      </c>
      <c r="E34" s="18" t="n">
        <v>27.61590062</v>
      </c>
      <c r="F34" s="20" t="n">
        <v>2.03536282</v>
      </c>
      <c r="G34" s="18" t="n">
        <v>64.64605801</v>
      </c>
      <c r="H34" s="20" t="n">
        <v>1.91659453</v>
      </c>
      <c r="I34" s="18" t="n">
        <v>0</v>
      </c>
      <c r="J34" s="20" t="n">
        <v>0</v>
      </c>
      <c r="K34" s="18" t="n">
        <v>0.09911932</v>
      </c>
      <c r="L34" s="20" t="n">
        <v>0.09920603</v>
      </c>
      <c r="M34" s="18" t="n">
        <v>0</v>
      </c>
      <c r="N34" s="20" t="n">
        <v>0</v>
      </c>
      <c r="O34" s="18" t="n">
        <v>0</v>
      </c>
      <c r="P34" s="20" t="n">
        <v>0</v>
      </c>
      <c r="Q34" s="18" t="n">
        <v>7.63892205</v>
      </c>
      <c r="R34" s="20" t="n">
        <v>1.05227068</v>
      </c>
    </row>
    <row r="35" spans="1:18">
      <c r="A35" s="15" t="s">
        <v>457</v>
      </c>
      <c r="B35" s="17" t="n">
        <v>6406</v>
      </c>
      <c r="C35" s="18">
        <f>(5644.0/B35*100)</f>
        <v/>
      </c>
      <c r="D35" s="19" t="n">
        <v>762</v>
      </c>
      <c r="E35" s="18" t="n">
        <v>13.1205086</v>
      </c>
      <c r="F35" s="20" t="n">
        <v>1.53099004</v>
      </c>
      <c r="G35" s="18" t="n">
        <v>70.61902412000001</v>
      </c>
      <c r="H35" s="20" t="n">
        <v>2.16084082</v>
      </c>
      <c r="I35" s="18" t="n">
        <v>0</v>
      </c>
      <c r="J35" s="20" t="n">
        <v>0</v>
      </c>
      <c r="K35" s="18" t="n">
        <v>0.07152016</v>
      </c>
      <c r="L35" s="20" t="n">
        <v>0.07136729</v>
      </c>
      <c r="M35" s="18" t="n">
        <v>0.39120243</v>
      </c>
      <c r="N35" s="20" t="n">
        <v>0.38995659</v>
      </c>
      <c r="O35" s="18" t="n">
        <v>0</v>
      </c>
      <c r="P35" s="20" t="n">
        <v>0</v>
      </c>
      <c r="Q35" s="18" t="n">
        <v>15.79774469</v>
      </c>
      <c r="R35" s="20" t="n">
        <v>1.61292699</v>
      </c>
    </row>
    <row r="36" spans="1:18">
      <c r="A36" s="15" t="s">
        <v>458</v>
      </c>
      <c r="B36" s="17" t="n">
        <v>6736</v>
      </c>
      <c r="C36" s="18">
        <f>(5888.0/B36*100)</f>
        <v/>
      </c>
      <c r="D36" s="19" t="n">
        <v>848</v>
      </c>
      <c r="E36" s="18" t="n">
        <v>17.51857018</v>
      </c>
      <c r="F36" s="20" t="n">
        <v>1.21245547</v>
      </c>
      <c r="G36" s="18" t="n">
        <v>76.32709970000001</v>
      </c>
      <c r="H36" s="20" t="n">
        <v>1.41090365</v>
      </c>
      <c r="I36" s="18" t="n">
        <v>0</v>
      </c>
      <c r="J36" s="20" t="n">
        <v>0</v>
      </c>
      <c r="K36" s="18" t="n">
        <v>0</v>
      </c>
      <c r="L36" s="20" t="n">
        <v>0</v>
      </c>
      <c r="M36" s="18" t="n">
        <v>0.24657964</v>
      </c>
      <c r="N36" s="20" t="n">
        <v>0.25461027</v>
      </c>
      <c r="O36" s="18" t="n">
        <v>0</v>
      </c>
      <c r="P36" s="20" t="n">
        <v>0</v>
      </c>
      <c r="Q36" s="18" t="n">
        <v>5.90775049</v>
      </c>
      <c r="R36" s="20" t="n">
        <v>0.89493126</v>
      </c>
    </row>
    <row r="37" spans="1:18">
      <c r="A37" s="15" t="s">
        <v>459</v>
      </c>
      <c r="B37" s="17" t="n">
        <v>5458</v>
      </c>
      <c r="C37" s="18">
        <f>(4758.0/B37*100)</f>
        <v/>
      </c>
      <c r="D37" s="19" t="n">
        <v>700</v>
      </c>
      <c r="E37" s="18" t="n">
        <v>12.72022383</v>
      </c>
      <c r="F37" s="20" t="n">
        <v>1.17468937</v>
      </c>
      <c r="G37" s="18" t="n">
        <v>79.60115887000001</v>
      </c>
      <c r="H37" s="20" t="n">
        <v>1.6316141</v>
      </c>
      <c r="I37" s="18" t="n">
        <v>0</v>
      </c>
      <c r="J37" s="20" t="n">
        <v>0</v>
      </c>
      <c r="K37" s="18" t="n">
        <v>0.8593824799999999</v>
      </c>
      <c r="L37" s="20" t="n">
        <v>0.3547158</v>
      </c>
      <c r="M37" s="18" t="n">
        <v>0</v>
      </c>
      <c r="N37" s="20" t="n">
        <v>0</v>
      </c>
      <c r="O37" s="18" t="n">
        <v>0</v>
      </c>
      <c r="P37" s="20" t="n">
        <v>0</v>
      </c>
      <c r="Q37" s="18" t="n">
        <v>6.81923482</v>
      </c>
      <c r="R37" s="20" t="n">
        <v>0.8183447700000001</v>
      </c>
    </row>
    <row r="38" spans="1:18">
      <c r="A38" s="15" t="s">
        <v>460</v>
      </c>
      <c r="B38" s="17" t="n">
        <v>5860</v>
      </c>
      <c r="C38" s="18">
        <f>(4938.0/B38*100)</f>
        <v/>
      </c>
      <c r="D38" s="19" t="n">
        <v>922</v>
      </c>
      <c r="E38" s="18" t="n">
        <v>16.60083067</v>
      </c>
      <c r="F38" s="20" t="n">
        <v>1.49730505</v>
      </c>
      <c r="G38" s="18" t="n">
        <v>74.09696316</v>
      </c>
      <c r="H38" s="20" t="n">
        <v>1.91565816</v>
      </c>
      <c r="I38" s="18" t="n">
        <v>0</v>
      </c>
      <c r="J38" s="20" t="n">
        <v>0</v>
      </c>
      <c r="K38" s="18" t="n">
        <v>0.19553905</v>
      </c>
      <c r="L38" s="20" t="n">
        <v>0.1064562</v>
      </c>
      <c r="M38" s="18" t="n">
        <v>0.30599547</v>
      </c>
      <c r="N38" s="20" t="n">
        <v>0.22528447</v>
      </c>
      <c r="O38" s="18" t="n">
        <v>0</v>
      </c>
      <c r="P38" s="20" t="n">
        <v>0</v>
      </c>
      <c r="Q38" s="18" t="n">
        <v>8.800671639999999</v>
      </c>
      <c r="R38" s="20" t="n">
        <v>1.46846877</v>
      </c>
    </row>
    <row r="39" spans="1:18">
      <c r="A39" s="15" t="s">
        <v>461</v>
      </c>
      <c r="B39" s="17" t="n">
        <v>5895</v>
      </c>
      <c r="C39" s="18">
        <f>(5177.0/B39*100)</f>
        <v/>
      </c>
      <c r="D39" s="19" t="n">
        <v>718</v>
      </c>
      <c r="E39" s="18" t="n">
        <v>41.80546148</v>
      </c>
      <c r="F39" s="20" t="n">
        <v>2.5447278</v>
      </c>
      <c r="G39" s="18" t="n">
        <v>41.67138764</v>
      </c>
      <c r="H39" s="20" t="n">
        <v>2.42595864</v>
      </c>
      <c r="I39" s="18" t="n">
        <v>0</v>
      </c>
      <c r="J39" s="20" t="n">
        <v>0</v>
      </c>
      <c r="K39" s="18" t="n">
        <v>0.50380927</v>
      </c>
      <c r="L39" s="20" t="n">
        <v>0.31464295</v>
      </c>
      <c r="M39" s="18" t="n">
        <v>0.12128421</v>
      </c>
      <c r="N39" s="20" t="n">
        <v>0.12503914</v>
      </c>
      <c r="O39" s="18" t="n">
        <v>0</v>
      </c>
      <c r="P39" s="20" t="n">
        <v>0</v>
      </c>
      <c r="Q39" s="18" t="n">
        <v>15.8980574</v>
      </c>
      <c r="R39" s="20" t="n">
        <v>2.18140906</v>
      </c>
    </row>
    <row r="40" spans="1:18">
      <c r="A40" s="15" t="s">
        <v>462</v>
      </c>
      <c r="B40" s="17" t="n">
        <v>14157</v>
      </c>
      <c r="C40" s="18">
        <f>(12452.0/B40*100)</f>
        <v/>
      </c>
      <c r="D40" s="19" t="n">
        <v>1705</v>
      </c>
      <c r="E40" s="18" t="n">
        <v>12.5188755</v>
      </c>
      <c r="F40" s="20" t="n">
        <v>1.36219832</v>
      </c>
      <c r="G40" s="18" t="n">
        <v>81.19380583</v>
      </c>
      <c r="H40" s="20" t="n">
        <v>1.48786721</v>
      </c>
      <c r="I40" s="18" t="n">
        <v>0</v>
      </c>
      <c r="J40" s="20" t="n">
        <v>0</v>
      </c>
      <c r="K40" s="18" t="n">
        <v>0.09662352</v>
      </c>
      <c r="L40" s="20" t="n">
        <v>0.04913723</v>
      </c>
      <c r="M40" s="18" t="n">
        <v>0.30268034</v>
      </c>
      <c r="N40" s="20" t="n">
        <v>0.21824359</v>
      </c>
      <c r="O40" s="18" t="n">
        <v>0</v>
      </c>
      <c r="P40" s="20" t="n">
        <v>0</v>
      </c>
      <c r="Q40" s="18" t="n">
        <v>5.88801482</v>
      </c>
      <c r="R40" s="20" t="n">
        <v>0.73392449</v>
      </c>
    </row>
    <row r="41" spans="1:18">
      <c r="A41" s="15" t="s">
        <v>463</v>
      </c>
      <c r="B41" s="17" t="n">
        <v>5712</v>
      </c>
      <c r="C41" s="18">
        <f>(5033.0/B41*100)</f>
        <v/>
      </c>
      <c r="D41" s="19" t="n">
        <v>679</v>
      </c>
      <c r="E41" s="18" t="n">
        <v>20.47275248</v>
      </c>
      <c r="F41" s="20" t="n">
        <v>1.78984514</v>
      </c>
      <c r="G41" s="18" t="n">
        <v>76.52153325</v>
      </c>
      <c r="H41" s="20" t="n">
        <v>2.02559223</v>
      </c>
      <c r="I41" s="18" t="n">
        <v>0</v>
      </c>
      <c r="J41" s="20" t="n">
        <v>0</v>
      </c>
      <c r="K41" s="18" t="n">
        <v>0.12210029</v>
      </c>
      <c r="L41" s="20" t="n">
        <v>0.13001847</v>
      </c>
      <c r="M41" s="18" t="n">
        <v>0</v>
      </c>
      <c r="N41" s="20" t="n">
        <v>0</v>
      </c>
      <c r="O41" s="18" t="n">
        <v>0</v>
      </c>
      <c r="P41" s="20" t="n">
        <v>0</v>
      </c>
      <c r="Q41" s="18" t="n">
        <v>2.88361399</v>
      </c>
      <c r="R41" s="20" t="n">
        <v>0.76046159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(20530.0/B46*100)</f>
        <v/>
      </c>
      <c r="D46" s="19" t="n">
        <v>2611</v>
      </c>
      <c r="E46" s="18" t="n">
        <v>40.11853341</v>
      </c>
      <c r="F46" s="20" t="n">
        <v>1.42906329</v>
      </c>
      <c r="G46" s="18" t="n">
        <v>48.46454292</v>
      </c>
      <c r="H46" s="20" t="n">
        <v>1.43085474</v>
      </c>
      <c r="I46" s="18" t="n">
        <v>0</v>
      </c>
      <c r="J46" s="20" t="n">
        <v>0</v>
      </c>
      <c r="K46" s="18" t="n">
        <v>0.66751498</v>
      </c>
      <c r="L46" s="20" t="n">
        <v>0.16508937</v>
      </c>
      <c r="M46" s="18" t="n">
        <v>0.49095155</v>
      </c>
      <c r="N46" s="20" t="n">
        <v>0.17142439</v>
      </c>
      <c r="O46" s="18" t="n">
        <v>0</v>
      </c>
      <c r="P46" s="20" t="n">
        <v>0</v>
      </c>
      <c r="Q46" s="18" t="n">
        <v>10.25845714</v>
      </c>
      <c r="R46" s="20" t="n">
        <v>0.8146374199999999</v>
      </c>
    </row>
    <row r="47" spans="1:18">
      <c r="A47" s="15" t="s">
        <v>470</v>
      </c>
      <c r="B47" s="17" t="n">
        <v>5928</v>
      </c>
      <c r="C47" s="18">
        <f>(5204.0/B47*100)</f>
        <v/>
      </c>
      <c r="D47" s="19" t="n">
        <v>724</v>
      </c>
      <c r="E47" s="18" t="n">
        <v>25.48714476</v>
      </c>
      <c r="F47" s="20" t="n">
        <v>1.63382038</v>
      </c>
      <c r="G47" s="18" t="n">
        <v>45.48430575</v>
      </c>
      <c r="H47" s="20" t="n">
        <v>2.25826558</v>
      </c>
      <c r="I47" s="18" t="n">
        <v>0</v>
      </c>
      <c r="J47" s="20" t="n">
        <v>0</v>
      </c>
      <c r="K47" s="18" t="n">
        <v>0.70458304</v>
      </c>
      <c r="L47" s="20" t="n">
        <v>0.378924</v>
      </c>
      <c r="M47" s="18" t="n">
        <v>0.42262165</v>
      </c>
      <c r="N47" s="20" t="n">
        <v>0.29451051</v>
      </c>
      <c r="O47" s="18" t="n">
        <v>0</v>
      </c>
      <c r="P47" s="20" t="n">
        <v>0</v>
      </c>
      <c r="Q47" s="18" t="n">
        <v>27.9013448</v>
      </c>
      <c r="R47" s="20" t="n">
        <v>2.22434002</v>
      </c>
    </row>
    <row r="48" spans="1:18">
      <c r="A48" s="15" t="s">
        <v>471</v>
      </c>
      <c r="B48" s="17" t="n">
        <v>9841</v>
      </c>
      <c r="C48" s="18">
        <f>(8618.0/B48*100)</f>
        <v/>
      </c>
      <c r="D48" s="19" t="n">
        <v>1223</v>
      </c>
      <c r="E48" s="18" t="n">
        <v>28.82133628</v>
      </c>
      <c r="F48" s="20" t="n">
        <v>1.8702553</v>
      </c>
      <c r="G48" s="18" t="n">
        <v>64.51518475</v>
      </c>
      <c r="H48" s="20" t="n">
        <v>1.97091744</v>
      </c>
      <c r="I48" s="18" t="n">
        <v>0</v>
      </c>
      <c r="J48" s="20" t="n">
        <v>0</v>
      </c>
      <c r="K48" s="18" t="n">
        <v>0.34752613</v>
      </c>
      <c r="L48" s="20" t="n">
        <v>0.19004149</v>
      </c>
      <c r="M48" s="18" t="n">
        <v>0</v>
      </c>
      <c r="N48" s="20" t="n">
        <v>0</v>
      </c>
      <c r="O48" s="18" t="n">
        <v>0</v>
      </c>
      <c r="P48" s="20" t="n">
        <v>0</v>
      </c>
      <c r="Q48" s="18" t="n">
        <v>6.31595284</v>
      </c>
      <c r="R48" s="20" t="n">
        <v>1.07392553</v>
      </c>
    </row>
    <row r="49" spans="1:18">
      <c r="A49" s="15" t="s">
        <v>472</v>
      </c>
      <c r="B49" s="17" t="n">
        <v>11795</v>
      </c>
      <c r="C49" s="18">
        <f>(10329.0/B49*100)</f>
        <v/>
      </c>
      <c r="D49" s="19" t="n">
        <v>1466</v>
      </c>
      <c r="E49" s="18" t="n">
        <v>42.37033266</v>
      </c>
      <c r="F49" s="20" t="n">
        <v>1.83066135</v>
      </c>
      <c r="G49" s="18" t="n">
        <v>54.06841305</v>
      </c>
      <c r="H49" s="20" t="n">
        <v>1.97347559</v>
      </c>
      <c r="I49" s="18" t="n">
        <v>0</v>
      </c>
      <c r="J49" s="20" t="n">
        <v>0</v>
      </c>
      <c r="K49" s="18" t="n">
        <v>0.161607</v>
      </c>
      <c r="L49" s="20" t="n">
        <v>0.12839736</v>
      </c>
      <c r="M49" s="18" t="n">
        <v>0.15224568</v>
      </c>
      <c r="N49" s="20" t="n">
        <v>0.09702324</v>
      </c>
      <c r="O49" s="18" t="n">
        <v>0</v>
      </c>
      <c r="P49" s="20" t="n">
        <v>0</v>
      </c>
      <c r="Q49" s="18" t="n">
        <v>3.24740161</v>
      </c>
      <c r="R49" s="20" t="n">
        <v>0.72728713</v>
      </c>
    </row>
    <row r="50" spans="1:18">
      <c r="A50" s="15" t="s">
        <v>473</v>
      </c>
      <c r="B50" s="17" t="n">
        <v>6866</v>
      </c>
      <c r="C50" s="18">
        <f>(6112.0/B50*100)</f>
        <v/>
      </c>
      <c r="D50" s="19" t="n">
        <v>754</v>
      </c>
      <c r="E50" s="18" t="n">
        <v>39.13081898</v>
      </c>
      <c r="F50" s="20" t="n">
        <v>2.03279832</v>
      </c>
      <c r="G50" s="18" t="n">
        <v>56.39132369</v>
      </c>
      <c r="H50" s="20" t="n">
        <v>2.09752636</v>
      </c>
      <c r="I50" s="18" t="n">
        <v>0</v>
      </c>
      <c r="J50" s="20" t="n">
        <v>0</v>
      </c>
      <c r="K50" s="18" t="n">
        <v>0.27521831</v>
      </c>
      <c r="L50" s="20" t="n">
        <v>0.19574909</v>
      </c>
      <c r="M50" s="18" t="n">
        <v>0</v>
      </c>
      <c r="N50" s="20" t="n">
        <v>0</v>
      </c>
      <c r="O50" s="18" t="n">
        <v>0</v>
      </c>
      <c r="P50" s="20" t="n">
        <v>0</v>
      </c>
      <c r="Q50" s="18" t="n">
        <v>4.20263903</v>
      </c>
      <c r="R50" s="20" t="n">
        <v>0.73726941</v>
      </c>
    </row>
    <row r="51" spans="1:18">
      <c r="A51" s="15" t="s">
        <v>474</v>
      </c>
      <c r="B51" s="17" t="n">
        <v>5809</v>
      </c>
      <c r="C51" s="18">
        <f>(5086.0/B51*100)</f>
        <v/>
      </c>
      <c r="D51" s="19" t="n">
        <v>723</v>
      </c>
      <c r="E51" s="18" t="n">
        <v>26.01258281</v>
      </c>
      <c r="F51" s="20" t="n">
        <v>1.49840528</v>
      </c>
      <c r="G51" s="18" t="n">
        <v>69.40736975</v>
      </c>
      <c r="H51" s="20" t="n">
        <v>1.66215912</v>
      </c>
      <c r="I51" s="18" t="n">
        <v>0</v>
      </c>
      <c r="J51" s="20" t="n">
        <v>0</v>
      </c>
      <c r="K51" s="18" t="n">
        <v>0.17437583</v>
      </c>
      <c r="L51" s="20" t="n">
        <v>0.1760029</v>
      </c>
      <c r="M51" s="18" t="n">
        <v>0</v>
      </c>
      <c r="N51" s="20" t="n">
        <v>0</v>
      </c>
      <c r="O51" s="18" t="n">
        <v>0</v>
      </c>
      <c r="P51" s="20" t="n">
        <v>0</v>
      </c>
      <c r="Q51" s="18" t="n">
        <v>4.40567161</v>
      </c>
      <c r="R51" s="20" t="n">
        <v>0.85334128</v>
      </c>
    </row>
    <row r="52" spans="1:18">
      <c r="A52" s="15" t="s">
        <v>475</v>
      </c>
      <c r="B52" s="17" t="n">
        <v>5571</v>
      </c>
      <c r="C52" s="18">
        <f>(4894.0/B52*100)</f>
        <v/>
      </c>
      <c r="D52" s="19" t="n">
        <v>677</v>
      </c>
      <c r="E52" s="18" t="n">
        <v>27.07465548</v>
      </c>
      <c r="F52" s="20" t="n">
        <v>1.74856308</v>
      </c>
      <c r="G52" s="18" t="n">
        <v>51.57790139</v>
      </c>
      <c r="H52" s="20" t="n">
        <v>2.00054618</v>
      </c>
      <c r="I52" s="18" t="n">
        <v>0</v>
      </c>
      <c r="J52" s="20" t="n">
        <v>0</v>
      </c>
      <c r="K52" s="18" t="n">
        <v>0.19441853</v>
      </c>
      <c r="L52" s="20" t="n">
        <v>0.19342397</v>
      </c>
      <c r="M52" s="18" t="n">
        <v>0</v>
      </c>
      <c r="N52" s="20" t="n">
        <v>0</v>
      </c>
      <c r="O52" s="18" t="n">
        <v>0</v>
      </c>
      <c r="P52" s="20" t="n">
        <v>0</v>
      </c>
      <c r="Q52" s="18" t="n">
        <v>21.1530246</v>
      </c>
      <c r="R52" s="20" t="n">
        <v>1.72816465</v>
      </c>
    </row>
    <row r="53" spans="1:18">
      <c r="A53" s="15" t="s">
        <v>476</v>
      </c>
      <c r="B53" s="17" t="n">
        <v>4740</v>
      </c>
      <c r="C53" s="18">
        <f>(3972.0/B53*100)</f>
        <v/>
      </c>
      <c r="D53" s="19" t="n">
        <v>768</v>
      </c>
      <c r="E53" s="18" t="n">
        <v>48.62124165</v>
      </c>
      <c r="F53" s="20" t="n">
        <v>1.92630912</v>
      </c>
      <c r="G53" s="18" t="n">
        <v>17.97773433</v>
      </c>
      <c r="H53" s="20" t="n">
        <v>1.82362428</v>
      </c>
      <c r="I53" s="18" t="n">
        <v>0</v>
      </c>
      <c r="J53" s="20" t="n">
        <v>0</v>
      </c>
      <c r="K53" s="18" t="n">
        <v>3.86477669</v>
      </c>
      <c r="L53" s="20" t="n">
        <v>0.97737283</v>
      </c>
      <c r="M53" s="18" t="n">
        <v>0.5297485</v>
      </c>
      <c r="N53" s="20" t="n">
        <v>0.41199128</v>
      </c>
      <c r="O53" s="18" t="n">
        <v>0</v>
      </c>
      <c r="P53" s="20" t="n">
        <v>0</v>
      </c>
      <c r="Q53" s="18" t="n">
        <v>29.00649884</v>
      </c>
      <c r="R53" s="20" t="n">
        <v>2.4086806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17.05262107</v>
      </c>
      <c r="F55" s="20" t="n">
        <v>1.43226961</v>
      </c>
      <c r="G55" s="18" t="n">
        <v>76.78811191</v>
      </c>
      <c r="H55" s="20" t="n">
        <v>1.83093198</v>
      </c>
      <c r="I55" s="18" t="n">
        <v>0</v>
      </c>
      <c r="J55" s="20" t="n">
        <v>0</v>
      </c>
      <c r="K55" s="18" t="n">
        <v>0</v>
      </c>
      <c r="L55" s="20" t="n">
        <v>0</v>
      </c>
      <c r="M55" s="18" t="n">
        <v>3.47226056</v>
      </c>
      <c r="N55" s="20" t="n">
        <v>1.17749937</v>
      </c>
      <c r="O55" s="18" t="n">
        <v>0</v>
      </c>
      <c r="P55" s="20" t="n">
        <v>0</v>
      </c>
      <c r="Q55" s="18" t="n">
        <v>2.68700646</v>
      </c>
      <c r="R55" s="20" t="n">
        <v>0.62429808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(5703.0/B61*100)</f>
        <v/>
      </c>
      <c r="D61" s="19" t="n">
        <v>822</v>
      </c>
      <c r="E61" s="18" t="n">
        <v>30.64245286</v>
      </c>
      <c r="F61" s="20" t="n">
        <v>2.00869521</v>
      </c>
      <c r="G61" s="18" t="n">
        <v>60.60416643</v>
      </c>
      <c r="H61" s="20" t="n">
        <v>2.19078543</v>
      </c>
      <c r="I61" s="18" t="n">
        <v>0</v>
      </c>
      <c r="J61" s="20" t="n">
        <v>0</v>
      </c>
      <c r="K61" s="18" t="n">
        <v>0.32925431</v>
      </c>
      <c r="L61" s="20" t="n">
        <v>0.19321535</v>
      </c>
      <c r="M61" s="18" t="n">
        <v>0.32658837</v>
      </c>
      <c r="N61" s="20" t="n">
        <v>0.20728145</v>
      </c>
      <c r="O61" s="18" t="n">
        <v>0</v>
      </c>
      <c r="P61" s="20" t="n">
        <v>0</v>
      </c>
      <c r="Q61" s="18" t="n">
        <v>8.09753802</v>
      </c>
      <c r="R61" s="20" t="n">
        <v>1.13411879</v>
      </c>
    </row>
    <row r="62" spans="1:18">
      <c r="A62" s="15" t="s">
        <v>486</v>
      </c>
      <c r="B62" s="17" t="n">
        <v>4476</v>
      </c>
      <c r="C62" s="18">
        <f>(3938.0/B62*100)</f>
        <v/>
      </c>
      <c r="D62" s="19" t="n">
        <v>538</v>
      </c>
      <c r="E62" s="18" t="n">
        <v>23.60339314</v>
      </c>
      <c r="F62" s="20" t="n">
        <v>2.11866193</v>
      </c>
      <c r="G62" s="18" t="n">
        <v>74.15327805</v>
      </c>
      <c r="H62" s="20" t="n">
        <v>2.10948493</v>
      </c>
      <c r="I62" s="18" t="n">
        <v>0</v>
      </c>
      <c r="J62" s="20" t="n">
        <v>0</v>
      </c>
      <c r="K62" s="18" t="n">
        <v>0.18461652</v>
      </c>
      <c r="L62" s="20" t="n">
        <v>0.18615073</v>
      </c>
      <c r="M62" s="18" t="n">
        <v>0.18461652</v>
      </c>
      <c r="N62" s="20" t="n">
        <v>0.18596128</v>
      </c>
      <c r="O62" s="18" t="n">
        <v>0</v>
      </c>
      <c r="P62" s="20" t="n">
        <v>0</v>
      </c>
      <c r="Q62" s="18" t="n">
        <v>1.87409578</v>
      </c>
      <c r="R62" s="20" t="n">
        <v>0.57627069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(4984.0/B67*100)</f>
        <v/>
      </c>
      <c r="D67" s="19" t="n">
        <v>681</v>
      </c>
      <c r="E67" s="18" t="n">
        <v>37.84396665</v>
      </c>
      <c r="F67" s="20" t="n">
        <v>1.67019338</v>
      </c>
      <c r="G67" s="18" t="n">
        <v>40.30114285</v>
      </c>
      <c r="H67" s="20" t="n">
        <v>1.82374974</v>
      </c>
      <c r="I67" s="18" t="n">
        <v>0</v>
      </c>
      <c r="J67" s="20" t="n">
        <v>0</v>
      </c>
      <c r="K67" s="18" t="n">
        <v>0.41925996</v>
      </c>
      <c r="L67" s="20" t="n">
        <v>0.24536806</v>
      </c>
      <c r="M67" s="18" t="n">
        <v>0.41574719</v>
      </c>
      <c r="N67" s="20" t="n">
        <v>0.23598205</v>
      </c>
      <c r="O67" s="18" t="n">
        <v>0</v>
      </c>
      <c r="P67" s="20" t="n">
        <v>0</v>
      </c>
      <c r="Q67" s="18" t="n">
        <v>21.01988335</v>
      </c>
      <c r="R67" s="20" t="n">
        <v>1.49552126</v>
      </c>
    </row>
    <row r="68" spans="1:18">
      <c r="A68" s="15" t="s">
        <v>492</v>
      </c>
      <c r="B68" s="17" t="n">
        <v>6971</v>
      </c>
      <c r="C68" s="18">
        <f>(6161.0/B68*100)</f>
        <v/>
      </c>
      <c r="D68" s="19" t="n">
        <v>810</v>
      </c>
      <c r="E68" s="18" t="n">
        <v>44.11444662</v>
      </c>
      <c r="F68" s="20" t="n">
        <v>1.51004469</v>
      </c>
      <c r="G68" s="18" t="n">
        <v>48.60545529</v>
      </c>
      <c r="H68" s="20" t="n">
        <v>1.65000877</v>
      </c>
      <c r="I68" s="18" t="n">
        <v>0</v>
      </c>
      <c r="J68" s="20" t="n">
        <v>0</v>
      </c>
      <c r="K68" s="18" t="n">
        <v>0</v>
      </c>
      <c r="L68" s="20" t="n">
        <v>0</v>
      </c>
      <c r="M68" s="18" t="n">
        <v>0.25831479</v>
      </c>
      <c r="N68" s="20" t="n">
        <v>0.1830153</v>
      </c>
      <c r="O68" s="18" t="n">
        <v>0</v>
      </c>
      <c r="P68" s="20" t="n">
        <v>0</v>
      </c>
      <c r="Q68" s="18" t="n">
        <v>7.0217833</v>
      </c>
      <c r="R68" s="20" t="n">
        <v>0.94623249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36.26696099</v>
      </c>
      <c r="F70" s="20" t="n">
        <v>1.11691205</v>
      </c>
      <c r="G70" s="18" t="n">
        <v>52.92799374</v>
      </c>
      <c r="H70" s="20" t="n">
        <v>1.21427602</v>
      </c>
      <c r="I70" s="18" t="n">
        <v>0</v>
      </c>
      <c r="J70" s="20" t="n">
        <v>0</v>
      </c>
      <c r="K70" s="18" t="n">
        <v>1.24248888</v>
      </c>
      <c r="L70" s="20" t="n">
        <v>0.26088544</v>
      </c>
      <c r="M70" s="18" t="n">
        <v>0.04916004</v>
      </c>
      <c r="N70" s="20" t="n">
        <v>0.04915546</v>
      </c>
      <c r="O70" s="18" t="n">
        <v>0</v>
      </c>
      <c r="P70" s="20" t="n">
        <v>0</v>
      </c>
      <c r="Q70" s="18" t="n">
        <v>9.513396350000001</v>
      </c>
      <c r="R70" s="20" t="n">
        <v>0.7346699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(5306.0/B72*100)</f>
        <v/>
      </c>
      <c r="D72" s="19" t="n">
        <v>730</v>
      </c>
      <c r="E72" s="18" t="n">
        <v>26.84138931</v>
      </c>
      <c r="F72" s="20" t="n">
        <v>1.85933221</v>
      </c>
      <c r="G72" s="18" t="n">
        <v>70.94226132</v>
      </c>
      <c r="H72" s="20" t="n">
        <v>1.89664071</v>
      </c>
      <c r="I72" s="18" t="n">
        <v>0</v>
      </c>
      <c r="J72" s="20" t="n">
        <v>0</v>
      </c>
      <c r="K72" s="18" t="n">
        <v>0</v>
      </c>
      <c r="L72" s="20" t="n">
        <v>0</v>
      </c>
      <c r="M72" s="18" t="n">
        <v>0.05921648</v>
      </c>
      <c r="N72" s="20" t="n">
        <v>0.05942104</v>
      </c>
      <c r="O72" s="18" t="n">
        <v>0</v>
      </c>
      <c r="P72" s="20" t="n">
        <v>0</v>
      </c>
      <c r="Q72" s="18" t="n">
        <v>2.15713289</v>
      </c>
      <c r="R72" s="20" t="n">
        <v>0.53897784</v>
      </c>
    </row>
    <row r="73" spans="1:18">
      <c r="A73" s="15" t="s">
        <v>497</v>
      </c>
      <c r="B73" s="17" t="n">
        <v>6115</v>
      </c>
      <c r="C73" s="18">
        <f>(5371.0/B73*100)</f>
        <v/>
      </c>
      <c r="D73" s="19" t="n">
        <v>744</v>
      </c>
      <c r="E73" s="18" t="n">
        <v>13.1376821</v>
      </c>
      <c r="F73" s="20" t="n">
        <v>1.39826223</v>
      </c>
      <c r="G73" s="18" t="n">
        <v>84.04401847</v>
      </c>
      <c r="H73" s="20" t="n">
        <v>1.33138518</v>
      </c>
      <c r="I73" s="18" t="n">
        <v>0</v>
      </c>
      <c r="J73" s="20" t="n">
        <v>0</v>
      </c>
      <c r="K73" s="18" t="n">
        <v>0.45219727</v>
      </c>
      <c r="L73" s="20" t="n">
        <v>0.14558784</v>
      </c>
      <c r="M73" s="18" t="n">
        <v>0.07064096</v>
      </c>
      <c r="N73" s="20" t="n">
        <v>0.0717194</v>
      </c>
      <c r="O73" s="18" t="n">
        <v>0</v>
      </c>
      <c r="P73" s="20" t="n">
        <v>0</v>
      </c>
      <c r="Q73" s="18" t="n">
        <v>2.2954612</v>
      </c>
      <c r="R73" s="20" t="n">
        <v>0.53196074</v>
      </c>
    </row>
    <row r="74" spans="1:18">
      <c r="A74" s="15" t="s">
        <v>498</v>
      </c>
      <c r="B74" s="17" t="n">
        <v>7708</v>
      </c>
      <c r="C74" s="18">
        <f>(6745.0/B74*100)</f>
        <v/>
      </c>
      <c r="D74" s="19" t="n">
        <v>963</v>
      </c>
      <c r="E74" s="18" t="n">
        <v>27.62882204</v>
      </c>
      <c r="F74" s="20" t="n">
        <v>1.698904</v>
      </c>
      <c r="G74" s="18" t="n">
        <v>66.23212948</v>
      </c>
      <c r="H74" s="20" t="n">
        <v>1.75322224</v>
      </c>
      <c r="I74" s="18" t="n">
        <v>0</v>
      </c>
      <c r="J74" s="20" t="n">
        <v>0</v>
      </c>
      <c r="K74" s="18" t="n">
        <v>0.12360362</v>
      </c>
      <c r="L74" s="20" t="n">
        <v>0.09037312</v>
      </c>
      <c r="M74" s="18" t="n">
        <v>0</v>
      </c>
      <c r="N74" s="20" t="n">
        <v>0</v>
      </c>
      <c r="O74" s="18" t="n">
        <v>0</v>
      </c>
      <c r="P74" s="20" t="n">
        <v>0</v>
      </c>
      <c r="Q74" s="18" t="n">
        <v>6.01544487</v>
      </c>
      <c r="R74" s="20" t="n">
        <v>0.98679134</v>
      </c>
    </row>
    <row r="75" spans="1:18">
      <c r="A75" s="15" t="s">
        <v>499</v>
      </c>
      <c r="B75" s="17" t="n">
        <v>8249</v>
      </c>
      <c r="C75" s="18">
        <f>(7213.0/B75*100)</f>
        <v/>
      </c>
      <c r="D75" s="19" t="n">
        <v>1036</v>
      </c>
      <c r="E75" s="18" t="n">
        <v>61.94056276</v>
      </c>
      <c r="F75" s="20" t="n">
        <v>2.17593853</v>
      </c>
      <c r="G75" s="18" t="n">
        <v>35.97354008</v>
      </c>
      <c r="H75" s="20" t="n">
        <v>2.17740539</v>
      </c>
      <c r="I75" s="18" t="n">
        <v>0</v>
      </c>
      <c r="J75" s="20" t="n">
        <v>0</v>
      </c>
      <c r="K75" s="18" t="n">
        <v>0</v>
      </c>
      <c r="L75" s="20" t="n">
        <v>0</v>
      </c>
      <c r="M75" s="18" t="n">
        <v>0.1985769</v>
      </c>
      <c r="N75" s="20" t="n">
        <v>0.20829361</v>
      </c>
      <c r="O75" s="18" t="n">
        <v>0</v>
      </c>
      <c r="P75" s="20" t="n">
        <v>0</v>
      </c>
      <c r="Q75" s="18" t="n">
        <v>1.88732026</v>
      </c>
      <c r="R75" s="20" t="n">
        <v>0.5666848799999999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(4773.0/B77*100)</f>
        <v/>
      </c>
      <c r="D77" s="19" t="n">
        <v>602</v>
      </c>
      <c r="E77" s="18" t="n">
        <v>54.90723847</v>
      </c>
      <c r="F77" s="20" t="n">
        <v>2.11118961</v>
      </c>
      <c r="G77" s="18" t="n">
        <v>26.072665</v>
      </c>
      <c r="H77" s="20" t="n">
        <v>1.69772357</v>
      </c>
      <c r="I77" s="18" t="n">
        <v>0</v>
      </c>
      <c r="J77" s="20" t="n">
        <v>0</v>
      </c>
      <c r="K77" s="18" t="n">
        <v>1.48764286</v>
      </c>
      <c r="L77" s="20" t="n">
        <v>0.52354567</v>
      </c>
      <c r="M77" s="18" t="n">
        <v>0.8263231</v>
      </c>
      <c r="N77" s="20" t="n">
        <v>0.41965832</v>
      </c>
      <c r="O77" s="18" t="n">
        <v>0</v>
      </c>
      <c r="P77" s="20" t="n">
        <v>0</v>
      </c>
      <c r="Q77" s="18" t="n">
        <v>16.70613056</v>
      </c>
      <c r="R77" s="20" t="n">
        <v>1.95219528</v>
      </c>
    </row>
    <row r="78" spans="1:18">
      <c r="A78" s="15" t="s">
        <v>502</v>
      </c>
      <c r="B78" s="17" t="n">
        <v>14167</v>
      </c>
      <c r="C78" s="18">
        <f>(12477.0/B78*100)</f>
        <v/>
      </c>
      <c r="D78" s="19" t="n">
        <v>1690</v>
      </c>
      <c r="E78" s="18" t="n">
        <v>36.95211188</v>
      </c>
      <c r="F78" s="20" t="n">
        <v>1.78553007</v>
      </c>
      <c r="G78" s="18" t="n">
        <v>49.4675653</v>
      </c>
      <c r="H78" s="20" t="n">
        <v>1.93199356</v>
      </c>
      <c r="I78" s="18" t="n">
        <v>0</v>
      </c>
      <c r="J78" s="20" t="n">
        <v>0</v>
      </c>
      <c r="K78" s="18" t="n">
        <v>0.6555874</v>
      </c>
      <c r="L78" s="20" t="n">
        <v>0.2252505</v>
      </c>
      <c r="M78" s="18" t="n">
        <v>0.40169164</v>
      </c>
      <c r="N78" s="20" t="n">
        <v>0.21900795</v>
      </c>
      <c r="O78" s="18" t="n">
        <v>0</v>
      </c>
      <c r="P78" s="20" t="n">
        <v>0</v>
      </c>
      <c r="Q78" s="18" t="n">
        <v>12.52304378</v>
      </c>
      <c r="R78" s="20" t="n">
        <v>1.57300397</v>
      </c>
    </row>
    <row r="79" spans="1:18">
      <c r="A79" s="15" t="s">
        <v>503</v>
      </c>
      <c r="B79" s="17" t="n">
        <v>6062</v>
      </c>
      <c r="C79" s="18">
        <f>(5317.0/B79*100)</f>
        <v/>
      </c>
      <c r="D79" s="19" t="n">
        <v>745</v>
      </c>
      <c r="E79" s="18" t="n">
        <v>33.28986816</v>
      </c>
      <c r="F79" s="20" t="n">
        <v>1.67685159</v>
      </c>
      <c r="G79" s="18" t="n">
        <v>57.25577815</v>
      </c>
      <c r="H79" s="20" t="n">
        <v>2.0222823</v>
      </c>
      <c r="I79" s="18" t="n">
        <v>0</v>
      </c>
      <c r="J79" s="20" t="n">
        <v>0</v>
      </c>
      <c r="K79" s="18" t="n">
        <v>0.54588273</v>
      </c>
      <c r="L79" s="20" t="n">
        <v>0.3206662</v>
      </c>
      <c r="M79" s="18" t="n">
        <v>0.14550643</v>
      </c>
      <c r="N79" s="20" t="n">
        <v>0.15118125</v>
      </c>
      <c r="O79" s="18" t="n">
        <v>0</v>
      </c>
      <c r="P79" s="20" t="n">
        <v>0</v>
      </c>
      <c r="Q79" s="18" t="n">
        <v>8.76296453</v>
      </c>
      <c r="R79" s="20" t="n">
        <v>1.14393642</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(28307.0/B82*100)</f>
        <v/>
      </c>
      <c r="D82" s="19" t="n">
        <v>4023</v>
      </c>
      <c r="E82" s="18" t="n">
        <v>18.45009796</v>
      </c>
      <c r="F82" s="20" t="n">
        <v>0.92702867</v>
      </c>
      <c r="G82" s="18" t="n">
        <v>75.98944971</v>
      </c>
      <c r="H82" s="20" t="n">
        <v>0.97811054</v>
      </c>
      <c r="I82" s="18" t="n">
        <v>0</v>
      </c>
      <c r="J82" s="20" t="n">
        <v>0</v>
      </c>
      <c r="K82" s="18" t="n">
        <v>0.10803753</v>
      </c>
      <c r="L82" s="20" t="n">
        <v>0.04073031</v>
      </c>
      <c r="M82" s="18" t="n">
        <v>0.18958335</v>
      </c>
      <c r="N82" s="20" t="n">
        <v>0.18919929</v>
      </c>
      <c r="O82" s="18" t="n">
        <v>0</v>
      </c>
      <c r="P82" s="20" t="n">
        <v>0</v>
      </c>
      <c r="Q82" s="18" t="n">
        <v>5.26283145</v>
      </c>
      <c r="R82" s="20" t="n">
        <v>0.55703277</v>
      </c>
    </row>
    <row r="83" spans="1:18">
      <c r="A83" s="15" t="s">
        <v>507</v>
      </c>
      <c r="B83" s="17" t="n">
        <v>1652</v>
      </c>
      <c r="C83" s="18">
        <f>(1459.0/B83*100)</f>
        <v/>
      </c>
      <c r="D83" s="19" t="n">
        <v>193</v>
      </c>
      <c r="E83" s="18" t="n">
        <v>17.43963418</v>
      </c>
      <c r="F83" s="20" t="n">
        <v>3.00007071</v>
      </c>
      <c r="G83" s="18" t="n">
        <v>81.15768137000001</v>
      </c>
      <c r="H83" s="20" t="n">
        <v>3.00499126</v>
      </c>
      <c r="I83" s="18" t="n">
        <v>0</v>
      </c>
      <c r="J83" s="20" t="n">
        <v>0</v>
      </c>
      <c r="K83" s="18" t="n">
        <v>0</v>
      </c>
      <c r="L83" s="20" t="n">
        <v>0</v>
      </c>
      <c r="M83" s="18" t="n">
        <v>0</v>
      </c>
      <c r="N83" s="20" t="n">
        <v>0</v>
      </c>
      <c r="O83" s="18" t="n">
        <v>0</v>
      </c>
      <c r="P83" s="20" t="n">
        <v>0</v>
      </c>
      <c r="Q83" s="18" t="n">
        <v>1.40268445</v>
      </c>
      <c r="R83" s="20" t="n">
        <v>0.77637893</v>
      </c>
    </row>
    <row r="84" spans="1:18">
      <c r="A84" s="23" t="s">
        <v>508</v>
      </c>
      <c r="B84" s="24" t="n">
        <v>1887</v>
      </c>
      <c r="C84" s="25">
        <f>(1658.0/B84*100)</f>
        <v/>
      </c>
      <c r="D84" s="19" t="n">
        <v>229</v>
      </c>
      <c r="E84" s="18" t="n">
        <v>23.23334398</v>
      </c>
      <c r="F84" s="20" t="n">
        <v>2.66575183</v>
      </c>
      <c r="G84" s="18" t="n">
        <v>71.12646977</v>
      </c>
      <c r="H84" s="20" t="n">
        <v>2.81820587</v>
      </c>
      <c r="I84" s="18" t="n">
        <v>0</v>
      </c>
      <c r="J84" s="20" t="n">
        <v>0</v>
      </c>
      <c r="K84" s="18" t="n">
        <v>0</v>
      </c>
      <c r="L84" s="20" t="n">
        <v>0</v>
      </c>
      <c r="M84" s="18" t="n">
        <v>0</v>
      </c>
      <c r="N84" s="20" t="n">
        <v>0</v>
      </c>
      <c r="O84" s="18" t="n">
        <v>0</v>
      </c>
      <c r="P84" s="20" t="n">
        <v>0</v>
      </c>
      <c r="Q84" s="18" t="n">
        <v>5.64018625</v>
      </c>
      <c r="R84" s="20" t="n">
        <v>2.12000283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(12774.0/B7*100)</f>
        <v/>
      </c>
      <c r="D7" s="19" t="n">
        <v>1756</v>
      </c>
      <c r="E7" s="18" t="n">
        <v>31.02842628</v>
      </c>
      <c r="F7" s="20" t="n">
        <v>1.38045234</v>
      </c>
      <c r="G7" s="18" t="n">
        <v>67.86995589</v>
      </c>
      <c r="H7" s="20" t="n">
        <v>1.43402385</v>
      </c>
      <c r="I7" s="18" t="n">
        <v>0</v>
      </c>
      <c r="J7" s="20" t="n">
        <v>0</v>
      </c>
      <c r="K7" s="18" t="n">
        <v>0.28479668</v>
      </c>
      <c r="L7" s="20" t="n">
        <v>0.12489381</v>
      </c>
      <c r="M7" s="18" t="n">
        <v>0</v>
      </c>
      <c r="N7" s="20" t="n">
        <v>0</v>
      </c>
      <c r="O7" s="18" t="n">
        <v>0</v>
      </c>
      <c r="P7" s="20" t="n">
        <v>0</v>
      </c>
      <c r="Q7" s="18" t="n">
        <v>0.8168211399999999</v>
      </c>
      <c r="R7" s="20" t="n">
        <v>0.26998445</v>
      </c>
    </row>
    <row r="8" spans="1:18">
      <c r="A8" s="15" t="s">
        <v>430</v>
      </c>
      <c r="B8" s="17" t="n">
        <v>7007</v>
      </c>
      <c r="C8" s="18">
        <f>(6176.0/B8*100)</f>
        <v/>
      </c>
      <c r="D8" s="19" t="n">
        <v>831</v>
      </c>
      <c r="E8" s="18" t="n">
        <v>27.6497501</v>
      </c>
      <c r="F8" s="20" t="n">
        <v>1.73130541</v>
      </c>
      <c r="G8" s="18" t="n">
        <v>70.81953348</v>
      </c>
      <c r="H8" s="20" t="n">
        <v>1.7272898</v>
      </c>
      <c r="I8" s="18" t="n">
        <v>0</v>
      </c>
      <c r="J8" s="20" t="n">
        <v>0</v>
      </c>
      <c r="K8" s="18" t="n">
        <v>0.23782948</v>
      </c>
      <c r="L8" s="20" t="n">
        <v>0.14199998</v>
      </c>
      <c r="M8" s="18" t="n">
        <v>0</v>
      </c>
      <c r="N8" s="20" t="n">
        <v>0</v>
      </c>
      <c r="O8" s="18" t="n">
        <v>0</v>
      </c>
      <c r="P8" s="20" t="n">
        <v>0</v>
      </c>
      <c r="Q8" s="18" t="n">
        <v>1.29288695</v>
      </c>
      <c r="R8" s="20" t="n">
        <v>0.40029423</v>
      </c>
    </row>
    <row r="9" spans="1:18">
      <c r="A9" s="15" t="s">
        <v>431</v>
      </c>
      <c r="B9" s="17" t="n">
        <v>9651</v>
      </c>
      <c r="C9" s="18">
        <f>(8507.0/B9*100)</f>
        <v/>
      </c>
      <c r="D9" s="19" t="n">
        <v>1144</v>
      </c>
      <c r="E9" s="18" t="n">
        <v>41.52994749</v>
      </c>
      <c r="F9" s="20" t="n">
        <v>1.70292719</v>
      </c>
      <c r="G9" s="18" t="n">
        <v>56.72392575</v>
      </c>
      <c r="H9" s="20" t="n">
        <v>1.66419878</v>
      </c>
      <c r="I9" s="18" t="n">
        <v>0</v>
      </c>
      <c r="J9" s="20" t="n">
        <v>0</v>
      </c>
      <c r="K9" s="18" t="n">
        <v>0.07837123999999999</v>
      </c>
      <c r="L9" s="20" t="n">
        <v>0.07573521</v>
      </c>
      <c r="M9" s="18" t="n">
        <v>0</v>
      </c>
      <c r="N9" s="20" t="n">
        <v>0</v>
      </c>
      <c r="O9" s="18" t="n">
        <v>0</v>
      </c>
      <c r="P9" s="20" t="n">
        <v>0</v>
      </c>
      <c r="Q9" s="18" t="n">
        <v>1.66775552</v>
      </c>
      <c r="R9" s="20" t="n">
        <v>0.4244781</v>
      </c>
    </row>
    <row r="10" spans="1:18">
      <c r="A10" s="15" t="s">
        <v>432</v>
      </c>
      <c r="B10" s="17" t="n">
        <v>20058</v>
      </c>
      <c r="C10" s="18">
        <f>(17592.0/B10*100)</f>
        <v/>
      </c>
      <c r="D10" s="19" t="n">
        <v>2466</v>
      </c>
      <c r="E10" s="18" t="n">
        <v>27.53881403</v>
      </c>
      <c r="F10" s="20" t="n">
        <v>1.28831236</v>
      </c>
      <c r="G10" s="18" t="n">
        <v>71.22785933</v>
      </c>
      <c r="H10" s="20" t="n">
        <v>1.28999617</v>
      </c>
      <c r="I10" s="18" t="n">
        <v>0</v>
      </c>
      <c r="J10" s="20" t="n">
        <v>0</v>
      </c>
      <c r="K10" s="18" t="n">
        <v>0.35756362</v>
      </c>
      <c r="L10" s="20" t="n">
        <v>0.16305823</v>
      </c>
      <c r="M10" s="18" t="n">
        <v>0</v>
      </c>
      <c r="N10" s="20" t="n">
        <v>0</v>
      </c>
      <c r="O10" s="18" t="n">
        <v>0</v>
      </c>
      <c r="P10" s="20" t="n">
        <v>0</v>
      </c>
      <c r="Q10" s="18" t="n">
        <v>0.8757630199999999</v>
      </c>
      <c r="R10" s="20" t="n">
        <v>0.26601625</v>
      </c>
    </row>
    <row r="11" spans="1:18">
      <c r="A11" s="15" t="s">
        <v>433</v>
      </c>
      <c r="B11" s="17" t="n">
        <v>7053</v>
      </c>
      <c r="C11" s="18">
        <f>(6181.0/B11*100)</f>
        <v/>
      </c>
      <c r="D11" s="19" t="n">
        <v>872</v>
      </c>
      <c r="E11" s="18" t="n">
        <v>35.98277027</v>
      </c>
      <c r="F11" s="20" t="n">
        <v>1.87209625</v>
      </c>
      <c r="G11" s="18" t="n">
        <v>61.78978945</v>
      </c>
      <c r="H11" s="20" t="n">
        <v>1.89252779</v>
      </c>
      <c r="I11" s="18" t="n">
        <v>0</v>
      </c>
      <c r="J11" s="20" t="n">
        <v>0</v>
      </c>
      <c r="K11" s="18" t="n">
        <v>0.35596168</v>
      </c>
      <c r="L11" s="20" t="n">
        <v>0.33284316</v>
      </c>
      <c r="M11" s="18" t="n">
        <v>0</v>
      </c>
      <c r="N11" s="20" t="n">
        <v>0</v>
      </c>
      <c r="O11" s="18" t="n">
        <v>0</v>
      </c>
      <c r="P11" s="20" t="n">
        <v>0</v>
      </c>
      <c r="Q11" s="18" t="n">
        <v>1.8714786</v>
      </c>
      <c r="R11" s="20" t="n">
        <v>0.62067758</v>
      </c>
    </row>
    <row r="12" spans="1:18">
      <c r="A12" s="15" t="s">
        <v>434</v>
      </c>
      <c r="B12" s="17" t="n">
        <v>6894</v>
      </c>
      <c r="C12" s="18">
        <f>(6045.0/B12*100)</f>
        <v/>
      </c>
      <c r="D12" s="19" t="n">
        <v>849</v>
      </c>
      <c r="E12" s="18" t="n">
        <v>33.38446932</v>
      </c>
      <c r="F12" s="20" t="n">
        <v>1.9611451</v>
      </c>
      <c r="G12" s="18" t="n">
        <v>66.08774317</v>
      </c>
      <c r="H12" s="20" t="n">
        <v>1.95367484</v>
      </c>
      <c r="I12" s="18" t="n">
        <v>0</v>
      </c>
      <c r="J12" s="20" t="n">
        <v>0</v>
      </c>
      <c r="K12" s="18" t="n">
        <v>0.09169405</v>
      </c>
      <c r="L12" s="20" t="n">
        <v>0.13085354</v>
      </c>
      <c r="M12" s="18" t="n">
        <v>0</v>
      </c>
      <c r="N12" s="20" t="n">
        <v>0</v>
      </c>
      <c r="O12" s="18" t="n">
        <v>0</v>
      </c>
      <c r="P12" s="20" t="n">
        <v>0</v>
      </c>
      <c r="Q12" s="18" t="n">
        <v>0.43609346</v>
      </c>
      <c r="R12" s="20" t="n">
        <v>0.223098</v>
      </c>
    </row>
    <row r="13" spans="1:18">
      <c r="A13" s="15" t="s">
        <v>435</v>
      </c>
      <c r="B13" s="17" t="n">
        <v>7161</v>
      </c>
      <c r="C13" s="18">
        <f>(6328.0/B13*100)</f>
        <v/>
      </c>
      <c r="D13" s="19" t="n">
        <v>833</v>
      </c>
      <c r="E13" s="18" t="n">
        <v>22.22035984</v>
      </c>
      <c r="F13" s="20" t="n">
        <v>1.75412419</v>
      </c>
      <c r="G13" s="18" t="n">
        <v>76.18247660999999</v>
      </c>
      <c r="H13" s="20" t="n">
        <v>1.66426678</v>
      </c>
      <c r="I13" s="18" t="n">
        <v>0</v>
      </c>
      <c r="J13" s="20" t="n">
        <v>0</v>
      </c>
      <c r="K13" s="18" t="n">
        <v>0.90718983</v>
      </c>
      <c r="L13" s="20" t="n">
        <v>0.45983378</v>
      </c>
      <c r="M13" s="18" t="n">
        <v>0</v>
      </c>
      <c r="N13" s="20" t="n">
        <v>0</v>
      </c>
      <c r="O13" s="18" t="n">
        <v>0</v>
      </c>
      <c r="P13" s="20" t="n">
        <v>0</v>
      </c>
      <c r="Q13" s="18" t="n">
        <v>0.68997371</v>
      </c>
      <c r="R13" s="20" t="n">
        <v>0.28989243</v>
      </c>
    </row>
    <row r="14" spans="1:18">
      <c r="A14" s="15" t="s">
        <v>436</v>
      </c>
      <c r="B14" s="17" t="n">
        <v>5587</v>
      </c>
      <c r="C14" s="18">
        <f>(4913.0/B14*100)</f>
        <v/>
      </c>
      <c r="D14" s="19" t="n">
        <v>674</v>
      </c>
      <c r="E14" s="18" t="n">
        <v>30.10845168</v>
      </c>
      <c r="F14" s="20" t="n">
        <v>1.99263061</v>
      </c>
      <c r="G14" s="18" t="n">
        <v>69.32029995000001</v>
      </c>
      <c r="H14" s="20" t="n">
        <v>1.96335927</v>
      </c>
      <c r="I14" s="18" t="n">
        <v>0</v>
      </c>
      <c r="J14" s="20" t="n">
        <v>0</v>
      </c>
      <c r="K14" s="18" t="n">
        <v>0.11944909</v>
      </c>
      <c r="L14" s="20" t="n">
        <v>0.12579348</v>
      </c>
      <c r="M14" s="18" t="n">
        <v>0</v>
      </c>
      <c r="N14" s="20" t="n">
        <v>0</v>
      </c>
      <c r="O14" s="18" t="n">
        <v>0</v>
      </c>
      <c r="P14" s="20" t="n">
        <v>0</v>
      </c>
      <c r="Q14" s="18" t="n">
        <v>0.45179928</v>
      </c>
      <c r="R14" s="20" t="n">
        <v>0.3496822</v>
      </c>
    </row>
    <row r="15" spans="1:18">
      <c r="A15" s="15" t="s">
        <v>437</v>
      </c>
      <c r="B15" s="17" t="n">
        <v>5882</v>
      </c>
      <c r="C15" s="18">
        <f>(5144.0/B15*100)</f>
        <v/>
      </c>
      <c r="D15" s="19" t="n">
        <v>738</v>
      </c>
      <c r="E15" s="18" t="n">
        <v>20.52165008</v>
      </c>
      <c r="F15" s="20" t="n">
        <v>1.89620134</v>
      </c>
      <c r="G15" s="18" t="n">
        <v>78.47076629999999</v>
      </c>
      <c r="H15" s="20" t="n">
        <v>1.878579</v>
      </c>
      <c r="I15" s="18" t="n">
        <v>0</v>
      </c>
      <c r="J15" s="20" t="n">
        <v>0</v>
      </c>
      <c r="K15" s="18" t="n">
        <v>0.40485839</v>
      </c>
      <c r="L15" s="20" t="n">
        <v>0.23174125</v>
      </c>
      <c r="M15" s="18" t="n">
        <v>0</v>
      </c>
      <c r="N15" s="20" t="n">
        <v>0</v>
      </c>
      <c r="O15" s="18" t="n">
        <v>0</v>
      </c>
      <c r="P15" s="20" t="n">
        <v>0</v>
      </c>
      <c r="Q15" s="18" t="n">
        <v>0.60272523</v>
      </c>
      <c r="R15" s="20" t="n">
        <v>0.38046502</v>
      </c>
    </row>
    <row r="16" spans="1:18">
      <c r="A16" s="15" t="s">
        <v>438</v>
      </c>
      <c r="B16" s="17" t="n">
        <v>6108</v>
      </c>
      <c r="C16" s="18">
        <f>(5335.0/B16*100)</f>
        <v/>
      </c>
      <c r="D16" s="19" t="n">
        <v>773</v>
      </c>
      <c r="E16" s="18" t="n">
        <v>39.85252266</v>
      </c>
      <c r="F16" s="20" t="n">
        <v>1.92323689</v>
      </c>
      <c r="G16" s="18" t="n">
        <v>57.23356026</v>
      </c>
      <c r="H16" s="20" t="n">
        <v>1.90197739</v>
      </c>
      <c r="I16" s="18" t="n">
        <v>0</v>
      </c>
      <c r="J16" s="20" t="n">
        <v>0</v>
      </c>
      <c r="K16" s="18" t="n">
        <v>0.97554129</v>
      </c>
      <c r="L16" s="20" t="n">
        <v>0.40410951</v>
      </c>
      <c r="M16" s="18" t="n">
        <v>0</v>
      </c>
      <c r="N16" s="20" t="n">
        <v>0</v>
      </c>
      <c r="O16" s="18" t="n">
        <v>0</v>
      </c>
      <c r="P16" s="20" t="n">
        <v>0</v>
      </c>
      <c r="Q16" s="18" t="n">
        <v>1.93837578</v>
      </c>
      <c r="R16" s="20" t="n">
        <v>0.49998158</v>
      </c>
    </row>
    <row r="17" spans="1:18">
      <c r="A17" s="15" t="s">
        <v>439</v>
      </c>
      <c r="B17" s="17" t="n">
        <v>6504</v>
      </c>
      <c r="C17" s="18">
        <f>(5713.0/B17*100)</f>
        <v/>
      </c>
      <c r="D17" s="19" t="n">
        <v>791</v>
      </c>
      <c r="E17" s="18" t="n">
        <v>22.14082966</v>
      </c>
      <c r="F17" s="20" t="n">
        <v>1.75332998</v>
      </c>
      <c r="G17" s="18" t="n">
        <v>75.63120404999999</v>
      </c>
      <c r="H17" s="20" t="n">
        <v>1.95922461</v>
      </c>
      <c r="I17" s="18" t="n">
        <v>0</v>
      </c>
      <c r="J17" s="20" t="n">
        <v>0</v>
      </c>
      <c r="K17" s="18" t="n">
        <v>0.21812658</v>
      </c>
      <c r="L17" s="20" t="n">
        <v>0.15622659</v>
      </c>
      <c r="M17" s="18" t="n">
        <v>0</v>
      </c>
      <c r="N17" s="20" t="n">
        <v>0</v>
      </c>
      <c r="O17" s="18" t="n">
        <v>0</v>
      </c>
      <c r="P17" s="20" t="n">
        <v>0</v>
      </c>
      <c r="Q17" s="18" t="n">
        <v>2.00983972</v>
      </c>
      <c r="R17" s="20" t="n">
        <v>0.536488</v>
      </c>
    </row>
    <row r="18" spans="1:18">
      <c r="A18" s="15" t="s">
        <v>440</v>
      </c>
      <c r="B18" s="17" t="n">
        <v>5532</v>
      </c>
      <c r="C18" s="18">
        <f>(4845.0/B18*100)</f>
        <v/>
      </c>
      <c r="D18" s="19" t="n">
        <v>687</v>
      </c>
      <c r="E18" s="18" t="n">
        <v>35.42392895</v>
      </c>
      <c r="F18" s="20" t="n">
        <v>2.21016207</v>
      </c>
      <c r="G18" s="18" t="n">
        <v>63.62940156</v>
      </c>
      <c r="H18" s="20" t="n">
        <v>2.20869486</v>
      </c>
      <c r="I18" s="18" t="n">
        <v>0</v>
      </c>
      <c r="J18" s="20" t="n">
        <v>0</v>
      </c>
      <c r="K18" s="18" t="n">
        <v>0</v>
      </c>
      <c r="L18" s="20" t="n">
        <v>0</v>
      </c>
      <c r="M18" s="18" t="n">
        <v>0</v>
      </c>
      <c r="N18" s="20" t="n">
        <v>0</v>
      </c>
      <c r="O18" s="18" t="n">
        <v>0</v>
      </c>
      <c r="P18" s="20" t="n">
        <v>0</v>
      </c>
      <c r="Q18" s="18" t="n">
        <v>0.94666949</v>
      </c>
      <c r="R18" s="20" t="n">
        <v>0.33966892</v>
      </c>
    </row>
    <row r="19" spans="1:18">
      <c r="A19" s="15" t="s">
        <v>441</v>
      </c>
      <c r="B19" s="17" t="n">
        <v>5658</v>
      </c>
      <c r="C19" s="18">
        <f>(4938.0/B19*100)</f>
        <v/>
      </c>
      <c r="D19" s="19" t="n">
        <v>720</v>
      </c>
      <c r="E19" s="18" t="n">
        <v>34.63571841</v>
      </c>
      <c r="F19" s="20" t="n">
        <v>1.81602316</v>
      </c>
      <c r="G19" s="18" t="n">
        <v>63.44093836</v>
      </c>
      <c r="H19" s="20" t="n">
        <v>1.73676471</v>
      </c>
      <c r="I19" s="18" t="n">
        <v>0</v>
      </c>
      <c r="J19" s="20" t="n">
        <v>0</v>
      </c>
      <c r="K19" s="18" t="n">
        <v>0.7687445899999999</v>
      </c>
      <c r="L19" s="20" t="n">
        <v>0.46531866</v>
      </c>
      <c r="M19" s="18" t="n">
        <v>0</v>
      </c>
      <c r="N19" s="20" t="n">
        <v>0</v>
      </c>
      <c r="O19" s="18" t="n">
        <v>0</v>
      </c>
      <c r="P19" s="20" t="n">
        <v>0</v>
      </c>
      <c r="Q19" s="18" t="n">
        <v>1.15459864</v>
      </c>
      <c r="R19" s="20" t="n">
        <v>0.49865917</v>
      </c>
    </row>
    <row r="20" spans="1:18">
      <c r="A20" s="15" t="s">
        <v>442</v>
      </c>
      <c r="B20" s="17" t="n">
        <v>3371</v>
      </c>
      <c r="C20" s="18">
        <f>(2956.0/B20*100)</f>
        <v/>
      </c>
      <c r="D20" s="19" t="n">
        <v>415</v>
      </c>
      <c r="E20" s="18" t="n">
        <v>37.34216758</v>
      </c>
      <c r="F20" s="20" t="n">
        <v>2.31926141</v>
      </c>
      <c r="G20" s="18" t="n">
        <v>60.88885786</v>
      </c>
      <c r="H20" s="20" t="n">
        <v>2.30937383</v>
      </c>
      <c r="I20" s="18" t="n">
        <v>0</v>
      </c>
      <c r="J20" s="20" t="n">
        <v>0</v>
      </c>
      <c r="K20" s="18" t="n">
        <v>0.5299901</v>
      </c>
      <c r="L20" s="20" t="n">
        <v>0.36678397</v>
      </c>
      <c r="M20" s="18" t="n">
        <v>0</v>
      </c>
      <c r="N20" s="20" t="n">
        <v>0</v>
      </c>
      <c r="O20" s="18" t="n">
        <v>0</v>
      </c>
      <c r="P20" s="20" t="n">
        <v>0</v>
      </c>
      <c r="Q20" s="18" t="n">
        <v>1.23898446</v>
      </c>
      <c r="R20" s="20" t="n">
        <v>0.54979059</v>
      </c>
    </row>
    <row r="21" spans="1:18">
      <c r="A21" s="15" t="s">
        <v>443</v>
      </c>
      <c r="B21" s="17" t="n">
        <v>5741</v>
      </c>
      <c r="C21" s="18">
        <f>(4789.0/B21*100)</f>
        <v/>
      </c>
      <c r="D21" s="19" t="n">
        <v>952</v>
      </c>
      <c r="E21" s="18" t="n">
        <v>30.08255965</v>
      </c>
      <c r="F21" s="20" t="n">
        <v>1.70200281</v>
      </c>
      <c r="G21" s="18" t="n">
        <v>68.76125679</v>
      </c>
      <c r="H21" s="20" t="n">
        <v>1.72994732</v>
      </c>
      <c r="I21" s="18" t="n">
        <v>0</v>
      </c>
      <c r="J21" s="20" t="n">
        <v>0</v>
      </c>
      <c r="K21" s="18" t="n">
        <v>0.09845099</v>
      </c>
      <c r="L21" s="20" t="n">
        <v>0.08862663</v>
      </c>
      <c r="M21" s="18" t="n">
        <v>0</v>
      </c>
      <c r="N21" s="20" t="n">
        <v>0</v>
      </c>
      <c r="O21" s="18" t="n">
        <v>0</v>
      </c>
      <c r="P21" s="20" t="n">
        <v>0</v>
      </c>
      <c r="Q21" s="18" t="n">
        <v>1.05773257</v>
      </c>
      <c r="R21" s="20" t="n">
        <v>0.32269066</v>
      </c>
    </row>
    <row r="22" spans="1:18">
      <c r="A22" s="15" t="s">
        <v>444</v>
      </c>
      <c r="B22" s="17" t="n">
        <v>6598</v>
      </c>
      <c r="C22" s="18">
        <f>(5777.0/B22*100)</f>
        <v/>
      </c>
      <c r="D22" s="19" t="n">
        <v>821</v>
      </c>
      <c r="E22" s="18" t="n">
        <v>33.9199521</v>
      </c>
      <c r="F22" s="20" t="n">
        <v>1.73788124</v>
      </c>
      <c r="G22" s="18" t="n">
        <v>64.51988285</v>
      </c>
      <c r="H22" s="20" t="n">
        <v>1.71847205</v>
      </c>
      <c r="I22" s="18" t="n">
        <v>0</v>
      </c>
      <c r="J22" s="20" t="n">
        <v>0</v>
      </c>
      <c r="K22" s="18" t="n">
        <v>0.10617782</v>
      </c>
      <c r="L22" s="20" t="n">
        <v>0.11814597</v>
      </c>
      <c r="M22" s="18" t="n">
        <v>0</v>
      </c>
      <c r="N22" s="20" t="n">
        <v>0</v>
      </c>
      <c r="O22" s="18" t="n">
        <v>0</v>
      </c>
      <c r="P22" s="20" t="n">
        <v>0</v>
      </c>
      <c r="Q22" s="18" t="n">
        <v>1.45398723</v>
      </c>
      <c r="R22" s="20" t="n">
        <v>0.37407028</v>
      </c>
    </row>
    <row r="23" spans="1:18">
      <c r="A23" s="15" t="s">
        <v>445</v>
      </c>
      <c r="B23" s="17" t="n">
        <v>11583</v>
      </c>
      <c r="C23" s="18">
        <f>(10158.0/B23*100)</f>
        <v/>
      </c>
      <c r="D23" s="19" t="n">
        <v>1425</v>
      </c>
      <c r="E23" s="18" t="n">
        <v>30.97391086</v>
      </c>
      <c r="F23" s="20" t="n">
        <v>1.87902985</v>
      </c>
      <c r="G23" s="18" t="n">
        <v>68.01420677</v>
      </c>
      <c r="H23" s="20" t="n">
        <v>1.92518869</v>
      </c>
      <c r="I23" s="18" t="n">
        <v>0</v>
      </c>
      <c r="J23" s="20" t="n">
        <v>0</v>
      </c>
      <c r="K23" s="18" t="n">
        <v>0.04679221</v>
      </c>
      <c r="L23" s="20" t="n">
        <v>0.03842418</v>
      </c>
      <c r="M23" s="18" t="n">
        <v>0</v>
      </c>
      <c r="N23" s="20" t="n">
        <v>0</v>
      </c>
      <c r="O23" s="18" t="n">
        <v>0</v>
      </c>
      <c r="P23" s="20" t="n">
        <v>0</v>
      </c>
      <c r="Q23" s="18" t="n">
        <v>0.96509016</v>
      </c>
      <c r="R23" s="20" t="n">
        <v>0.48046617</v>
      </c>
    </row>
    <row r="24" spans="1:18">
      <c r="A24" s="15" t="s">
        <v>446</v>
      </c>
      <c r="B24" s="17" t="n">
        <v>6647</v>
      </c>
      <c r="C24" s="18">
        <f>(5823.0/B24*100)</f>
        <v/>
      </c>
      <c r="D24" s="19" t="n">
        <v>824</v>
      </c>
      <c r="E24" s="18" t="n">
        <v>25.65353501</v>
      </c>
      <c r="F24" s="20" t="n">
        <v>1.60645204</v>
      </c>
      <c r="G24" s="18" t="n">
        <v>73.73729289000001</v>
      </c>
      <c r="H24" s="20" t="n">
        <v>1.61081874</v>
      </c>
      <c r="I24" s="18" t="n">
        <v>0</v>
      </c>
      <c r="J24" s="20" t="n">
        <v>0</v>
      </c>
      <c r="K24" s="18" t="n">
        <v>0</v>
      </c>
      <c r="L24" s="20" t="n">
        <v>0</v>
      </c>
      <c r="M24" s="18" t="n">
        <v>0</v>
      </c>
      <c r="N24" s="20" t="n">
        <v>0</v>
      </c>
      <c r="O24" s="18" t="n">
        <v>0</v>
      </c>
      <c r="P24" s="20" t="n">
        <v>0</v>
      </c>
      <c r="Q24" s="18" t="n">
        <v>0.6091721</v>
      </c>
      <c r="R24" s="20" t="n">
        <v>0.27253549</v>
      </c>
    </row>
    <row r="25" spans="1:18">
      <c r="A25" s="15" t="s">
        <v>447</v>
      </c>
      <c r="B25" s="17" t="n">
        <v>5581</v>
      </c>
      <c r="C25" s="18">
        <f>(4896.0/B25*100)</f>
        <v/>
      </c>
      <c r="D25" s="19" t="n">
        <v>685</v>
      </c>
      <c r="E25" s="18" t="n">
        <v>17.63454498</v>
      </c>
      <c r="F25" s="20" t="n">
        <v>1.71630479</v>
      </c>
      <c r="G25" s="18" t="n">
        <v>81.32916776</v>
      </c>
      <c r="H25" s="20" t="n">
        <v>1.85117451</v>
      </c>
      <c r="I25" s="18" t="n">
        <v>0</v>
      </c>
      <c r="J25" s="20" t="n">
        <v>0</v>
      </c>
      <c r="K25" s="18" t="n">
        <v>0.14149082</v>
      </c>
      <c r="L25" s="20" t="n">
        <v>0.14122967</v>
      </c>
      <c r="M25" s="18" t="n">
        <v>0</v>
      </c>
      <c r="N25" s="20" t="n">
        <v>0</v>
      </c>
      <c r="O25" s="18" t="n">
        <v>0</v>
      </c>
      <c r="P25" s="20" t="n">
        <v>0</v>
      </c>
      <c r="Q25" s="18" t="n">
        <v>0.89479644</v>
      </c>
      <c r="R25" s="20" t="n">
        <v>0.36500282</v>
      </c>
    </row>
    <row r="26" spans="1:18">
      <c r="A26" s="15" t="s">
        <v>448</v>
      </c>
      <c r="B26" s="17" t="n">
        <v>4869</v>
      </c>
      <c r="C26" s="18">
        <f>(4280.0/B26*100)</f>
        <v/>
      </c>
      <c r="D26" s="19" t="n">
        <v>589</v>
      </c>
      <c r="E26" s="18" t="n">
        <v>34.02701617</v>
      </c>
      <c r="F26" s="20" t="n">
        <v>2.0673346</v>
      </c>
      <c r="G26" s="18" t="n">
        <v>65.19369254999999</v>
      </c>
      <c r="H26" s="20" t="n">
        <v>2.12014872</v>
      </c>
      <c r="I26" s="18" t="n">
        <v>0</v>
      </c>
      <c r="J26" s="20" t="n">
        <v>0</v>
      </c>
      <c r="K26" s="18" t="n">
        <v>0</v>
      </c>
      <c r="L26" s="20" t="n">
        <v>0</v>
      </c>
      <c r="M26" s="18" t="n">
        <v>0</v>
      </c>
      <c r="N26" s="20" t="n">
        <v>0</v>
      </c>
      <c r="O26" s="18" t="n">
        <v>0</v>
      </c>
      <c r="P26" s="20" t="n">
        <v>0</v>
      </c>
      <c r="Q26" s="18" t="n">
        <v>0.77929127</v>
      </c>
      <c r="R26" s="20" t="n">
        <v>0.38722889</v>
      </c>
    </row>
    <row r="27" spans="1:18">
      <c r="A27" s="15" t="s">
        <v>449</v>
      </c>
      <c r="B27" s="17" t="n">
        <v>5299</v>
      </c>
      <c r="C27" s="18">
        <f>(4648.0/B27*100)</f>
        <v/>
      </c>
      <c r="D27" s="19" t="n">
        <v>651</v>
      </c>
      <c r="E27" s="18" t="n">
        <v>37.8726056</v>
      </c>
      <c r="F27" s="20" t="n">
        <v>1.78121315</v>
      </c>
      <c r="G27" s="18" t="n">
        <v>60.10583802</v>
      </c>
      <c r="H27" s="20" t="n">
        <v>1.78775877</v>
      </c>
      <c r="I27" s="18" t="n">
        <v>0</v>
      </c>
      <c r="J27" s="20" t="n">
        <v>0</v>
      </c>
      <c r="K27" s="18" t="n">
        <v>0.32145593</v>
      </c>
      <c r="L27" s="20" t="n">
        <v>0.22427186</v>
      </c>
      <c r="M27" s="18" t="n">
        <v>0</v>
      </c>
      <c r="N27" s="20" t="n">
        <v>0</v>
      </c>
      <c r="O27" s="18" t="n">
        <v>0</v>
      </c>
      <c r="P27" s="20" t="n">
        <v>0</v>
      </c>
      <c r="Q27" s="18" t="n">
        <v>1.70010045</v>
      </c>
      <c r="R27" s="20" t="n">
        <v>0.48799262</v>
      </c>
    </row>
    <row r="28" spans="1:18">
      <c r="A28" s="15" t="s">
        <v>450</v>
      </c>
      <c r="B28" s="17" t="n">
        <v>7568</v>
      </c>
      <c r="C28" s="18">
        <f>(6659.0/B28*100)</f>
        <v/>
      </c>
      <c r="D28" s="19" t="n">
        <v>909</v>
      </c>
      <c r="E28" s="18" t="n">
        <v>54.59311994</v>
      </c>
      <c r="F28" s="20" t="n">
        <v>2.08824969</v>
      </c>
      <c r="G28" s="18" t="n">
        <v>44.58826489</v>
      </c>
      <c r="H28" s="20" t="n">
        <v>2.0620967</v>
      </c>
      <c r="I28" s="18" t="n">
        <v>0</v>
      </c>
      <c r="J28" s="20" t="n">
        <v>0</v>
      </c>
      <c r="K28" s="18" t="n">
        <v>0.10984409</v>
      </c>
      <c r="L28" s="20" t="n">
        <v>0.11948251</v>
      </c>
      <c r="M28" s="18" t="n">
        <v>0</v>
      </c>
      <c r="N28" s="20" t="n">
        <v>0</v>
      </c>
      <c r="O28" s="18" t="n">
        <v>0</v>
      </c>
      <c r="P28" s="20" t="n">
        <v>0</v>
      </c>
      <c r="Q28" s="18" t="n">
        <v>0.7087710699999999</v>
      </c>
      <c r="R28" s="20" t="n">
        <v>0.35202743</v>
      </c>
    </row>
    <row r="29" spans="1:18">
      <c r="A29" s="15" t="s">
        <v>451</v>
      </c>
      <c r="B29" s="17" t="n">
        <v>5385</v>
      </c>
      <c r="C29" s="18">
        <f>(4742.0/B29*100)</f>
        <v/>
      </c>
      <c r="D29" s="19" t="n">
        <v>643</v>
      </c>
      <c r="E29" s="18" t="n">
        <v>35.59387392</v>
      </c>
      <c r="F29" s="20" t="n">
        <v>1.94427663</v>
      </c>
      <c r="G29" s="18" t="n">
        <v>63.49866064</v>
      </c>
      <c r="H29" s="20" t="n">
        <v>1.92337647</v>
      </c>
      <c r="I29" s="18" t="n">
        <v>0</v>
      </c>
      <c r="J29" s="20" t="n">
        <v>0</v>
      </c>
      <c r="K29" s="18" t="n">
        <v>0</v>
      </c>
      <c r="L29" s="20" t="n">
        <v>0</v>
      </c>
      <c r="M29" s="18" t="n">
        <v>0</v>
      </c>
      <c r="N29" s="20" t="n">
        <v>0</v>
      </c>
      <c r="O29" s="18" t="n">
        <v>0</v>
      </c>
      <c r="P29" s="20" t="n">
        <v>0</v>
      </c>
      <c r="Q29" s="18" t="n">
        <v>0.90746544</v>
      </c>
      <c r="R29" s="20" t="n">
        <v>0.39328917</v>
      </c>
    </row>
    <row r="30" spans="1:18">
      <c r="A30" s="15" t="s">
        <v>452</v>
      </c>
      <c r="B30" s="17" t="n">
        <v>4520</v>
      </c>
      <c r="C30" s="18">
        <f>(3940.0/B30*100)</f>
        <v/>
      </c>
      <c r="D30" s="19" t="n">
        <v>580</v>
      </c>
      <c r="E30" s="18" t="n">
        <v>29.23592497</v>
      </c>
      <c r="F30" s="20" t="n">
        <v>1.9213211</v>
      </c>
      <c r="G30" s="18" t="n">
        <v>68.49395608</v>
      </c>
      <c r="H30" s="20" t="n">
        <v>1.90650547</v>
      </c>
      <c r="I30" s="18" t="n">
        <v>0</v>
      </c>
      <c r="J30" s="20" t="n">
        <v>0</v>
      </c>
      <c r="K30" s="18" t="n">
        <v>0.37300481</v>
      </c>
      <c r="L30" s="20" t="n">
        <v>0.07358176</v>
      </c>
      <c r="M30" s="18" t="n">
        <v>0</v>
      </c>
      <c r="N30" s="20" t="n">
        <v>0</v>
      </c>
      <c r="O30" s="18" t="n">
        <v>0</v>
      </c>
      <c r="P30" s="20" t="n">
        <v>0</v>
      </c>
      <c r="Q30" s="18" t="n">
        <v>1.89711414</v>
      </c>
      <c r="R30" s="20" t="n">
        <v>0.66153805</v>
      </c>
    </row>
    <row r="31" spans="1:18">
      <c r="A31" s="15" t="s">
        <v>453</v>
      </c>
      <c r="B31" s="17" t="n">
        <v>5456</v>
      </c>
      <c r="C31" s="18">
        <f>(4794.0/B31*100)</f>
        <v/>
      </c>
      <c r="D31" s="19" t="n">
        <v>662</v>
      </c>
      <c r="E31" s="18" t="n">
        <v>26.73301114</v>
      </c>
      <c r="F31" s="20" t="n">
        <v>1.75867757</v>
      </c>
      <c r="G31" s="18" t="n">
        <v>72.08685917</v>
      </c>
      <c r="H31" s="20" t="n">
        <v>1.81979013</v>
      </c>
      <c r="I31" s="18" t="n">
        <v>0</v>
      </c>
      <c r="J31" s="20" t="n">
        <v>0</v>
      </c>
      <c r="K31" s="18" t="n">
        <v>0.13652771</v>
      </c>
      <c r="L31" s="20" t="n">
        <v>0.13717537</v>
      </c>
      <c r="M31" s="18" t="n">
        <v>0</v>
      </c>
      <c r="N31" s="20" t="n">
        <v>0</v>
      </c>
      <c r="O31" s="18" t="n">
        <v>0</v>
      </c>
      <c r="P31" s="20" t="n">
        <v>0</v>
      </c>
      <c r="Q31" s="18" t="n">
        <v>1.04360197</v>
      </c>
      <c r="R31" s="20" t="n">
        <v>0.39454408</v>
      </c>
    </row>
    <row r="32" spans="1:18">
      <c r="A32" s="15" t="s">
        <v>454</v>
      </c>
      <c r="B32" s="17" t="n">
        <v>4478</v>
      </c>
      <c r="C32" s="18">
        <f>(3764.0/B32*100)</f>
        <v/>
      </c>
      <c r="D32" s="19" t="n">
        <v>714</v>
      </c>
      <c r="E32" s="18" t="n">
        <v>24.92594426</v>
      </c>
      <c r="F32" s="20" t="n">
        <v>2.23822827</v>
      </c>
      <c r="G32" s="18" t="n">
        <v>74.66484462</v>
      </c>
      <c r="H32" s="20" t="n">
        <v>2.24813521</v>
      </c>
      <c r="I32" s="18" t="n">
        <v>0</v>
      </c>
      <c r="J32" s="20" t="n">
        <v>0</v>
      </c>
      <c r="K32" s="18" t="n">
        <v>0.13522172</v>
      </c>
      <c r="L32" s="20" t="n">
        <v>0.12733626</v>
      </c>
      <c r="M32" s="18" t="n">
        <v>0</v>
      </c>
      <c r="N32" s="20" t="n">
        <v>0</v>
      </c>
      <c r="O32" s="18" t="n">
        <v>0</v>
      </c>
      <c r="P32" s="20" t="n">
        <v>0</v>
      </c>
      <c r="Q32" s="18" t="n">
        <v>0.2739894</v>
      </c>
      <c r="R32" s="20" t="n">
        <v>0.1885478</v>
      </c>
    </row>
    <row r="33" spans="1:18">
      <c r="A33" s="15" t="s">
        <v>455</v>
      </c>
      <c r="B33" s="17" t="n">
        <v>7325</v>
      </c>
      <c r="C33" s="18">
        <f>(6397.0/B33*100)</f>
        <v/>
      </c>
      <c r="D33" s="19" t="n">
        <v>928</v>
      </c>
      <c r="E33" s="18" t="n">
        <v>43.52266782</v>
      </c>
      <c r="F33" s="20" t="n">
        <v>1.83608772</v>
      </c>
      <c r="G33" s="18" t="n">
        <v>55.88768755</v>
      </c>
      <c r="H33" s="20" t="n">
        <v>1.83077651</v>
      </c>
      <c r="I33" s="18" t="n">
        <v>0</v>
      </c>
      <c r="J33" s="20" t="n">
        <v>0</v>
      </c>
      <c r="K33" s="18" t="n">
        <v>0.15520021</v>
      </c>
      <c r="L33" s="20" t="n">
        <v>0.13572793</v>
      </c>
      <c r="M33" s="18" t="n">
        <v>0</v>
      </c>
      <c r="N33" s="20" t="n">
        <v>0</v>
      </c>
      <c r="O33" s="18" t="n">
        <v>0</v>
      </c>
      <c r="P33" s="20" t="n">
        <v>0</v>
      </c>
      <c r="Q33" s="18" t="n">
        <v>0.43444442</v>
      </c>
      <c r="R33" s="20" t="n">
        <v>0.24674054</v>
      </c>
    </row>
    <row r="34" spans="1:18">
      <c r="A34" s="15" t="s">
        <v>456</v>
      </c>
      <c r="B34" s="17" t="n">
        <v>6350</v>
      </c>
      <c r="C34" s="18">
        <f>(5577.0/B34*100)</f>
        <v/>
      </c>
      <c r="D34" s="19" t="n">
        <v>773</v>
      </c>
      <c r="E34" s="18" t="n">
        <v>42.97369029</v>
      </c>
      <c r="F34" s="20" t="n">
        <v>1.92792518</v>
      </c>
      <c r="G34" s="18" t="n">
        <v>55.52877497</v>
      </c>
      <c r="H34" s="20" t="n">
        <v>1.90530368</v>
      </c>
      <c r="I34" s="18" t="n">
        <v>0</v>
      </c>
      <c r="J34" s="20" t="n">
        <v>0</v>
      </c>
      <c r="K34" s="18" t="n">
        <v>0.09920499000000001</v>
      </c>
      <c r="L34" s="20" t="n">
        <v>0.09929192000000001</v>
      </c>
      <c r="M34" s="18" t="n">
        <v>0</v>
      </c>
      <c r="N34" s="20" t="n">
        <v>0</v>
      </c>
      <c r="O34" s="18" t="n">
        <v>0</v>
      </c>
      <c r="P34" s="20" t="n">
        <v>0</v>
      </c>
      <c r="Q34" s="18" t="n">
        <v>1.39832975</v>
      </c>
      <c r="R34" s="20" t="n">
        <v>0.47462056</v>
      </c>
    </row>
    <row r="35" spans="1:18">
      <c r="A35" s="15" t="s">
        <v>457</v>
      </c>
      <c r="B35" s="17" t="n">
        <v>6406</v>
      </c>
      <c r="C35" s="18">
        <f>(5645.0/B35*100)</f>
        <v/>
      </c>
      <c r="D35" s="19" t="n">
        <v>761</v>
      </c>
      <c r="E35" s="18" t="n">
        <v>29.42336569</v>
      </c>
      <c r="F35" s="20" t="n">
        <v>1.94796305</v>
      </c>
      <c r="G35" s="18" t="n">
        <v>69.53166297</v>
      </c>
      <c r="H35" s="20" t="n">
        <v>1.98251613</v>
      </c>
      <c r="I35" s="18" t="n">
        <v>0</v>
      </c>
      <c r="J35" s="20" t="n">
        <v>0</v>
      </c>
      <c r="K35" s="18" t="n">
        <v>0.07160307</v>
      </c>
      <c r="L35" s="20" t="n">
        <v>0.07145116</v>
      </c>
      <c r="M35" s="18" t="n">
        <v>0</v>
      </c>
      <c r="N35" s="20" t="n">
        <v>0</v>
      </c>
      <c r="O35" s="18" t="n">
        <v>0</v>
      </c>
      <c r="P35" s="20" t="n">
        <v>0</v>
      </c>
      <c r="Q35" s="18" t="n">
        <v>0.97336827</v>
      </c>
      <c r="R35" s="20" t="n">
        <v>0.41103313</v>
      </c>
    </row>
    <row r="36" spans="1:18">
      <c r="A36" s="15" t="s">
        <v>458</v>
      </c>
      <c r="B36" s="17" t="n">
        <v>6736</v>
      </c>
      <c r="C36" s="18">
        <f>(5890.0/B36*100)</f>
        <v/>
      </c>
      <c r="D36" s="19" t="n">
        <v>846</v>
      </c>
      <c r="E36" s="18" t="n">
        <v>32.62092558</v>
      </c>
      <c r="F36" s="20" t="n">
        <v>1.68652144</v>
      </c>
      <c r="G36" s="18" t="n">
        <v>65.73603211</v>
      </c>
      <c r="H36" s="20" t="n">
        <v>1.73609157</v>
      </c>
      <c r="I36" s="18" t="n">
        <v>0</v>
      </c>
      <c r="J36" s="20" t="n">
        <v>0</v>
      </c>
      <c r="K36" s="18" t="n">
        <v>0</v>
      </c>
      <c r="L36" s="20" t="n">
        <v>0</v>
      </c>
      <c r="M36" s="18" t="n">
        <v>0</v>
      </c>
      <c r="N36" s="20" t="n">
        <v>0</v>
      </c>
      <c r="O36" s="18" t="n">
        <v>0</v>
      </c>
      <c r="P36" s="20" t="n">
        <v>0</v>
      </c>
      <c r="Q36" s="18" t="n">
        <v>1.64304231</v>
      </c>
      <c r="R36" s="20" t="n">
        <v>0.45095257</v>
      </c>
    </row>
    <row r="37" spans="1:18">
      <c r="A37" s="15" t="s">
        <v>459</v>
      </c>
      <c r="B37" s="17" t="n">
        <v>5458</v>
      </c>
      <c r="C37" s="18">
        <f>(4762.0/B37*100)</f>
        <v/>
      </c>
      <c r="D37" s="19" t="n">
        <v>696</v>
      </c>
      <c r="E37" s="18" t="n">
        <v>23.01010535</v>
      </c>
      <c r="F37" s="20" t="n">
        <v>1.50090024</v>
      </c>
      <c r="G37" s="18" t="n">
        <v>74.62318848</v>
      </c>
      <c r="H37" s="20" t="n">
        <v>1.71864842</v>
      </c>
      <c r="I37" s="18" t="n">
        <v>0</v>
      </c>
      <c r="J37" s="20" t="n">
        <v>0</v>
      </c>
      <c r="K37" s="18" t="n">
        <v>0.86360792</v>
      </c>
      <c r="L37" s="20" t="n">
        <v>0.35693562</v>
      </c>
      <c r="M37" s="18" t="n">
        <v>0</v>
      </c>
      <c r="N37" s="20" t="n">
        <v>0</v>
      </c>
      <c r="O37" s="18" t="n">
        <v>0</v>
      </c>
      <c r="P37" s="20" t="n">
        <v>0</v>
      </c>
      <c r="Q37" s="18" t="n">
        <v>1.50309825</v>
      </c>
      <c r="R37" s="20" t="n">
        <v>0.48642919</v>
      </c>
    </row>
    <row r="38" spans="1:18">
      <c r="A38" s="15" t="s">
        <v>460</v>
      </c>
      <c r="B38" s="17" t="n">
        <v>5860</v>
      </c>
      <c r="C38" s="18">
        <f>(4939.0/B38*100)</f>
        <v/>
      </c>
      <c r="D38" s="19" t="n">
        <v>921</v>
      </c>
      <c r="E38" s="18" t="n">
        <v>31.60299022</v>
      </c>
      <c r="F38" s="20" t="n">
        <v>1.73782699</v>
      </c>
      <c r="G38" s="18" t="n">
        <v>67.28124388000001</v>
      </c>
      <c r="H38" s="20" t="n">
        <v>1.78717488</v>
      </c>
      <c r="I38" s="18" t="n">
        <v>0</v>
      </c>
      <c r="J38" s="20" t="n">
        <v>0</v>
      </c>
      <c r="K38" s="18" t="n">
        <v>0.1962604</v>
      </c>
      <c r="L38" s="20" t="n">
        <v>0.10683533</v>
      </c>
      <c r="M38" s="18" t="n">
        <v>0</v>
      </c>
      <c r="N38" s="20" t="n">
        <v>0</v>
      </c>
      <c r="O38" s="18" t="n">
        <v>0</v>
      </c>
      <c r="P38" s="20" t="n">
        <v>0</v>
      </c>
      <c r="Q38" s="18" t="n">
        <v>0.91950549</v>
      </c>
      <c r="R38" s="20" t="n">
        <v>0.28821723</v>
      </c>
    </row>
    <row r="39" spans="1:18">
      <c r="A39" s="15" t="s">
        <v>461</v>
      </c>
      <c r="B39" s="17" t="n">
        <v>5895</v>
      </c>
      <c r="C39" s="18">
        <f>(5177.0/B39*100)</f>
        <v/>
      </c>
      <c r="D39" s="19" t="n">
        <v>718</v>
      </c>
      <c r="E39" s="18" t="n">
        <v>41.75504425</v>
      </c>
      <c r="F39" s="20" t="n">
        <v>2.09860556</v>
      </c>
      <c r="G39" s="18" t="n">
        <v>55.64306898</v>
      </c>
      <c r="H39" s="20" t="n">
        <v>2.16304859</v>
      </c>
      <c r="I39" s="18" t="n">
        <v>0</v>
      </c>
      <c r="J39" s="20" t="n">
        <v>0</v>
      </c>
      <c r="K39" s="18" t="n">
        <v>0.50380927</v>
      </c>
      <c r="L39" s="20" t="n">
        <v>0.31464295</v>
      </c>
      <c r="M39" s="18" t="n">
        <v>0</v>
      </c>
      <c r="N39" s="20" t="n">
        <v>0</v>
      </c>
      <c r="O39" s="18" t="n">
        <v>0</v>
      </c>
      <c r="P39" s="20" t="n">
        <v>0</v>
      </c>
      <c r="Q39" s="18" t="n">
        <v>2.09807749</v>
      </c>
      <c r="R39" s="20" t="n">
        <v>0.60273009</v>
      </c>
    </row>
    <row r="40" spans="1:18">
      <c r="A40" s="15" t="s">
        <v>462</v>
      </c>
      <c r="B40" s="17" t="n">
        <v>14157</v>
      </c>
      <c r="C40" s="18">
        <f>(12454.0/B40*100)</f>
        <v/>
      </c>
      <c r="D40" s="19" t="n">
        <v>1703</v>
      </c>
      <c r="E40" s="18" t="n">
        <v>34.54326911</v>
      </c>
      <c r="F40" s="20" t="n">
        <v>1.60343278</v>
      </c>
      <c r="G40" s="18" t="n">
        <v>64.75742875</v>
      </c>
      <c r="H40" s="20" t="n">
        <v>1.6087224</v>
      </c>
      <c r="I40" s="18" t="n">
        <v>0</v>
      </c>
      <c r="J40" s="20" t="n">
        <v>0</v>
      </c>
      <c r="K40" s="18" t="n">
        <v>0.09664446</v>
      </c>
      <c r="L40" s="20" t="n">
        <v>0.04914763</v>
      </c>
      <c r="M40" s="18" t="n">
        <v>0</v>
      </c>
      <c r="N40" s="20" t="n">
        <v>0</v>
      </c>
      <c r="O40" s="18" t="n">
        <v>0</v>
      </c>
      <c r="P40" s="20" t="n">
        <v>0</v>
      </c>
      <c r="Q40" s="18" t="n">
        <v>0.60265767</v>
      </c>
      <c r="R40" s="20" t="n">
        <v>0.26697448</v>
      </c>
    </row>
    <row r="41" spans="1:18">
      <c r="A41" s="15" t="s">
        <v>463</v>
      </c>
      <c r="B41" s="17" t="n">
        <v>5712</v>
      </c>
      <c r="C41" s="18">
        <f>(5034.0/B41*100)</f>
        <v/>
      </c>
      <c r="D41" s="19" t="n">
        <v>678</v>
      </c>
      <c r="E41" s="18" t="n">
        <v>30.29746991</v>
      </c>
      <c r="F41" s="20" t="n">
        <v>2.21152541</v>
      </c>
      <c r="G41" s="18" t="n">
        <v>68.43200398</v>
      </c>
      <c r="H41" s="20" t="n">
        <v>2.24242337</v>
      </c>
      <c r="I41" s="18" t="n">
        <v>0</v>
      </c>
      <c r="J41" s="20" t="n">
        <v>0</v>
      </c>
      <c r="K41" s="18" t="n">
        <v>0.12220752</v>
      </c>
      <c r="L41" s="20" t="n">
        <v>0.13013165</v>
      </c>
      <c r="M41" s="18" t="n">
        <v>0</v>
      </c>
      <c r="N41" s="20" t="n">
        <v>0</v>
      </c>
      <c r="O41" s="18" t="n">
        <v>0</v>
      </c>
      <c r="P41" s="20" t="n">
        <v>0</v>
      </c>
      <c r="Q41" s="18" t="n">
        <v>1.14831859</v>
      </c>
      <c r="R41" s="20" t="n">
        <v>0.40489687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(20586.0/B46*100)</f>
        <v/>
      </c>
      <c r="D46" s="19" t="n">
        <v>2555</v>
      </c>
      <c r="E46" s="18" t="n">
        <v>56.14935548</v>
      </c>
      <c r="F46" s="20" t="n">
        <v>1.22516253</v>
      </c>
      <c r="G46" s="18" t="n">
        <v>41.09378571</v>
      </c>
      <c r="H46" s="20" t="n">
        <v>1.30600947</v>
      </c>
      <c r="I46" s="18" t="n">
        <v>0</v>
      </c>
      <c r="J46" s="20" t="n">
        <v>0</v>
      </c>
      <c r="K46" s="18" t="n">
        <v>0.8372218299999999</v>
      </c>
      <c r="L46" s="20" t="n">
        <v>0.19971349</v>
      </c>
      <c r="M46" s="18" t="n">
        <v>0</v>
      </c>
      <c r="N46" s="20" t="n">
        <v>0</v>
      </c>
      <c r="O46" s="18" t="n">
        <v>0</v>
      </c>
      <c r="P46" s="20" t="n">
        <v>0</v>
      </c>
      <c r="Q46" s="18" t="n">
        <v>1.91963698</v>
      </c>
      <c r="R46" s="20" t="n">
        <v>0.34550654</v>
      </c>
    </row>
    <row r="47" spans="1:18">
      <c r="A47" s="15" t="s">
        <v>470</v>
      </c>
      <c r="B47" s="17" t="n">
        <v>5928</v>
      </c>
      <c r="C47" s="18">
        <f>(5207.0/B47*100)</f>
        <v/>
      </c>
      <c r="D47" s="19" t="n">
        <v>721</v>
      </c>
      <c r="E47" s="18" t="n">
        <v>43.77607841</v>
      </c>
      <c r="F47" s="20" t="n">
        <v>2.05126217</v>
      </c>
      <c r="G47" s="18" t="n">
        <v>54.28135462</v>
      </c>
      <c r="H47" s="20" t="n">
        <v>2.0922142</v>
      </c>
      <c r="I47" s="18" t="n">
        <v>0</v>
      </c>
      <c r="J47" s="20" t="n">
        <v>0</v>
      </c>
      <c r="K47" s="18" t="n">
        <v>0.7073007</v>
      </c>
      <c r="L47" s="20" t="n">
        <v>0.38038827</v>
      </c>
      <c r="M47" s="18" t="n">
        <v>0</v>
      </c>
      <c r="N47" s="20" t="n">
        <v>0</v>
      </c>
      <c r="O47" s="18" t="n">
        <v>0</v>
      </c>
      <c r="P47" s="20" t="n">
        <v>0</v>
      </c>
      <c r="Q47" s="18" t="n">
        <v>1.23526627</v>
      </c>
      <c r="R47" s="20" t="n">
        <v>0.41715484</v>
      </c>
    </row>
    <row r="48" spans="1:18">
      <c r="A48" s="15" t="s">
        <v>471</v>
      </c>
      <c r="B48" s="17" t="n">
        <v>9841</v>
      </c>
      <c r="C48" s="18">
        <f>(8618.0/B48*100)</f>
        <v/>
      </c>
      <c r="D48" s="19" t="n">
        <v>1223</v>
      </c>
      <c r="E48" s="18" t="n">
        <v>18.44039228</v>
      </c>
      <c r="F48" s="20" t="n">
        <v>1.63734265</v>
      </c>
      <c r="G48" s="18" t="n">
        <v>80.2947964</v>
      </c>
      <c r="H48" s="20" t="n">
        <v>1.66954708</v>
      </c>
      <c r="I48" s="18" t="n">
        <v>0</v>
      </c>
      <c r="J48" s="20" t="n">
        <v>0</v>
      </c>
      <c r="K48" s="18" t="n">
        <v>0.34752613</v>
      </c>
      <c r="L48" s="20" t="n">
        <v>0.19004149</v>
      </c>
      <c r="M48" s="18" t="n">
        <v>0</v>
      </c>
      <c r="N48" s="20" t="n">
        <v>0</v>
      </c>
      <c r="O48" s="18" t="n">
        <v>0</v>
      </c>
      <c r="P48" s="20" t="n">
        <v>0</v>
      </c>
      <c r="Q48" s="18" t="n">
        <v>0.91728519</v>
      </c>
      <c r="R48" s="20" t="n">
        <v>0.35751264</v>
      </c>
    </row>
    <row r="49" spans="1:18">
      <c r="A49" s="15" t="s">
        <v>472</v>
      </c>
      <c r="B49" s="17" t="n">
        <v>11795</v>
      </c>
      <c r="C49" s="18">
        <f>(10332.0/B49*100)</f>
        <v/>
      </c>
      <c r="D49" s="19" t="n">
        <v>1463</v>
      </c>
      <c r="E49" s="18" t="n">
        <v>48.22689467</v>
      </c>
      <c r="F49" s="20" t="n">
        <v>1.83072961</v>
      </c>
      <c r="G49" s="18" t="n">
        <v>50.35406228</v>
      </c>
      <c r="H49" s="20" t="n">
        <v>1.93864769</v>
      </c>
      <c r="I49" s="18" t="n">
        <v>0</v>
      </c>
      <c r="J49" s="20" t="n">
        <v>0</v>
      </c>
      <c r="K49" s="18" t="n">
        <v>0.6002136300000001</v>
      </c>
      <c r="L49" s="20" t="n">
        <v>0.34664436</v>
      </c>
      <c r="M49" s="18" t="n">
        <v>0</v>
      </c>
      <c r="N49" s="20" t="n">
        <v>0</v>
      </c>
      <c r="O49" s="18" t="n">
        <v>0</v>
      </c>
      <c r="P49" s="20" t="n">
        <v>0</v>
      </c>
      <c r="Q49" s="18" t="n">
        <v>0.81882942</v>
      </c>
      <c r="R49" s="20" t="n">
        <v>0.2674605</v>
      </c>
    </row>
    <row r="50" spans="1:18">
      <c r="A50" s="15" t="s">
        <v>473</v>
      </c>
      <c r="B50" s="17" t="n">
        <v>6866</v>
      </c>
      <c r="C50" s="18">
        <f>(6113.0/B50*100)</f>
        <v/>
      </c>
      <c r="D50" s="19" t="n">
        <v>753</v>
      </c>
      <c r="E50" s="18" t="n">
        <v>48.24316642</v>
      </c>
      <c r="F50" s="20" t="n">
        <v>1.98920452</v>
      </c>
      <c r="G50" s="18" t="n">
        <v>50.41582867</v>
      </c>
      <c r="H50" s="20" t="n">
        <v>2.08064456</v>
      </c>
      <c r="I50" s="18" t="n">
        <v>0</v>
      </c>
      <c r="J50" s="20" t="n">
        <v>0</v>
      </c>
      <c r="K50" s="18" t="n">
        <v>0.27561859</v>
      </c>
      <c r="L50" s="20" t="n">
        <v>0.19603147</v>
      </c>
      <c r="M50" s="18" t="n">
        <v>0</v>
      </c>
      <c r="N50" s="20" t="n">
        <v>0</v>
      </c>
      <c r="O50" s="18" t="n">
        <v>0</v>
      </c>
      <c r="P50" s="20" t="n">
        <v>0</v>
      </c>
      <c r="Q50" s="18" t="n">
        <v>1.06538632</v>
      </c>
      <c r="R50" s="20" t="n">
        <v>0.38276212</v>
      </c>
    </row>
    <row r="51" spans="1:18">
      <c r="A51" s="15" t="s">
        <v>474</v>
      </c>
      <c r="B51" s="17" t="n">
        <v>5809</v>
      </c>
      <c r="C51" s="18">
        <f>(5086.0/B51*100)</f>
        <v/>
      </c>
      <c r="D51" s="19" t="n">
        <v>723</v>
      </c>
      <c r="E51" s="18" t="n">
        <v>40.42302308</v>
      </c>
      <c r="F51" s="20" t="n">
        <v>1.83922231</v>
      </c>
      <c r="G51" s="18" t="n">
        <v>58.54906363</v>
      </c>
      <c r="H51" s="20" t="n">
        <v>1.86141195</v>
      </c>
      <c r="I51" s="18" t="n">
        <v>0</v>
      </c>
      <c r="J51" s="20" t="n">
        <v>0</v>
      </c>
      <c r="K51" s="18" t="n">
        <v>0.17437583</v>
      </c>
      <c r="L51" s="20" t="n">
        <v>0.1760029</v>
      </c>
      <c r="M51" s="18" t="n">
        <v>0</v>
      </c>
      <c r="N51" s="20" t="n">
        <v>0</v>
      </c>
      <c r="O51" s="18" t="n">
        <v>0</v>
      </c>
      <c r="P51" s="20" t="n">
        <v>0</v>
      </c>
      <c r="Q51" s="18" t="n">
        <v>0.85353745</v>
      </c>
      <c r="R51" s="20" t="n">
        <v>0.35230966</v>
      </c>
    </row>
    <row r="52" spans="1:18">
      <c r="A52" s="15" t="s">
        <v>475</v>
      </c>
      <c r="B52" s="17" t="n">
        <v>5571</v>
      </c>
      <c r="C52" s="18">
        <f>(4893.0/B52*100)</f>
        <v/>
      </c>
      <c r="D52" s="19" t="n">
        <v>678</v>
      </c>
      <c r="E52" s="18" t="n">
        <v>44.4016904</v>
      </c>
      <c r="F52" s="20" t="n">
        <v>2.06449442</v>
      </c>
      <c r="G52" s="18" t="n">
        <v>53.21839175</v>
      </c>
      <c r="H52" s="20" t="n">
        <v>2.0834532</v>
      </c>
      <c r="I52" s="18" t="n">
        <v>0</v>
      </c>
      <c r="J52" s="20" t="n">
        <v>0</v>
      </c>
      <c r="K52" s="18" t="n">
        <v>0.29849484</v>
      </c>
      <c r="L52" s="20" t="n">
        <v>0.21998906</v>
      </c>
      <c r="M52" s="18" t="n">
        <v>0</v>
      </c>
      <c r="N52" s="20" t="n">
        <v>0</v>
      </c>
      <c r="O52" s="18" t="n">
        <v>0</v>
      </c>
      <c r="P52" s="20" t="n">
        <v>0</v>
      </c>
      <c r="Q52" s="18" t="n">
        <v>2.08142301</v>
      </c>
      <c r="R52" s="20" t="n">
        <v>0.54760032</v>
      </c>
    </row>
    <row r="53" spans="1:18">
      <c r="A53" s="15" t="s">
        <v>476</v>
      </c>
      <c r="B53" s="17" t="n">
        <v>4740</v>
      </c>
      <c r="C53" s="18">
        <f>(3973.0/B53*100)</f>
        <v/>
      </c>
      <c r="D53" s="19" t="n">
        <v>767</v>
      </c>
      <c r="E53" s="18" t="n">
        <v>61.08147874</v>
      </c>
      <c r="F53" s="20" t="n">
        <v>2.17971188</v>
      </c>
      <c r="G53" s="18" t="n">
        <v>30.01331332</v>
      </c>
      <c r="H53" s="20" t="n">
        <v>2.11256481</v>
      </c>
      <c r="I53" s="18" t="n">
        <v>0</v>
      </c>
      <c r="J53" s="20" t="n">
        <v>0</v>
      </c>
      <c r="K53" s="18" t="n">
        <v>5.39871656</v>
      </c>
      <c r="L53" s="20" t="n">
        <v>1.09538616</v>
      </c>
      <c r="M53" s="18" t="n">
        <v>0</v>
      </c>
      <c r="N53" s="20" t="n">
        <v>0</v>
      </c>
      <c r="O53" s="18" t="n">
        <v>0</v>
      </c>
      <c r="P53" s="20" t="n">
        <v>0</v>
      </c>
      <c r="Q53" s="18" t="n">
        <v>3.50649137</v>
      </c>
      <c r="R53" s="20" t="n">
        <v>0.70200693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15.92183092</v>
      </c>
      <c r="F55" s="20" t="n">
        <v>1.61762991</v>
      </c>
      <c r="G55" s="18" t="n">
        <v>83.68571371</v>
      </c>
      <c r="H55" s="20" t="n">
        <v>1.65077738</v>
      </c>
      <c r="I55" s="18" t="n">
        <v>0</v>
      </c>
      <c r="J55" s="20" t="n">
        <v>0</v>
      </c>
      <c r="K55" s="18" t="n">
        <v>0.39245537</v>
      </c>
      <c r="L55" s="20" t="n">
        <v>0.27435698</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(5704.0/B61*100)</f>
        <v/>
      </c>
      <c r="D61" s="19" t="n">
        <v>821</v>
      </c>
      <c r="E61" s="18" t="n">
        <v>39.61781971</v>
      </c>
      <c r="F61" s="20" t="n">
        <v>2.48310973</v>
      </c>
      <c r="G61" s="18" t="n">
        <v>59.5555994</v>
      </c>
      <c r="H61" s="20" t="n">
        <v>2.44300632</v>
      </c>
      <c r="I61" s="18" t="n">
        <v>0</v>
      </c>
      <c r="J61" s="20" t="n">
        <v>0</v>
      </c>
      <c r="K61" s="18" t="n">
        <v>0.32934527</v>
      </c>
      <c r="L61" s="20" t="n">
        <v>0.19326966</v>
      </c>
      <c r="M61" s="18" t="n">
        <v>0</v>
      </c>
      <c r="N61" s="20" t="n">
        <v>0</v>
      </c>
      <c r="O61" s="18" t="n">
        <v>0</v>
      </c>
      <c r="P61" s="20" t="n">
        <v>0</v>
      </c>
      <c r="Q61" s="18" t="n">
        <v>0.49723562</v>
      </c>
      <c r="R61" s="20" t="n">
        <v>0.22093802</v>
      </c>
    </row>
    <row r="62" spans="1:18">
      <c r="A62" s="15" t="s">
        <v>486</v>
      </c>
      <c r="B62" s="17" t="n">
        <v>4476</v>
      </c>
      <c r="C62" s="18">
        <f>(3938.0/B62*100)</f>
        <v/>
      </c>
      <c r="D62" s="19" t="n">
        <v>538</v>
      </c>
      <c r="E62" s="18" t="n">
        <v>18.28676797</v>
      </c>
      <c r="F62" s="20" t="n">
        <v>1.45034906</v>
      </c>
      <c r="G62" s="18" t="n">
        <v>80.97476597000001</v>
      </c>
      <c r="H62" s="20" t="n">
        <v>1.48534803</v>
      </c>
      <c r="I62" s="18" t="n">
        <v>0</v>
      </c>
      <c r="J62" s="20" t="n">
        <v>0</v>
      </c>
      <c r="K62" s="18" t="n">
        <v>0.18461652</v>
      </c>
      <c r="L62" s="20" t="n">
        <v>0.18615073</v>
      </c>
      <c r="M62" s="18" t="n">
        <v>0</v>
      </c>
      <c r="N62" s="20" t="n">
        <v>0</v>
      </c>
      <c r="O62" s="18" t="n">
        <v>0</v>
      </c>
      <c r="P62" s="20" t="n">
        <v>0</v>
      </c>
      <c r="Q62" s="18" t="n">
        <v>0.55384955</v>
      </c>
      <c r="R62" s="20" t="n">
        <v>0.32163544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(4986.0/B67*100)</f>
        <v/>
      </c>
      <c r="D67" s="19" t="n">
        <v>679</v>
      </c>
      <c r="E67" s="18" t="n">
        <v>49.11730212</v>
      </c>
      <c r="F67" s="20" t="n">
        <v>2.09645621</v>
      </c>
      <c r="G67" s="18" t="n">
        <v>46.19243467</v>
      </c>
      <c r="H67" s="20" t="n">
        <v>2.06346928</v>
      </c>
      <c r="I67" s="18" t="n">
        <v>0</v>
      </c>
      <c r="J67" s="20" t="n">
        <v>0</v>
      </c>
      <c r="K67" s="18" t="n">
        <v>0.57108881</v>
      </c>
      <c r="L67" s="20" t="n">
        <v>0.28901336</v>
      </c>
      <c r="M67" s="18" t="n">
        <v>0</v>
      </c>
      <c r="N67" s="20" t="n">
        <v>0</v>
      </c>
      <c r="O67" s="18" t="n">
        <v>0</v>
      </c>
      <c r="P67" s="20" t="n">
        <v>0</v>
      </c>
      <c r="Q67" s="18" t="n">
        <v>4.1191744</v>
      </c>
      <c r="R67" s="20" t="n">
        <v>0.7985538</v>
      </c>
    </row>
    <row r="68" spans="1:18">
      <c r="A68" s="15" t="s">
        <v>492</v>
      </c>
      <c r="B68" s="17" t="n">
        <v>6971</v>
      </c>
      <c r="C68" s="18">
        <f>(6171.0/B68*100)</f>
        <v/>
      </c>
      <c r="D68" s="19" t="n">
        <v>800</v>
      </c>
      <c r="E68" s="18" t="n">
        <v>49.87037258</v>
      </c>
      <c r="F68" s="20" t="n">
        <v>1.78979629</v>
      </c>
      <c r="G68" s="18" t="n">
        <v>48.85088552</v>
      </c>
      <c r="H68" s="20" t="n">
        <v>1.83415257</v>
      </c>
      <c r="I68" s="18" t="n">
        <v>0</v>
      </c>
      <c r="J68" s="20" t="n">
        <v>0</v>
      </c>
      <c r="K68" s="18" t="n">
        <v>0.20201567</v>
      </c>
      <c r="L68" s="20" t="n">
        <v>0.14596385</v>
      </c>
      <c r="M68" s="18" t="n">
        <v>0</v>
      </c>
      <c r="N68" s="20" t="n">
        <v>0</v>
      </c>
      <c r="O68" s="18" t="n">
        <v>0</v>
      </c>
      <c r="P68" s="20" t="n">
        <v>0</v>
      </c>
      <c r="Q68" s="18" t="n">
        <v>1.07672622</v>
      </c>
      <c r="R68" s="20" t="n">
        <v>0.3983462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47.79040894</v>
      </c>
      <c r="F70" s="20" t="n">
        <v>1.19942878</v>
      </c>
      <c r="G70" s="18" t="n">
        <v>48.69794937</v>
      </c>
      <c r="H70" s="20" t="n">
        <v>1.13497505</v>
      </c>
      <c r="I70" s="18" t="n">
        <v>0</v>
      </c>
      <c r="J70" s="20" t="n">
        <v>0</v>
      </c>
      <c r="K70" s="18" t="n">
        <v>1.39215955</v>
      </c>
      <c r="L70" s="20" t="n">
        <v>0.27518781</v>
      </c>
      <c r="M70" s="18" t="n">
        <v>0</v>
      </c>
      <c r="N70" s="20" t="n">
        <v>0</v>
      </c>
      <c r="O70" s="18" t="n">
        <v>0</v>
      </c>
      <c r="P70" s="20" t="n">
        <v>0</v>
      </c>
      <c r="Q70" s="18" t="n">
        <v>2.11948214</v>
      </c>
      <c r="R70" s="20" t="n">
        <v>0.32544088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(5310.0/B72*100)</f>
        <v/>
      </c>
      <c r="D72" s="19" t="n">
        <v>726</v>
      </c>
      <c r="E72" s="18" t="n">
        <v>29.7343658</v>
      </c>
      <c r="F72" s="20" t="n">
        <v>2.25448965</v>
      </c>
      <c r="G72" s="18" t="n">
        <v>69.38203983</v>
      </c>
      <c r="H72" s="20" t="n">
        <v>2.3556811</v>
      </c>
      <c r="I72" s="18" t="n">
        <v>0</v>
      </c>
      <c r="J72" s="20" t="n">
        <v>0</v>
      </c>
      <c r="K72" s="18" t="n">
        <v>0</v>
      </c>
      <c r="L72" s="20" t="n">
        <v>0</v>
      </c>
      <c r="M72" s="18" t="n">
        <v>0</v>
      </c>
      <c r="N72" s="20" t="n">
        <v>0</v>
      </c>
      <c r="O72" s="18" t="n">
        <v>0</v>
      </c>
      <c r="P72" s="20" t="n">
        <v>0</v>
      </c>
      <c r="Q72" s="18" t="n">
        <v>0.88359436</v>
      </c>
      <c r="R72" s="20" t="n">
        <v>0.36828764</v>
      </c>
    </row>
    <row r="73" spans="1:18">
      <c r="A73" s="15" t="s">
        <v>497</v>
      </c>
      <c r="B73" s="17" t="n">
        <v>6115</v>
      </c>
      <c r="C73" s="18">
        <f>(5372.0/B73*100)</f>
        <v/>
      </c>
      <c r="D73" s="19" t="n">
        <v>743</v>
      </c>
      <c r="E73" s="18" t="n">
        <v>19.05499983</v>
      </c>
      <c r="F73" s="20" t="n">
        <v>1.42151746</v>
      </c>
      <c r="G73" s="18" t="n">
        <v>79.91093429999999</v>
      </c>
      <c r="H73" s="20" t="n">
        <v>1.38011454</v>
      </c>
      <c r="I73" s="18" t="n">
        <v>0</v>
      </c>
      <c r="J73" s="20" t="n">
        <v>0</v>
      </c>
      <c r="K73" s="18" t="n">
        <v>0.4525598</v>
      </c>
      <c r="L73" s="20" t="n">
        <v>0.14569752</v>
      </c>
      <c r="M73" s="18" t="n">
        <v>0</v>
      </c>
      <c r="N73" s="20" t="n">
        <v>0</v>
      </c>
      <c r="O73" s="18" t="n">
        <v>0</v>
      </c>
      <c r="P73" s="20" t="n">
        <v>0</v>
      </c>
      <c r="Q73" s="18" t="n">
        <v>0.58150607</v>
      </c>
      <c r="R73" s="20" t="n">
        <v>0.27290973</v>
      </c>
    </row>
    <row r="74" spans="1:18">
      <c r="A74" s="15" t="s">
        <v>498</v>
      </c>
      <c r="B74" s="17" t="n">
        <v>7708</v>
      </c>
      <c r="C74" s="18">
        <f>(6745.0/B74*100)</f>
        <v/>
      </c>
      <c r="D74" s="19" t="n">
        <v>963</v>
      </c>
      <c r="E74" s="18" t="n">
        <v>20.29362507</v>
      </c>
      <c r="F74" s="20" t="n">
        <v>1.46526337</v>
      </c>
      <c r="G74" s="18" t="n">
        <v>79.35191288</v>
      </c>
      <c r="H74" s="20" t="n">
        <v>1.46547977</v>
      </c>
      <c r="I74" s="18" t="n">
        <v>0</v>
      </c>
      <c r="J74" s="20" t="n">
        <v>0</v>
      </c>
      <c r="K74" s="18" t="n">
        <v>0.12360362</v>
      </c>
      <c r="L74" s="20" t="n">
        <v>0.09037312</v>
      </c>
      <c r="M74" s="18" t="n">
        <v>0</v>
      </c>
      <c r="N74" s="20" t="n">
        <v>0</v>
      </c>
      <c r="O74" s="18" t="n">
        <v>0</v>
      </c>
      <c r="P74" s="20" t="n">
        <v>0</v>
      </c>
      <c r="Q74" s="18" t="n">
        <v>0.23085843</v>
      </c>
      <c r="R74" s="20" t="n">
        <v>0.16784239</v>
      </c>
    </row>
    <row r="75" spans="1:18">
      <c r="A75" s="15" t="s">
        <v>499</v>
      </c>
      <c r="B75" s="17" t="n">
        <v>8249</v>
      </c>
      <c r="C75" s="18">
        <f>(7219.0/B75*100)</f>
        <v/>
      </c>
      <c r="D75" s="19" t="n">
        <v>1030</v>
      </c>
      <c r="E75" s="18" t="n">
        <v>43.95011891</v>
      </c>
      <c r="F75" s="20" t="n">
        <v>2.16804223</v>
      </c>
      <c r="G75" s="18" t="n">
        <v>55.08875847</v>
      </c>
      <c r="H75" s="20" t="n">
        <v>2.19851208</v>
      </c>
      <c r="I75" s="18" t="n">
        <v>0</v>
      </c>
      <c r="J75" s="20" t="n">
        <v>0</v>
      </c>
      <c r="K75" s="18" t="n">
        <v>0</v>
      </c>
      <c r="L75" s="20" t="n">
        <v>0</v>
      </c>
      <c r="M75" s="18" t="n">
        <v>0</v>
      </c>
      <c r="N75" s="20" t="n">
        <v>0</v>
      </c>
      <c r="O75" s="18" t="n">
        <v>0</v>
      </c>
      <c r="P75" s="20" t="n">
        <v>0</v>
      </c>
      <c r="Q75" s="18" t="n">
        <v>0.96112261</v>
      </c>
      <c r="R75" s="20" t="n">
        <v>0.29662788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(4775.0/B77*100)</f>
        <v/>
      </c>
      <c r="D77" s="19" t="n">
        <v>600</v>
      </c>
      <c r="E77" s="18" t="n">
        <v>49.36741373</v>
      </c>
      <c r="F77" s="20" t="n">
        <v>2.01673579</v>
      </c>
      <c r="G77" s="18" t="n">
        <v>45.97240586</v>
      </c>
      <c r="H77" s="20" t="n">
        <v>2.15537933</v>
      </c>
      <c r="I77" s="18" t="n">
        <v>0</v>
      </c>
      <c r="J77" s="20" t="n">
        <v>0</v>
      </c>
      <c r="K77" s="18" t="n">
        <v>1.6361629</v>
      </c>
      <c r="L77" s="20" t="n">
        <v>0.54372054</v>
      </c>
      <c r="M77" s="18" t="n">
        <v>0</v>
      </c>
      <c r="N77" s="20" t="n">
        <v>0</v>
      </c>
      <c r="O77" s="18" t="n">
        <v>0</v>
      </c>
      <c r="P77" s="20" t="n">
        <v>0</v>
      </c>
      <c r="Q77" s="18" t="n">
        <v>3.02401751</v>
      </c>
      <c r="R77" s="20" t="n">
        <v>0.82713046</v>
      </c>
    </row>
    <row r="78" spans="1:18">
      <c r="A78" s="15" t="s">
        <v>502</v>
      </c>
      <c r="B78" s="17" t="n">
        <v>14167</v>
      </c>
      <c r="C78" s="18">
        <f>(12478.0/B78*100)</f>
        <v/>
      </c>
      <c r="D78" s="19" t="n">
        <v>1689</v>
      </c>
      <c r="E78" s="18" t="n">
        <v>48.19108554</v>
      </c>
      <c r="F78" s="20" t="n">
        <v>1.60235782</v>
      </c>
      <c r="G78" s="18" t="n">
        <v>49.46568985</v>
      </c>
      <c r="H78" s="20" t="n">
        <v>1.69648656</v>
      </c>
      <c r="I78" s="18" t="n">
        <v>0</v>
      </c>
      <c r="J78" s="20" t="n">
        <v>0</v>
      </c>
      <c r="K78" s="18" t="n">
        <v>0.67736113</v>
      </c>
      <c r="L78" s="20" t="n">
        <v>0.22656356</v>
      </c>
      <c r="M78" s="18" t="n">
        <v>0</v>
      </c>
      <c r="N78" s="20" t="n">
        <v>0</v>
      </c>
      <c r="O78" s="18" t="n">
        <v>0</v>
      </c>
      <c r="P78" s="20" t="n">
        <v>0</v>
      </c>
      <c r="Q78" s="18" t="n">
        <v>1.66586348</v>
      </c>
      <c r="R78" s="20" t="n">
        <v>0.39894931</v>
      </c>
    </row>
    <row r="79" spans="1:18">
      <c r="A79" s="15" t="s">
        <v>503</v>
      </c>
      <c r="B79" s="17" t="n">
        <v>6062</v>
      </c>
      <c r="C79" s="18">
        <f>(5321.0/B79*100)</f>
        <v/>
      </c>
      <c r="D79" s="19" t="n">
        <v>741</v>
      </c>
      <c r="E79" s="18" t="n">
        <v>46.00805914</v>
      </c>
      <c r="F79" s="20" t="n">
        <v>2.21324608</v>
      </c>
      <c r="G79" s="18" t="n">
        <v>51.97345005</v>
      </c>
      <c r="H79" s="20" t="n">
        <v>2.34357419</v>
      </c>
      <c r="I79" s="18" t="n">
        <v>0</v>
      </c>
      <c r="J79" s="20" t="n">
        <v>0</v>
      </c>
      <c r="K79" s="18" t="n">
        <v>0.54867327</v>
      </c>
      <c r="L79" s="20" t="n">
        <v>0.32234896</v>
      </c>
      <c r="M79" s="18" t="n">
        <v>0</v>
      </c>
      <c r="N79" s="20" t="n">
        <v>0</v>
      </c>
      <c r="O79" s="18" t="n">
        <v>0</v>
      </c>
      <c r="P79" s="20" t="n">
        <v>0</v>
      </c>
      <c r="Q79" s="18" t="n">
        <v>1.46981754</v>
      </c>
      <c r="R79" s="20" t="n">
        <v>0.39358588</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(28317.0/B82*100)</f>
        <v/>
      </c>
      <c r="D82" s="19" t="n">
        <v>4013</v>
      </c>
      <c r="E82" s="18" t="n">
        <v>32.87919517</v>
      </c>
      <c r="F82" s="20" t="n">
        <v>0.8713240799999999</v>
      </c>
      <c r="G82" s="18" t="n">
        <v>66.01460485</v>
      </c>
      <c r="H82" s="20" t="n">
        <v>0.89950978</v>
      </c>
      <c r="I82" s="18" t="n">
        <v>0</v>
      </c>
      <c r="J82" s="20" t="n">
        <v>0</v>
      </c>
      <c r="K82" s="18" t="n">
        <v>0.10819447</v>
      </c>
      <c r="L82" s="20" t="n">
        <v>0.04078238</v>
      </c>
      <c r="M82" s="18" t="n">
        <v>0</v>
      </c>
      <c r="N82" s="20" t="n">
        <v>0</v>
      </c>
      <c r="O82" s="18" t="n">
        <v>0</v>
      </c>
      <c r="P82" s="20" t="n">
        <v>0</v>
      </c>
      <c r="Q82" s="18" t="n">
        <v>0.99800551</v>
      </c>
      <c r="R82" s="20" t="n">
        <v>0.21342624</v>
      </c>
    </row>
    <row r="83" spans="1:18">
      <c r="A83" s="15" t="s">
        <v>507</v>
      </c>
      <c r="B83" s="17" t="n">
        <v>1652</v>
      </c>
      <c r="C83" s="18">
        <f>(1459.0/B83*100)</f>
        <v/>
      </c>
      <c r="D83" s="19" t="n">
        <v>193</v>
      </c>
      <c r="E83" s="18" t="n">
        <v>26.03093306</v>
      </c>
      <c r="F83" s="20" t="n">
        <v>4.07240958</v>
      </c>
      <c r="G83" s="18" t="n">
        <v>73.49128245</v>
      </c>
      <c r="H83" s="20" t="n">
        <v>4.17414765</v>
      </c>
      <c r="I83" s="18" t="n">
        <v>0</v>
      </c>
      <c r="J83" s="20" t="n">
        <v>0</v>
      </c>
      <c r="K83" s="18" t="n">
        <v>0</v>
      </c>
      <c r="L83" s="20" t="n">
        <v>0</v>
      </c>
      <c r="M83" s="18" t="n">
        <v>0</v>
      </c>
      <c r="N83" s="20" t="n">
        <v>0</v>
      </c>
      <c r="O83" s="18" t="n">
        <v>0</v>
      </c>
      <c r="P83" s="20" t="n">
        <v>0</v>
      </c>
      <c r="Q83" s="18" t="n">
        <v>0.4777845</v>
      </c>
      <c r="R83" s="20" t="n">
        <v>0.47369801</v>
      </c>
    </row>
    <row r="84" spans="1:18">
      <c r="A84" s="23" t="s">
        <v>508</v>
      </c>
      <c r="B84" s="24" t="n">
        <v>1887</v>
      </c>
      <c r="C84" s="25">
        <f>(1659.0/B84*100)</f>
        <v/>
      </c>
      <c r="D84" s="19" t="n">
        <v>228</v>
      </c>
      <c r="E84" s="18" t="n">
        <v>34.97262308</v>
      </c>
      <c r="F84" s="20" t="n">
        <v>2.34910711</v>
      </c>
      <c r="G84" s="18" t="n">
        <v>63.30284471</v>
      </c>
      <c r="H84" s="20" t="n">
        <v>2.78795486</v>
      </c>
      <c r="I84" s="18" t="n">
        <v>0</v>
      </c>
      <c r="J84" s="20" t="n">
        <v>0</v>
      </c>
      <c r="K84" s="18" t="n">
        <v>0</v>
      </c>
      <c r="L84" s="20" t="n">
        <v>0</v>
      </c>
      <c r="M84" s="18" t="n">
        <v>0</v>
      </c>
      <c r="N84" s="20" t="n">
        <v>0</v>
      </c>
      <c r="O84" s="18" t="n">
        <v>0</v>
      </c>
      <c r="P84" s="20" t="n">
        <v>0</v>
      </c>
      <c r="Q84" s="18" t="n">
        <v>1.72453221</v>
      </c>
      <c r="R84" s="20" t="n">
        <v>1.04882254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541</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(12782.0/B7*100)</f>
        <v/>
      </c>
      <c r="D7" s="19" t="n">
        <v>1748</v>
      </c>
      <c r="E7" s="18" t="n">
        <v>27.03511827</v>
      </c>
      <c r="F7" s="20" t="n">
        <v>1.28235681</v>
      </c>
      <c r="G7" s="18" t="n">
        <v>36.64375909</v>
      </c>
      <c r="H7" s="20" t="n">
        <v>1.32326661</v>
      </c>
      <c r="I7" s="18" t="n">
        <v>26.45061094</v>
      </c>
      <c r="J7" s="20" t="n">
        <v>1.20203971</v>
      </c>
      <c r="K7" s="18" t="n">
        <v>0</v>
      </c>
      <c r="L7" s="20" t="n">
        <v>0</v>
      </c>
      <c r="M7" s="18" t="n">
        <v>0.32142457</v>
      </c>
      <c r="N7" s="20" t="n">
        <v>0.1291672</v>
      </c>
      <c r="O7" s="18" t="n">
        <v>0.03285295</v>
      </c>
      <c r="P7" s="20" t="n">
        <v>0.02167828</v>
      </c>
      <c r="Q7" s="18" t="n">
        <v>0</v>
      </c>
      <c r="R7" s="20" t="n">
        <v>0</v>
      </c>
      <c r="S7" s="18" t="n">
        <v>9.51623418</v>
      </c>
      <c r="T7" s="20" t="n">
        <v>0.94893571</v>
      </c>
    </row>
    <row r="8" spans="1:20">
      <c r="A8" s="15" t="s">
        <v>430</v>
      </c>
      <c r="B8" s="17" t="n">
        <v>7007</v>
      </c>
      <c r="C8" s="18">
        <f>(6176.0/B8*100)</f>
        <v/>
      </c>
      <c r="D8" s="19" t="n">
        <v>831</v>
      </c>
      <c r="E8" s="18" t="n">
        <v>40.35568389</v>
      </c>
      <c r="F8" s="20" t="n">
        <v>1.90168261</v>
      </c>
      <c r="G8" s="18" t="n">
        <v>28.27542226</v>
      </c>
      <c r="H8" s="20" t="n">
        <v>1.77404949</v>
      </c>
      <c r="I8" s="18" t="n">
        <v>16.96229141</v>
      </c>
      <c r="J8" s="20" t="n">
        <v>1.54643093</v>
      </c>
      <c r="K8" s="18" t="n">
        <v>0</v>
      </c>
      <c r="L8" s="20" t="n">
        <v>0</v>
      </c>
      <c r="M8" s="18" t="n">
        <v>0.23782948</v>
      </c>
      <c r="N8" s="20" t="n">
        <v>0.14199998</v>
      </c>
      <c r="O8" s="18" t="n">
        <v>0</v>
      </c>
      <c r="P8" s="20" t="n">
        <v>0</v>
      </c>
      <c r="Q8" s="18" t="n">
        <v>0</v>
      </c>
      <c r="R8" s="20" t="n">
        <v>0</v>
      </c>
      <c r="S8" s="18" t="n">
        <v>14.16877296</v>
      </c>
      <c r="T8" s="20" t="n">
        <v>1.30288765</v>
      </c>
    </row>
    <row r="9" spans="1:20">
      <c r="A9" s="15" t="s">
        <v>431</v>
      </c>
      <c r="B9" s="17" t="n">
        <v>9651</v>
      </c>
      <c r="C9" s="18">
        <f>(8509.0/B9*100)</f>
        <v/>
      </c>
      <c r="D9" s="19" t="n">
        <v>1142</v>
      </c>
      <c r="E9" s="18" t="n">
        <v>43.65504983</v>
      </c>
      <c r="F9" s="20" t="n">
        <v>1.5904919</v>
      </c>
      <c r="G9" s="18" t="n">
        <v>21.85892176</v>
      </c>
      <c r="H9" s="20" t="n">
        <v>1.22686651</v>
      </c>
      <c r="I9" s="18" t="n">
        <v>20.61766536</v>
      </c>
      <c r="J9" s="20" t="n">
        <v>1.31473551</v>
      </c>
      <c r="K9" s="18" t="n">
        <v>0</v>
      </c>
      <c r="L9" s="20" t="n">
        <v>0</v>
      </c>
      <c r="M9" s="18" t="n">
        <v>0.07854894</v>
      </c>
      <c r="N9" s="20" t="n">
        <v>0.07590735999999999</v>
      </c>
      <c r="O9" s="18" t="n">
        <v>0.23028423</v>
      </c>
      <c r="P9" s="20" t="n">
        <v>0.13307828</v>
      </c>
      <c r="Q9" s="18" t="n">
        <v>0</v>
      </c>
      <c r="R9" s="20" t="n">
        <v>0</v>
      </c>
      <c r="S9" s="18" t="n">
        <v>13.55952987</v>
      </c>
      <c r="T9" s="20" t="n">
        <v>1.17318239</v>
      </c>
    </row>
    <row r="10" spans="1:20">
      <c r="A10" s="15" t="s">
        <v>432</v>
      </c>
      <c r="B10" s="17" t="n">
        <v>20058</v>
      </c>
      <c r="C10" s="18">
        <f>(17596.0/B10*100)</f>
        <v/>
      </c>
      <c r="D10" s="19" t="n">
        <v>2462</v>
      </c>
      <c r="E10" s="18" t="n">
        <v>22.01638359</v>
      </c>
      <c r="F10" s="20" t="n">
        <v>1.03864028</v>
      </c>
      <c r="G10" s="18" t="n">
        <v>41.51097024</v>
      </c>
      <c r="H10" s="20" t="n">
        <v>1.43805654</v>
      </c>
      <c r="I10" s="18" t="n">
        <v>30.93604526</v>
      </c>
      <c r="J10" s="20" t="n">
        <v>1.24534163</v>
      </c>
      <c r="K10" s="18" t="n">
        <v>0</v>
      </c>
      <c r="L10" s="20" t="n">
        <v>0</v>
      </c>
      <c r="M10" s="18" t="n">
        <v>0.35751992</v>
      </c>
      <c r="N10" s="20" t="n">
        <v>0.16303244</v>
      </c>
      <c r="O10" s="18" t="n">
        <v>0.08200882</v>
      </c>
      <c r="P10" s="20" t="n">
        <v>0.08318953</v>
      </c>
      <c r="Q10" s="18" t="n">
        <v>0</v>
      </c>
      <c r="R10" s="20" t="n">
        <v>0</v>
      </c>
      <c r="S10" s="18" t="n">
        <v>5.09707217</v>
      </c>
      <c r="T10" s="20" t="n">
        <v>0.68258708</v>
      </c>
    </row>
    <row r="11" spans="1:20">
      <c r="A11" s="15" t="s">
        <v>433</v>
      </c>
      <c r="B11" s="17" t="n">
        <v>7053</v>
      </c>
      <c r="C11" s="18">
        <f>(6182.0/B11*100)</f>
        <v/>
      </c>
      <c r="D11" s="19" t="n">
        <v>871</v>
      </c>
      <c r="E11" s="18" t="n">
        <v>30.08585438</v>
      </c>
      <c r="F11" s="20" t="n">
        <v>2.07702447</v>
      </c>
      <c r="G11" s="18" t="n">
        <v>28.19074341</v>
      </c>
      <c r="H11" s="20" t="n">
        <v>2.00613267</v>
      </c>
      <c r="I11" s="18" t="n">
        <v>21.3584297</v>
      </c>
      <c r="J11" s="20" t="n">
        <v>1.71211221</v>
      </c>
      <c r="K11" s="18" t="n">
        <v>0</v>
      </c>
      <c r="L11" s="20" t="n">
        <v>0</v>
      </c>
      <c r="M11" s="18" t="n">
        <v>0.51002072</v>
      </c>
      <c r="N11" s="20" t="n">
        <v>0.36753039</v>
      </c>
      <c r="O11" s="18" t="n">
        <v>0.05070104</v>
      </c>
      <c r="P11" s="20" t="n">
        <v>0.05530871</v>
      </c>
      <c r="Q11" s="18" t="n">
        <v>0</v>
      </c>
      <c r="R11" s="20" t="n">
        <v>0</v>
      </c>
      <c r="S11" s="18" t="n">
        <v>19.80425075</v>
      </c>
      <c r="T11" s="20" t="n">
        <v>1.61589237</v>
      </c>
    </row>
    <row r="12" spans="1:20">
      <c r="A12" s="15" t="s">
        <v>434</v>
      </c>
      <c r="B12" s="17" t="n">
        <v>6894</v>
      </c>
      <c r="C12" s="18">
        <f>(6046.0/B12*100)</f>
        <v/>
      </c>
      <c r="D12" s="19" t="n">
        <v>848</v>
      </c>
      <c r="E12" s="18" t="n">
        <v>31.39939926</v>
      </c>
      <c r="F12" s="20" t="n">
        <v>1.89548355</v>
      </c>
      <c r="G12" s="18" t="n">
        <v>33.83693167</v>
      </c>
      <c r="H12" s="20" t="n">
        <v>1.78276437</v>
      </c>
      <c r="I12" s="18" t="n">
        <v>16.18541371</v>
      </c>
      <c r="J12" s="20" t="n">
        <v>1.34502816</v>
      </c>
      <c r="K12" s="18" t="n">
        <v>0</v>
      </c>
      <c r="L12" s="20" t="n">
        <v>0</v>
      </c>
      <c r="M12" s="18" t="n">
        <v>0.09175706</v>
      </c>
      <c r="N12" s="20" t="n">
        <v>0.13094372</v>
      </c>
      <c r="O12" s="18" t="n">
        <v>0.07045268</v>
      </c>
      <c r="P12" s="20" t="n">
        <v>0.09408287999999999</v>
      </c>
      <c r="Q12" s="18" t="n">
        <v>0</v>
      </c>
      <c r="R12" s="20" t="n">
        <v>0</v>
      </c>
      <c r="S12" s="18" t="n">
        <v>18.4160456</v>
      </c>
      <c r="T12" s="20" t="n">
        <v>1.70124011</v>
      </c>
    </row>
    <row r="13" spans="1:20">
      <c r="A13" s="15" t="s">
        <v>435</v>
      </c>
      <c r="B13" s="17" t="n">
        <v>7161</v>
      </c>
      <c r="C13" s="18">
        <f>(6330.0/B13*100)</f>
        <v/>
      </c>
      <c r="D13" s="19" t="n">
        <v>831</v>
      </c>
      <c r="E13" s="18" t="n">
        <v>18.94107205</v>
      </c>
      <c r="F13" s="20" t="n">
        <v>1.4251283</v>
      </c>
      <c r="G13" s="18" t="n">
        <v>52.42022239</v>
      </c>
      <c r="H13" s="20" t="n">
        <v>1.96280975</v>
      </c>
      <c r="I13" s="18" t="n">
        <v>23.10797305</v>
      </c>
      <c r="J13" s="20" t="n">
        <v>1.93588664</v>
      </c>
      <c r="K13" s="18" t="n">
        <v>0</v>
      </c>
      <c r="L13" s="20" t="n">
        <v>0</v>
      </c>
      <c r="M13" s="18" t="n">
        <v>0.90762412</v>
      </c>
      <c r="N13" s="20" t="n">
        <v>0.46005819</v>
      </c>
      <c r="O13" s="18" t="n">
        <v>0.03692214</v>
      </c>
      <c r="P13" s="20" t="n">
        <v>0.03691318</v>
      </c>
      <c r="Q13" s="18" t="n">
        <v>0</v>
      </c>
      <c r="R13" s="20" t="n">
        <v>0</v>
      </c>
      <c r="S13" s="18" t="n">
        <v>4.58618625</v>
      </c>
      <c r="T13" s="20" t="n">
        <v>0.86857011</v>
      </c>
    </row>
    <row r="14" spans="1:20">
      <c r="A14" s="15" t="s">
        <v>436</v>
      </c>
      <c r="B14" s="17" t="n">
        <v>5587</v>
      </c>
      <c r="C14" s="18">
        <f>(4915.0/B14*100)</f>
        <v/>
      </c>
      <c r="D14" s="19" t="n">
        <v>672</v>
      </c>
      <c r="E14" s="18" t="n">
        <v>29.2793005</v>
      </c>
      <c r="F14" s="20" t="n">
        <v>1.83508407</v>
      </c>
      <c r="G14" s="18" t="n">
        <v>54.48262783</v>
      </c>
      <c r="H14" s="20" t="n">
        <v>2.1407286</v>
      </c>
      <c r="I14" s="18" t="n">
        <v>8.20288465</v>
      </c>
      <c r="J14" s="20" t="n">
        <v>1.38912486</v>
      </c>
      <c r="K14" s="18" t="n">
        <v>0</v>
      </c>
      <c r="L14" s="20" t="n">
        <v>0</v>
      </c>
      <c r="M14" s="18" t="n">
        <v>0.2592549</v>
      </c>
      <c r="N14" s="20" t="n">
        <v>0.18895773</v>
      </c>
      <c r="O14" s="18" t="n">
        <v>0</v>
      </c>
      <c r="P14" s="20" t="n">
        <v>0</v>
      </c>
      <c r="Q14" s="18" t="n">
        <v>0</v>
      </c>
      <c r="R14" s="20" t="n">
        <v>0</v>
      </c>
      <c r="S14" s="18" t="n">
        <v>7.77593212</v>
      </c>
      <c r="T14" s="20" t="n">
        <v>1.00824296</v>
      </c>
    </row>
    <row r="15" spans="1:20">
      <c r="A15" s="15" t="s">
        <v>437</v>
      </c>
      <c r="B15" s="17" t="n">
        <v>5882</v>
      </c>
      <c r="C15" s="18">
        <f>(5145.0/B15*100)</f>
        <v/>
      </c>
      <c r="D15" s="19" t="n">
        <v>737</v>
      </c>
      <c r="E15" s="18" t="n">
        <v>29.37904217</v>
      </c>
      <c r="F15" s="20" t="n">
        <v>1.7767699</v>
      </c>
      <c r="G15" s="18" t="n">
        <v>45.49504428</v>
      </c>
      <c r="H15" s="20" t="n">
        <v>2.03259963</v>
      </c>
      <c r="I15" s="18" t="n">
        <v>16.87720528</v>
      </c>
      <c r="J15" s="20" t="n">
        <v>1.40403766</v>
      </c>
      <c r="K15" s="18" t="n">
        <v>0</v>
      </c>
      <c r="L15" s="20" t="n">
        <v>0</v>
      </c>
      <c r="M15" s="18" t="n">
        <v>0.40550879</v>
      </c>
      <c r="N15" s="20" t="n">
        <v>0.2321173</v>
      </c>
      <c r="O15" s="18" t="n">
        <v>0</v>
      </c>
      <c r="P15" s="20" t="n">
        <v>0</v>
      </c>
      <c r="Q15" s="18" t="n">
        <v>0</v>
      </c>
      <c r="R15" s="20" t="n">
        <v>0</v>
      </c>
      <c r="S15" s="18" t="n">
        <v>7.84319947</v>
      </c>
      <c r="T15" s="20" t="n">
        <v>1.12127883</v>
      </c>
    </row>
    <row r="16" spans="1:20">
      <c r="A16" s="15" t="s">
        <v>438</v>
      </c>
      <c r="B16" s="17" t="n">
        <v>6108</v>
      </c>
      <c r="C16" s="18">
        <f>(5335.0/B16*100)</f>
        <v/>
      </c>
      <c r="D16" s="19" t="n">
        <v>773</v>
      </c>
      <c r="E16" s="18" t="n">
        <v>24.28339696</v>
      </c>
      <c r="F16" s="20" t="n">
        <v>1.49874024</v>
      </c>
      <c r="G16" s="18" t="n">
        <v>31.68691566</v>
      </c>
      <c r="H16" s="20" t="n">
        <v>1.56547478</v>
      </c>
      <c r="I16" s="18" t="n">
        <v>15.66628918</v>
      </c>
      <c r="J16" s="20" t="n">
        <v>1.22182165</v>
      </c>
      <c r="K16" s="18" t="n">
        <v>0</v>
      </c>
      <c r="L16" s="20" t="n">
        <v>0</v>
      </c>
      <c r="M16" s="18" t="n">
        <v>1.206585</v>
      </c>
      <c r="N16" s="20" t="n">
        <v>0.4351373</v>
      </c>
      <c r="O16" s="18" t="n">
        <v>0</v>
      </c>
      <c r="P16" s="20" t="n">
        <v>0</v>
      </c>
      <c r="Q16" s="18" t="n">
        <v>0</v>
      </c>
      <c r="R16" s="20" t="n">
        <v>0</v>
      </c>
      <c r="S16" s="18" t="n">
        <v>27.1568132</v>
      </c>
      <c r="T16" s="20" t="n">
        <v>1.37511419</v>
      </c>
    </row>
    <row r="17" spans="1:20">
      <c r="A17" s="15" t="s">
        <v>439</v>
      </c>
      <c r="B17" s="17" t="n">
        <v>6504</v>
      </c>
      <c r="C17" s="18">
        <f>(5718.0/B17*100)</f>
        <v/>
      </c>
      <c r="D17" s="19" t="n">
        <v>786</v>
      </c>
      <c r="E17" s="18" t="n">
        <v>12.44647046</v>
      </c>
      <c r="F17" s="20" t="n">
        <v>1.23418678</v>
      </c>
      <c r="G17" s="18" t="n">
        <v>53.91356771</v>
      </c>
      <c r="H17" s="20" t="n">
        <v>2.07081583</v>
      </c>
      <c r="I17" s="18" t="n">
        <v>19.36087402</v>
      </c>
      <c r="J17" s="20" t="n">
        <v>1.4264526</v>
      </c>
      <c r="K17" s="18" t="n">
        <v>0</v>
      </c>
      <c r="L17" s="20" t="n">
        <v>0</v>
      </c>
      <c r="M17" s="18" t="n">
        <v>0.21940461</v>
      </c>
      <c r="N17" s="20" t="n">
        <v>0.15710506</v>
      </c>
      <c r="O17" s="18" t="n">
        <v>0</v>
      </c>
      <c r="P17" s="20" t="n">
        <v>0</v>
      </c>
      <c r="Q17" s="18" t="n">
        <v>0</v>
      </c>
      <c r="R17" s="20" t="n">
        <v>0</v>
      </c>
      <c r="S17" s="18" t="n">
        <v>14.0596832</v>
      </c>
      <c r="T17" s="20" t="n">
        <v>1.3947116</v>
      </c>
    </row>
    <row r="18" spans="1:20">
      <c r="A18" s="15" t="s">
        <v>440</v>
      </c>
      <c r="B18" s="17" t="n">
        <v>5532</v>
      </c>
      <c r="C18" s="18">
        <f>(4845.0/B18*100)</f>
        <v/>
      </c>
      <c r="D18" s="19" t="n">
        <v>687</v>
      </c>
      <c r="E18" s="18" t="n">
        <v>33.64429358</v>
      </c>
      <c r="F18" s="20" t="n">
        <v>1.89895584</v>
      </c>
      <c r="G18" s="18" t="n">
        <v>37.68051524</v>
      </c>
      <c r="H18" s="20" t="n">
        <v>2.27164334</v>
      </c>
      <c r="I18" s="18" t="n">
        <v>12.85560971</v>
      </c>
      <c r="J18" s="20" t="n">
        <v>1.38235751</v>
      </c>
      <c r="K18" s="18" t="n">
        <v>0</v>
      </c>
      <c r="L18" s="20" t="n">
        <v>0</v>
      </c>
      <c r="M18" s="18" t="n">
        <v>0.14985973</v>
      </c>
      <c r="N18" s="20" t="n">
        <v>0.15252592</v>
      </c>
      <c r="O18" s="18" t="n">
        <v>0</v>
      </c>
      <c r="P18" s="20" t="n">
        <v>0</v>
      </c>
      <c r="Q18" s="18" t="n">
        <v>0</v>
      </c>
      <c r="R18" s="20" t="n">
        <v>0</v>
      </c>
      <c r="S18" s="18" t="n">
        <v>15.66972173</v>
      </c>
      <c r="T18" s="20" t="n">
        <v>1.79565836</v>
      </c>
    </row>
    <row r="19" spans="1:20">
      <c r="A19" s="15" t="s">
        <v>441</v>
      </c>
      <c r="B19" s="17" t="n">
        <v>5658</v>
      </c>
      <c r="C19" s="18">
        <f>(4940.0/B19*100)</f>
        <v/>
      </c>
      <c r="D19" s="19" t="n">
        <v>718</v>
      </c>
      <c r="E19" s="18" t="n">
        <v>34.80225707</v>
      </c>
      <c r="F19" s="20" t="n">
        <v>1.90781607</v>
      </c>
      <c r="G19" s="18" t="n">
        <v>31.92832898</v>
      </c>
      <c r="H19" s="20" t="n">
        <v>1.58464095</v>
      </c>
      <c r="I19" s="18" t="n">
        <v>14.29046977</v>
      </c>
      <c r="J19" s="20" t="n">
        <v>1.26340786</v>
      </c>
      <c r="K19" s="18" t="n">
        <v>0</v>
      </c>
      <c r="L19" s="20" t="n">
        <v>0</v>
      </c>
      <c r="M19" s="18" t="n">
        <v>0.77217741</v>
      </c>
      <c r="N19" s="20" t="n">
        <v>0.46740828</v>
      </c>
      <c r="O19" s="18" t="n">
        <v>0</v>
      </c>
      <c r="P19" s="20" t="n">
        <v>0</v>
      </c>
      <c r="Q19" s="18" t="n">
        <v>0</v>
      </c>
      <c r="R19" s="20" t="n">
        <v>0</v>
      </c>
      <c r="S19" s="18" t="n">
        <v>18.20676675</v>
      </c>
      <c r="T19" s="20" t="n">
        <v>1.68566094</v>
      </c>
    </row>
    <row r="20" spans="1:20">
      <c r="A20" s="15" t="s">
        <v>442</v>
      </c>
      <c r="B20" s="17" t="n">
        <v>3371</v>
      </c>
      <c r="C20" s="18">
        <f>(2955.0/B20*100)</f>
        <v/>
      </c>
      <c r="D20" s="19" t="n">
        <v>416</v>
      </c>
      <c r="E20" s="18" t="n">
        <v>36.15733623</v>
      </c>
      <c r="F20" s="20" t="n">
        <v>2.13960245</v>
      </c>
      <c r="G20" s="18" t="n">
        <v>42.62516478</v>
      </c>
      <c r="H20" s="20" t="n">
        <v>2.27726717</v>
      </c>
      <c r="I20" s="18" t="n">
        <v>8.55146688</v>
      </c>
      <c r="J20" s="20" t="n">
        <v>1.42695829</v>
      </c>
      <c r="K20" s="18" t="n">
        <v>0</v>
      </c>
      <c r="L20" s="20" t="n">
        <v>0</v>
      </c>
      <c r="M20" s="18" t="n">
        <v>0.74479978</v>
      </c>
      <c r="N20" s="20" t="n">
        <v>0.42415967</v>
      </c>
      <c r="O20" s="18" t="n">
        <v>0.5766769899999999</v>
      </c>
      <c r="P20" s="20" t="n">
        <v>0.33128041</v>
      </c>
      <c r="Q20" s="18" t="n">
        <v>0</v>
      </c>
      <c r="R20" s="20" t="n">
        <v>0</v>
      </c>
      <c r="S20" s="18" t="n">
        <v>11.34455534</v>
      </c>
      <c r="T20" s="20" t="n">
        <v>1.4315316</v>
      </c>
    </row>
    <row r="21" spans="1:20">
      <c r="A21" s="15" t="s">
        <v>443</v>
      </c>
      <c r="B21" s="17" t="n">
        <v>5741</v>
      </c>
      <c r="C21" s="18">
        <f>(4789.0/B21*100)</f>
        <v/>
      </c>
      <c r="D21" s="19" t="n">
        <v>952</v>
      </c>
      <c r="E21" s="18" t="n">
        <v>17.49110391</v>
      </c>
      <c r="F21" s="20" t="n">
        <v>1.20925279</v>
      </c>
      <c r="G21" s="18" t="n">
        <v>44.63920352</v>
      </c>
      <c r="H21" s="20" t="n">
        <v>1.59113567</v>
      </c>
      <c r="I21" s="18" t="n">
        <v>32.3739569</v>
      </c>
      <c r="J21" s="20" t="n">
        <v>1.39831668</v>
      </c>
      <c r="K21" s="18" t="n">
        <v>0</v>
      </c>
      <c r="L21" s="20" t="n">
        <v>0</v>
      </c>
      <c r="M21" s="18" t="n">
        <v>0.09843963999999999</v>
      </c>
      <c r="N21" s="20" t="n">
        <v>0.08862064</v>
      </c>
      <c r="O21" s="18" t="n">
        <v>0.08037051000000001</v>
      </c>
      <c r="P21" s="20" t="n">
        <v>0.0802995</v>
      </c>
      <c r="Q21" s="18" t="n">
        <v>0</v>
      </c>
      <c r="R21" s="20" t="n">
        <v>0</v>
      </c>
      <c r="S21" s="18" t="n">
        <v>5.31692551</v>
      </c>
      <c r="T21" s="20" t="n">
        <v>0.79297674</v>
      </c>
    </row>
    <row r="22" spans="1:20">
      <c r="A22" s="15" t="s">
        <v>444</v>
      </c>
      <c r="B22" s="17" t="n">
        <v>6598</v>
      </c>
      <c r="C22" s="18">
        <f>(5782.0/B22*100)</f>
        <v/>
      </c>
      <c r="D22" s="19" t="n">
        <v>816</v>
      </c>
      <c r="E22" s="18" t="n">
        <v>34.74419325</v>
      </c>
      <c r="F22" s="20" t="n">
        <v>1.78560037</v>
      </c>
      <c r="G22" s="18" t="n">
        <v>35.08656837</v>
      </c>
      <c r="H22" s="20" t="n">
        <v>2.22534857</v>
      </c>
      <c r="I22" s="18" t="n">
        <v>15.23764302</v>
      </c>
      <c r="J22" s="20" t="n">
        <v>1.20918333</v>
      </c>
      <c r="K22" s="18" t="n">
        <v>0</v>
      </c>
      <c r="L22" s="20" t="n">
        <v>0</v>
      </c>
      <c r="M22" s="18" t="n">
        <v>0.2077165</v>
      </c>
      <c r="N22" s="20" t="n">
        <v>0.15666584</v>
      </c>
      <c r="O22" s="18" t="n">
        <v>0</v>
      </c>
      <c r="P22" s="20" t="n">
        <v>0</v>
      </c>
      <c r="Q22" s="18" t="n">
        <v>0</v>
      </c>
      <c r="R22" s="20" t="n">
        <v>0</v>
      </c>
      <c r="S22" s="18" t="n">
        <v>14.72387886</v>
      </c>
      <c r="T22" s="20" t="n">
        <v>1.3793803</v>
      </c>
    </row>
    <row r="23" spans="1:20">
      <c r="A23" s="15" t="s">
        <v>445</v>
      </c>
      <c r="B23" s="17" t="n">
        <v>11583</v>
      </c>
      <c r="C23" s="18">
        <f>(10161.0/B23*100)</f>
        <v/>
      </c>
      <c r="D23" s="19" t="n">
        <v>1422</v>
      </c>
      <c r="E23" s="18" t="n">
        <v>0.25880855</v>
      </c>
      <c r="F23" s="20" t="n">
        <v>0.03141087</v>
      </c>
      <c r="G23" s="18" t="n">
        <v>0.32359406</v>
      </c>
      <c r="H23" s="20" t="n">
        <v>0.04173337</v>
      </c>
      <c r="I23" s="18" t="n">
        <v>0.07539445</v>
      </c>
      <c r="J23" s="20" t="n">
        <v>0.0179014</v>
      </c>
      <c r="K23" s="18" t="n">
        <v>0</v>
      </c>
      <c r="L23" s="20" t="n">
        <v>0</v>
      </c>
      <c r="M23" s="18" t="n">
        <v>0.01018088</v>
      </c>
      <c r="N23" s="20" t="n">
        <v>0.00761179</v>
      </c>
      <c r="O23" s="18" t="n">
        <v>99.28338127000001</v>
      </c>
      <c r="P23" s="20" t="n">
        <v>0.06234833</v>
      </c>
      <c r="Q23" s="18" t="n">
        <v>0</v>
      </c>
      <c r="R23" s="20" t="n">
        <v>0</v>
      </c>
      <c r="S23" s="18" t="n">
        <v>0.0486408</v>
      </c>
      <c r="T23" s="20" t="n">
        <v>0.0130602</v>
      </c>
    </row>
    <row r="24" spans="1:20">
      <c r="A24" s="15" t="s">
        <v>446</v>
      </c>
      <c r="B24" s="17" t="n">
        <v>6647</v>
      </c>
      <c r="C24" s="18">
        <f>(5830.0/B24*100)</f>
        <v/>
      </c>
      <c r="D24" s="19" t="n">
        <v>817</v>
      </c>
      <c r="E24" s="18" t="n">
        <v>16.6556437</v>
      </c>
      <c r="F24" s="20" t="n">
        <v>1.30640587</v>
      </c>
      <c r="G24" s="18" t="n">
        <v>16.25869346</v>
      </c>
      <c r="H24" s="20" t="n">
        <v>1.23771153</v>
      </c>
      <c r="I24" s="18" t="n">
        <v>37.16982475</v>
      </c>
      <c r="J24" s="20" t="n">
        <v>1.78623818</v>
      </c>
      <c r="K24" s="18" t="n">
        <v>0</v>
      </c>
      <c r="L24" s="20" t="n">
        <v>0</v>
      </c>
      <c r="M24" s="18" t="n">
        <v>0.24688511</v>
      </c>
      <c r="N24" s="20" t="n">
        <v>0.1747113</v>
      </c>
      <c r="O24" s="18" t="n">
        <v>0</v>
      </c>
      <c r="P24" s="20" t="n">
        <v>0</v>
      </c>
      <c r="Q24" s="18" t="n">
        <v>0</v>
      </c>
      <c r="R24" s="20" t="n">
        <v>0</v>
      </c>
      <c r="S24" s="18" t="n">
        <v>29.66895298</v>
      </c>
      <c r="T24" s="20" t="n">
        <v>1.54613923</v>
      </c>
    </row>
    <row r="25" spans="1:20">
      <c r="A25" s="15" t="s">
        <v>447</v>
      </c>
      <c r="B25" s="17" t="n">
        <v>5581</v>
      </c>
      <c r="C25" s="18">
        <f>(4896.0/B25*100)</f>
        <v/>
      </c>
      <c r="D25" s="19" t="n">
        <v>685</v>
      </c>
      <c r="E25" s="18" t="n">
        <v>10.25588573</v>
      </c>
      <c r="F25" s="20" t="n">
        <v>1.21313715</v>
      </c>
      <c r="G25" s="18" t="n">
        <v>53.58431683</v>
      </c>
      <c r="H25" s="20" t="n">
        <v>1.9241967</v>
      </c>
      <c r="I25" s="18" t="n">
        <v>19.89208041</v>
      </c>
      <c r="J25" s="20" t="n">
        <v>1.61376987</v>
      </c>
      <c r="K25" s="18" t="n">
        <v>0</v>
      </c>
      <c r="L25" s="20" t="n">
        <v>0</v>
      </c>
      <c r="M25" s="18" t="n">
        <v>0.26373287</v>
      </c>
      <c r="N25" s="20" t="n">
        <v>0.18668136</v>
      </c>
      <c r="O25" s="18" t="n">
        <v>0</v>
      </c>
      <c r="P25" s="20" t="n">
        <v>0</v>
      </c>
      <c r="Q25" s="18" t="n">
        <v>0</v>
      </c>
      <c r="R25" s="20" t="n">
        <v>0</v>
      </c>
      <c r="S25" s="18" t="n">
        <v>16.00398417</v>
      </c>
      <c r="T25" s="20" t="n">
        <v>1.42685842</v>
      </c>
    </row>
    <row r="26" spans="1:20">
      <c r="A26" s="15" t="s">
        <v>448</v>
      </c>
      <c r="B26" s="17" t="n">
        <v>4869</v>
      </c>
      <c r="C26" s="18">
        <f>(4281.0/B26*100)</f>
        <v/>
      </c>
      <c r="D26" s="19" t="n">
        <v>588</v>
      </c>
      <c r="E26" s="18" t="n">
        <v>43.24400875</v>
      </c>
      <c r="F26" s="20" t="n">
        <v>2.18129265</v>
      </c>
      <c r="G26" s="18" t="n">
        <v>32.18681758</v>
      </c>
      <c r="H26" s="20" t="n">
        <v>1.93175114</v>
      </c>
      <c r="I26" s="18" t="n">
        <v>14.27189875</v>
      </c>
      <c r="J26" s="20" t="n">
        <v>1.53149542</v>
      </c>
      <c r="K26" s="18" t="n">
        <v>0</v>
      </c>
      <c r="L26" s="20" t="n">
        <v>0</v>
      </c>
      <c r="M26" s="18" t="n">
        <v>0</v>
      </c>
      <c r="N26" s="20" t="n">
        <v>0</v>
      </c>
      <c r="O26" s="18" t="n">
        <v>0.62939931</v>
      </c>
      <c r="P26" s="20" t="n">
        <v>0.40411012</v>
      </c>
      <c r="Q26" s="18" t="n">
        <v>0</v>
      </c>
      <c r="R26" s="20" t="n">
        <v>0</v>
      </c>
      <c r="S26" s="18" t="n">
        <v>9.66787562</v>
      </c>
      <c r="T26" s="20" t="n">
        <v>1.27302642</v>
      </c>
    </row>
    <row r="27" spans="1:20">
      <c r="A27" s="15" t="s">
        <v>449</v>
      </c>
      <c r="B27" s="17" t="n">
        <v>5299</v>
      </c>
      <c r="C27" s="18">
        <f>(4653.0/B27*100)</f>
        <v/>
      </c>
      <c r="D27" s="19" t="n">
        <v>646</v>
      </c>
      <c r="E27" s="18" t="n">
        <v>28.99282738</v>
      </c>
      <c r="F27" s="20" t="n">
        <v>1.96729404</v>
      </c>
      <c r="G27" s="18" t="n">
        <v>34.348631</v>
      </c>
      <c r="H27" s="20" t="n">
        <v>1.89710186</v>
      </c>
      <c r="I27" s="18" t="n">
        <v>14.86706121</v>
      </c>
      <c r="J27" s="20" t="n">
        <v>1.62996466</v>
      </c>
      <c r="K27" s="18" t="n">
        <v>0</v>
      </c>
      <c r="L27" s="20" t="n">
        <v>0</v>
      </c>
      <c r="M27" s="18" t="n">
        <v>0.80224885</v>
      </c>
      <c r="N27" s="20" t="n">
        <v>0.36185714</v>
      </c>
      <c r="O27" s="18" t="n">
        <v>0</v>
      </c>
      <c r="P27" s="20" t="n">
        <v>0</v>
      </c>
      <c r="Q27" s="18" t="n">
        <v>0</v>
      </c>
      <c r="R27" s="20" t="n">
        <v>0</v>
      </c>
      <c r="S27" s="18" t="n">
        <v>20.98923156</v>
      </c>
      <c r="T27" s="20" t="n">
        <v>1.42763234</v>
      </c>
    </row>
    <row r="28" spans="1:20">
      <c r="A28" s="15" t="s">
        <v>450</v>
      </c>
      <c r="B28" s="17" t="n">
        <v>7568</v>
      </c>
      <c r="C28" s="18">
        <f>(6676.0/B28*100)</f>
        <v/>
      </c>
      <c r="D28" s="19" t="n">
        <v>892</v>
      </c>
      <c r="E28" s="18" t="n">
        <v>57.17393176</v>
      </c>
      <c r="F28" s="20" t="n">
        <v>2.10335916</v>
      </c>
      <c r="G28" s="18" t="n">
        <v>33.5577287</v>
      </c>
      <c r="H28" s="20" t="n">
        <v>1.81785302</v>
      </c>
      <c r="I28" s="18" t="n">
        <v>3.15126703</v>
      </c>
      <c r="J28" s="20" t="n">
        <v>0.82952725</v>
      </c>
      <c r="K28" s="18" t="n">
        <v>0</v>
      </c>
      <c r="L28" s="20" t="n">
        <v>0</v>
      </c>
      <c r="M28" s="18" t="n">
        <v>0.11181442</v>
      </c>
      <c r="N28" s="20" t="n">
        <v>0.12161045</v>
      </c>
      <c r="O28" s="18" t="n">
        <v>0</v>
      </c>
      <c r="P28" s="20" t="n">
        <v>0</v>
      </c>
      <c r="Q28" s="18" t="n">
        <v>0</v>
      </c>
      <c r="R28" s="20" t="n">
        <v>0</v>
      </c>
      <c r="S28" s="18" t="n">
        <v>6.00525808</v>
      </c>
      <c r="T28" s="20" t="n">
        <v>0.95426999</v>
      </c>
    </row>
    <row r="29" spans="1:20">
      <c r="A29" s="15" t="s">
        <v>451</v>
      </c>
      <c r="B29" s="17" t="n">
        <v>5385</v>
      </c>
      <c r="C29" s="18">
        <f>(4742.0/B29*100)</f>
        <v/>
      </c>
      <c r="D29" s="19" t="n">
        <v>643</v>
      </c>
      <c r="E29" s="18" t="n">
        <v>33.84974966</v>
      </c>
      <c r="F29" s="20" t="n">
        <v>2.16063541</v>
      </c>
      <c r="G29" s="18" t="n">
        <v>31.5562438</v>
      </c>
      <c r="H29" s="20" t="n">
        <v>2.01692348</v>
      </c>
      <c r="I29" s="18" t="n">
        <v>30.4059546</v>
      </c>
      <c r="J29" s="20" t="n">
        <v>1.90489453</v>
      </c>
      <c r="K29" s="18" t="n">
        <v>0</v>
      </c>
      <c r="L29" s="20" t="n">
        <v>0</v>
      </c>
      <c r="M29" s="18" t="n">
        <v>0.15325891</v>
      </c>
      <c r="N29" s="20" t="n">
        <v>0.15098126</v>
      </c>
      <c r="O29" s="18" t="n">
        <v>0.1633203</v>
      </c>
      <c r="P29" s="20" t="n">
        <v>0.17057189</v>
      </c>
      <c r="Q29" s="18" t="n">
        <v>0</v>
      </c>
      <c r="R29" s="20" t="n">
        <v>0</v>
      </c>
      <c r="S29" s="18" t="n">
        <v>3.87147273</v>
      </c>
      <c r="T29" s="20" t="n">
        <v>0.93666215</v>
      </c>
    </row>
    <row r="30" spans="1:20">
      <c r="A30" s="15" t="s">
        <v>452</v>
      </c>
      <c r="B30" s="17" t="n">
        <v>4520</v>
      </c>
      <c r="C30" s="18">
        <f>(3943.0/B30*100)</f>
        <v/>
      </c>
      <c r="D30" s="19" t="n">
        <v>577</v>
      </c>
      <c r="E30" s="18" t="n">
        <v>24.36189807</v>
      </c>
      <c r="F30" s="20" t="n">
        <v>1.82326634</v>
      </c>
      <c r="G30" s="18" t="n">
        <v>33.74310378</v>
      </c>
      <c r="H30" s="20" t="n">
        <v>1.90419774</v>
      </c>
      <c r="I30" s="18" t="n">
        <v>29.64636518</v>
      </c>
      <c r="J30" s="20" t="n">
        <v>1.9268778</v>
      </c>
      <c r="K30" s="18" t="n">
        <v>0</v>
      </c>
      <c r="L30" s="20" t="n">
        <v>0</v>
      </c>
      <c r="M30" s="18" t="n">
        <v>0.54373092</v>
      </c>
      <c r="N30" s="20" t="n">
        <v>0.1830195</v>
      </c>
      <c r="O30" s="18" t="n">
        <v>0.25200486</v>
      </c>
      <c r="P30" s="20" t="n">
        <v>0.24710116</v>
      </c>
      <c r="Q30" s="18" t="n">
        <v>0</v>
      </c>
      <c r="R30" s="20" t="n">
        <v>0</v>
      </c>
      <c r="S30" s="18" t="n">
        <v>11.45289719</v>
      </c>
      <c r="T30" s="20" t="n">
        <v>1.1826281</v>
      </c>
    </row>
    <row r="31" spans="1:20">
      <c r="A31" s="15" t="s">
        <v>453</v>
      </c>
      <c r="B31" s="17" t="n">
        <v>5456</v>
      </c>
      <c r="C31" s="18">
        <f>(4793.0/B31*100)</f>
        <v/>
      </c>
      <c r="D31" s="19" t="n">
        <v>663</v>
      </c>
      <c r="E31" s="18" t="n">
        <v>30.56942174</v>
      </c>
      <c r="F31" s="20" t="n">
        <v>1.83260983</v>
      </c>
      <c r="G31" s="18" t="n">
        <v>38.907004</v>
      </c>
      <c r="H31" s="20" t="n">
        <v>1.68731086</v>
      </c>
      <c r="I31" s="18" t="n">
        <v>15.48317269</v>
      </c>
      <c r="J31" s="20" t="n">
        <v>1.45650912</v>
      </c>
      <c r="K31" s="18" t="n">
        <v>0</v>
      </c>
      <c r="L31" s="20" t="n">
        <v>0</v>
      </c>
      <c r="M31" s="18" t="n">
        <v>0.41271592</v>
      </c>
      <c r="N31" s="20" t="n">
        <v>0.24402186</v>
      </c>
      <c r="O31" s="18" t="n">
        <v>0.15249852</v>
      </c>
      <c r="P31" s="20" t="n">
        <v>0.14474124</v>
      </c>
      <c r="Q31" s="18" t="n">
        <v>0</v>
      </c>
      <c r="R31" s="20" t="n">
        <v>0</v>
      </c>
      <c r="S31" s="18" t="n">
        <v>14.47518713</v>
      </c>
      <c r="T31" s="20" t="n">
        <v>1.30206183</v>
      </c>
    </row>
    <row r="32" spans="1:20">
      <c r="A32" s="15" t="s">
        <v>454</v>
      </c>
      <c r="B32" s="17" t="n">
        <v>4478</v>
      </c>
      <c r="C32" s="18">
        <f>(3765.0/B32*100)</f>
        <v/>
      </c>
      <c r="D32" s="19" t="n">
        <v>713</v>
      </c>
      <c r="E32" s="18" t="n">
        <v>26.59940652</v>
      </c>
      <c r="F32" s="20" t="n">
        <v>1.80061655</v>
      </c>
      <c r="G32" s="18" t="n">
        <v>58.76223119</v>
      </c>
      <c r="H32" s="20" t="n">
        <v>2.29784925</v>
      </c>
      <c r="I32" s="18" t="n">
        <v>6.88049272</v>
      </c>
      <c r="J32" s="20" t="n">
        <v>1.00716646</v>
      </c>
      <c r="K32" s="18" t="n">
        <v>0</v>
      </c>
      <c r="L32" s="20" t="n">
        <v>0</v>
      </c>
      <c r="M32" s="18" t="n">
        <v>0.13543101</v>
      </c>
      <c r="N32" s="20" t="n">
        <v>0.12753144</v>
      </c>
      <c r="O32" s="18" t="n">
        <v>0.13194664</v>
      </c>
      <c r="P32" s="20" t="n">
        <v>0.13136316</v>
      </c>
      <c r="Q32" s="18" t="n">
        <v>0</v>
      </c>
      <c r="R32" s="20" t="n">
        <v>0</v>
      </c>
      <c r="S32" s="18" t="n">
        <v>7.49049193</v>
      </c>
      <c r="T32" s="20" t="n">
        <v>1.07945849</v>
      </c>
    </row>
    <row r="33" spans="1:20">
      <c r="A33" s="15" t="s">
        <v>455</v>
      </c>
      <c r="B33" s="17" t="n">
        <v>7325</v>
      </c>
      <c r="C33" s="18">
        <f>(6408.0/B33*100)</f>
        <v/>
      </c>
      <c r="D33" s="19" t="n">
        <v>917</v>
      </c>
      <c r="E33" s="18" t="n">
        <v>22.60487368</v>
      </c>
      <c r="F33" s="20" t="n">
        <v>1.53321928</v>
      </c>
      <c r="G33" s="18" t="n">
        <v>38.80401903</v>
      </c>
      <c r="H33" s="20" t="n">
        <v>1.88686363</v>
      </c>
      <c r="I33" s="18" t="n">
        <v>29.1741622</v>
      </c>
      <c r="J33" s="20" t="n">
        <v>1.45937236</v>
      </c>
      <c r="K33" s="18" t="n">
        <v>0</v>
      </c>
      <c r="L33" s="20" t="n">
        <v>0</v>
      </c>
      <c r="M33" s="18" t="n">
        <v>0.1575998</v>
      </c>
      <c r="N33" s="20" t="n">
        <v>0.13773813</v>
      </c>
      <c r="O33" s="18" t="n">
        <v>0.12176193</v>
      </c>
      <c r="P33" s="20" t="n">
        <v>0.11741081</v>
      </c>
      <c r="Q33" s="18" t="n">
        <v>0</v>
      </c>
      <c r="R33" s="20" t="n">
        <v>0</v>
      </c>
      <c r="S33" s="18" t="n">
        <v>9.137583360000001</v>
      </c>
      <c r="T33" s="20" t="n">
        <v>1.0264041</v>
      </c>
    </row>
    <row r="34" spans="1:20">
      <c r="A34" s="15" t="s">
        <v>456</v>
      </c>
      <c r="B34" s="17" t="n">
        <v>6350</v>
      </c>
      <c r="C34" s="18">
        <f>(5578.0/B34*100)</f>
        <v/>
      </c>
      <c r="D34" s="19" t="n">
        <v>772</v>
      </c>
      <c r="E34" s="18" t="n">
        <v>71.35075781</v>
      </c>
      <c r="F34" s="20" t="n">
        <v>1.701423</v>
      </c>
      <c r="G34" s="18" t="n">
        <v>7.43468766</v>
      </c>
      <c r="H34" s="20" t="n">
        <v>0.8752092</v>
      </c>
      <c r="I34" s="18" t="n">
        <v>3.10315335</v>
      </c>
      <c r="J34" s="20" t="n">
        <v>0.6312731</v>
      </c>
      <c r="K34" s="18" t="n">
        <v>0</v>
      </c>
      <c r="L34" s="20" t="n">
        <v>0</v>
      </c>
      <c r="M34" s="18" t="n">
        <v>0.09931919</v>
      </c>
      <c r="N34" s="20" t="n">
        <v>0.09934874</v>
      </c>
      <c r="O34" s="18" t="n">
        <v>0</v>
      </c>
      <c r="P34" s="20" t="n">
        <v>0</v>
      </c>
      <c r="Q34" s="18" t="n">
        <v>0</v>
      </c>
      <c r="R34" s="20" t="n">
        <v>0</v>
      </c>
      <c r="S34" s="18" t="n">
        <v>18.01208199</v>
      </c>
      <c r="T34" s="20" t="n">
        <v>1.27840758</v>
      </c>
    </row>
    <row r="35" spans="1:20">
      <c r="A35" s="15" t="s">
        <v>457</v>
      </c>
      <c r="B35" s="17" t="n">
        <v>6406</v>
      </c>
      <c r="C35" s="18">
        <f>(5645.0/B35*100)</f>
        <v/>
      </c>
      <c r="D35" s="19" t="n">
        <v>761</v>
      </c>
      <c r="E35" s="18" t="n">
        <v>39.5102159</v>
      </c>
      <c r="F35" s="20" t="n">
        <v>2.04335936</v>
      </c>
      <c r="G35" s="18" t="n">
        <v>38.29400917</v>
      </c>
      <c r="H35" s="20" t="n">
        <v>2.26741495</v>
      </c>
      <c r="I35" s="18" t="n">
        <v>14.26269569</v>
      </c>
      <c r="J35" s="20" t="n">
        <v>1.82895805</v>
      </c>
      <c r="K35" s="18" t="n">
        <v>0</v>
      </c>
      <c r="L35" s="20" t="n">
        <v>0</v>
      </c>
      <c r="M35" s="18" t="n">
        <v>0.07160307</v>
      </c>
      <c r="N35" s="20" t="n">
        <v>0.07145116</v>
      </c>
      <c r="O35" s="18" t="n">
        <v>0</v>
      </c>
      <c r="P35" s="20" t="n">
        <v>0</v>
      </c>
      <c r="Q35" s="18" t="n">
        <v>0</v>
      </c>
      <c r="R35" s="20" t="n">
        <v>0</v>
      </c>
      <c r="S35" s="18" t="n">
        <v>7.86147617</v>
      </c>
      <c r="T35" s="20" t="n">
        <v>1.06271131</v>
      </c>
    </row>
    <row r="36" spans="1:20">
      <c r="A36" s="15" t="s">
        <v>458</v>
      </c>
      <c r="B36" s="17" t="n">
        <v>6736</v>
      </c>
      <c r="C36" s="18">
        <f>(5898.0/B36*100)</f>
        <v/>
      </c>
      <c r="D36" s="19" t="n">
        <v>838</v>
      </c>
      <c r="E36" s="18" t="n">
        <v>27.44113976</v>
      </c>
      <c r="F36" s="20" t="n">
        <v>1.6849471</v>
      </c>
      <c r="G36" s="18" t="n">
        <v>32.13229709</v>
      </c>
      <c r="H36" s="20" t="n">
        <v>1.64604959</v>
      </c>
      <c r="I36" s="18" t="n">
        <v>29.80208314</v>
      </c>
      <c r="J36" s="20" t="n">
        <v>1.56141324</v>
      </c>
      <c r="K36" s="18" t="n">
        <v>0</v>
      </c>
      <c r="L36" s="20" t="n">
        <v>0</v>
      </c>
      <c r="M36" s="18" t="n">
        <v>0</v>
      </c>
      <c r="N36" s="20" t="n">
        <v>0</v>
      </c>
      <c r="O36" s="18" t="n">
        <v>0.36394905</v>
      </c>
      <c r="P36" s="20" t="n">
        <v>0.26836032</v>
      </c>
      <c r="Q36" s="18" t="n">
        <v>0</v>
      </c>
      <c r="R36" s="20" t="n">
        <v>0</v>
      </c>
      <c r="S36" s="18" t="n">
        <v>10.26053095</v>
      </c>
      <c r="T36" s="20" t="n">
        <v>0.9751557</v>
      </c>
    </row>
    <row r="37" spans="1:20">
      <c r="A37" s="15" t="s">
        <v>459</v>
      </c>
      <c r="B37" s="17" t="n">
        <v>5458</v>
      </c>
      <c r="C37" s="18">
        <f>(4768.0/B37*100)</f>
        <v/>
      </c>
      <c r="D37" s="19" t="n">
        <v>690</v>
      </c>
      <c r="E37" s="18" t="n">
        <v>21.50611177</v>
      </c>
      <c r="F37" s="20" t="n">
        <v>1.46643777</v>
      </c>
      <c r="G37" s="18" t="n">
        <v>51.47564222</v>
      </c>
      <c r="H37" s="20" t="n">
        <v>1.70117141</v>
      </c>
      <c r="I37" s="18" t="n">
        <v>15.01474294</v>
      </c>
      <c r="J37" s="20" t="n">
        <v>1.45427418</v>
      </c>
      <c r="K37" s="18" t="n">
        <v>0</v>
      </c>
      <c r="L37" s="20" t="n">
        <v>0</v>
      </c>
      <c r="M37" s="18" t="n">
        <v>0.99110813</v>
      </c>
      <c r="N37" s="20" t="n">
        <v>0.37952241</v>
      </c>
      <c r="O37" s="18" t="n">
        <v>0</v>
      </c>
      <c r="P37" s="20" t="n">
        <v>0</v>
      </c>
      <c r="Q37" s="18" t="n">
        <v>0</v>
      </c>
      <c r="R37" s="20" t="n">
        <v>0</v>
      </c>
      <c r="S37" s="18" t="n">
        <v>11.01239494</v>
      </c>
      <c r="T37" s="20" t="n">
        <v>1.28458532</v>
      </c>
    </row>
    <row r="38" spans="1:20">
      <c r="A38" s="15" t="s">
        <v>460</v>
      </c>
      <c r="B38" s="17" t="n">
        <v>5860</v>
      </c>
      <c r="C38" s="18">
        <f>(4942.0/B38*100)</f>
        <v/>
      </c>
      <c r="D38" s="19" t="n">
        <v>918</v>
      </c>
      <c r="E38" s="18" t="n">
        <v>40.12935704</v>
      </c>
      <c r="F38" s="20" t="n">
        <v>1.87975477</v>
      </c>
      <c r="G38" s="18" t="n">
        <v>36.46614923</v>
      </c>
      <c r="H38" s="20" t="n">
        <v>1.59432469</v>
      </c>
      <c r="I38" s="18" t="n">
        <v>9.97366094</v>
      </c>
      <c r="J38" s="20" t="n">
        <v>1.03486008</v>
      </c>
      <c r="K38" s="18" t="n">
        <v>0</v>
      </c>
      <c r="L38" s="20" t="n">
        <v>0</v>
      </c>
      <c r="M38" s="18" t="n">
        <v>0.19687862</v>
      </c>
      <c r="N38" s="20" t="n">
        <v>0.10715774</v>
      </c>
      <c r="O38" s="18" t="n">
        <v>0.21287145</v>
      </c>
      <c r="P38" s="20" t="n">
        <v>0.21146788</v>
      </c>
      <c r="Q38" s="18" t="n">
        <v>0</v>
      </c>
      <c r="R38" s="20" t="n">
        <v>0</v>
      </c>
      <c r="S38" s="18" t="n">
        <v>13.02108273</v>
      </c>
      <c r="T38" s="20" t="n">
        <v>1.06322254</v>
      </c>
    </row>
    <row r="39" spans="1:20">
      <c r="A39" s="15" t="s">
        <v>461</v>
      </c>
      <c r="B39" s="17" t="n">
        <v>5895</v>
      </c>
      <c r="C39" s="18">
        <f>(5178.0/B39*100)</f>
        <v/>
      </c>
      <c r="D39" s="19" t="n">
        <v>717</v>
      </c>
      <c r="E39" s="18" t="n">
        <v>25.05750525</v>
      </c>
      <c r="F39" s="20" t="n">
        <v>1.6689031</v>
      </c>
      <c r="G39" s="18" t="n">
        <v>46.30165518</v>
      </c>
      <c r="H39" s="20" t="n">
        <v>2.1473642</v>
      </c>
      <c r="I39" s="18" t="n">
        <v>14.2724407</v>
      </c>
      <c r="J39" s="20" t="n">
        <v>1.55740075</v>
      </c>
      <c r="K39" s="18" t="n">
        <v>0</v>
      </c>
      <c r="L39" s="20" t="n">
        <v>0</v>
      </c>
      <c r="M39" s="18" t="n">
        <v>0.60047298</v>
      </c>
      <c r="N39" s="20" t="n">
        <v>0.35586068</v>
      </c>
      <c r="O39" s="18" t="n">
        <v>0.1215447</v>
      </c>
      <c r="P39" s="20" t="n">
        <v>0.12530486</v>
      </c>
      <c r="Q39" s="18" t="n">
        <v>0</v>
      </c>
      <c r="R39" s="20" t="n">
        <v>0</v>
      </c>
      <c r="S39" s="18" t="n">
        <v>13.6463812</v>
      </c>
      <c r="T39" s="20" t="n">
        <v>1.22403536</v>
      </c>
    </row>
    <row r="40" spans="1:20">
      <c r="A40" s="15" t="s">
        <v>462</v>
      </c>
      <c r="B40" s="17" t="n">
        <v>14157</v>
      </c>
      <c r="C40" s="18">
        <f>(12457.0/B40*100)</f>
        <v/>
      </c>
      <c r="D40" s="19" t="n">
        <v>1700</v>
      </c>
      <c r="E40" s="18" t="n">
        <v>16.52632091</v>
      </c>
      <c r="F40" s="20" t="n">
        <v>1.33872669</v>
      </c>
      <c r="G40" s="18" t="n">
        <v>45.58835794</v>
      </c>
      <c r="H40" s="20" t="n">
        <v>1.55041626</v>
      </c>
      <c r="I40" s="18" t="n">
        <v>26.64192168</v>
      </c>
      <c r="J40" s="20" t="n">
        <v>1.4248653</v>
      </c>
      <c r="K40" s="18" t="n">
        <v>0</v>
      </c>
      <c r="L40" s="20" t="n">
        <v>0</v>
      </c>
      <c r="M40" s="18" t="n">
        <v>0.1385014</v>
      </c>
      <c r="N40" s="20" t="n">
        <v>0.05426542</v>
      </c>
      <c r="O40" s="18" t="n">
        <v>0.30321555</v>
      </c>
      <c r="P40" s="20" t="n">
        <v>0.21862697</v>
      </c>
      <c r="Q40" s="18" t="n">
        <v>0</v>
      </c>
      <c r="R40" s="20" t="n">
        <v>0</v>
      </c>
      <c r="S40" s="18" t="n">
        <v>10.80168253</v>
      </c>
      <c r="T40" s="20" t="n">
        <v>1.10255306</v>
      </c>
    </row>
    <row r="41" spans="1:20">
      <c r="A41" s="15" t="s">
        <v>463</v>
      </c>
      <c r="B41" s="17" t="n">
        <v>5712</v>
      </c>
      <c r="C41" s="18">
        <f>(5042.0/B41*100)</f>
        <v/>
      </c>
      <c r="D41" s="19" t="n">
        <v>670</v>
      </c>
      <c r="E41" s="18" t="n">
        <v>18.46043783</v>
      </c>
      <c r="F41" s="20" t="n">
        <v>1.52480572</v>
      </c>
      <c r="G41" s="18" t="n">
        <v>51.8672665</v>
      </c>
      <c r="H41" s="20" t="n">
        <v>1.89322498</v>
      </c>
      <c r="I41" s="18" t="n">
        <v>24.16547346</v>
      </c>
      <c r="J41" s="20" t="n">
        <v>1.67165981</v>
      </c>
      <c r="K41" s="18" t="n">
        <v>0</v>
      </c>
      <c r="L41" s="20" t="n">
        <v>0</v>
      </c>
      <c r="M41" s="18" t="n">
        <v>0.12337535</v>
      </c>
      <c r="N41" s="20" t="n">
        <v>0.13136728</v>
      </c>
      <c r="O41" s="18" t="n">
        <v>0</v>
      </c>
      <c r="P41" s="20" t="n">
        <v>0</v>
      </c>
      <c r="Q41" s="18" t="n">
        <v>0</v>
      </c>
      <c r="R41" s="20" t="n">
        <v>0</v>
      </c>
      <c r="S41" s="18" t="n">
        <v>5.38344687</v>
      </c>
      <c r="T41" s="20" t="n">
        <v>0.91132441</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(20699.0/B46*100)</f>
        <v/>
      </c>
      <c r="D46" s="19" t="n">
        <v>2442</v>
      </c>
      <c r="E46" s="18" t="n">
        <v>43.53156715</v>
      </c>
      <c r="F46" s="20" t="n">
        <v>1.37348071</v>
      </c>
      <c r="G46" s="18" t="n">
        <v>31.36321228</v>
      </c>
      <c r="H46" s="20" t="n">
        <v>1.10094629</v>
      </c>
      <c r="I46" s="18" t="n">
        <v>6.4840445</v>
      </c>
      <c r="J46" s="20" t="n">
        <v>0.69591534</v>
      </c>
      <c r="K46" s="18" t="n">
        <v>0</v>
      </c>
      <c r="L46" s="20" t="n">
        <v>0</v>
      </c>
      <c r="M46" s="18" t="n">
        <v>0.98596788</v>
      </c>
      <c r="N46" s="20" t="n">
        <v>0.21489502</v>
      </c>
      <c r="O46" s="18" t="n">
        <v>0.53438423</v>
      </c>
      <c r="P46" s="20" t="n">
        <v>0.18200369</v>
      </c>
      <c r="Q46" s="18" t="n">
        <v>0</v>
      </c>
      <c r="R46" s="20" t="n">
        <v>0</v>
      </c>
      <c r="S46" s="18" t="n">
        <v>17.10082395</v>
      </c>
      <c r="T46" s="20" t="n">
        <v>0.95613898</v>
      </c>
    </row>
    <row r="47" spans="1:20">
      <c r="A47" s="15" t="s">
        <v>470</v>
      </c>
      <c r="B47" s="17" t="n">
        <v>5928</v>
      </c>
      <c r="C47" s="18">
        <f>(5206.0/B47*100)</f>
        <v/>
      </c>
      <c r="D47" s="19" t="n">
        <v>722</v>
      </c>
      <c r="E47" s="18" t="n">
        <v>41.39453127</v>
      </c>
      <c r="F47" s="20" t="n">
        <v>1.82374023</v>
      </c>
      <c r="G47" s="18" t="n">
        <v>23.51311835</v>
      </c>
      <c r="H47" s="20" t="n">
        <v>1.78810319</v>
      </c>
      <c r="I47" s="18" t="n">
        <v>11.49081102</v>
      </c>
      <c r="J47" s="20" t="n">
        <v>1.23600979</v>
      </c>
      <c r="K47" s="18" t="n">
        <v>0</v>
      </c>
      <c r="L47" s="20" t="n">
        <v>0</v>
      </c>
      <c r="M47" s="18" t="n">
        <v>0.70642696</v>
      </c>
      <c r="N47" s="20" t="n">
        <v>0.38003651</v>
      </c>
      <c r="O47" s="18" t="n">
        <v>0</v>
      </c>
      <c r="P47" s="20" t="n">
        <v>0</v>
      </c>
      <c r="Q47" s="18" t="n">
        <v>0</v>
      </c>
      <c r="R47" s="20" t="n">
        <v>0</v>
      </c>
      <c r="S47" s="18" t="n">
        <v>22.89511241</v>
      </c>
      <c r="T47" s="20" t="n">
        <v>1.95826114</v>
      </c>
    </row>
    <row r="48" spans="1:20">
      <c r="A48" s="15" t="s">
        <v>471</v>
      </c>
      <c r="B48" s="17" t="n">
        <v>9841</v>
      </c>
      <c r="C48" s="18">
        <f>(8618.0/B48*100)</f>
        <v/>
      </c>
      <c r="D48" s="19" t="n">
        <v>1223</v>
      </c>
      <c r="E48" s="18" t="n">
        <v>48.43420205</v>
      </c>
      <c r="F48" s="20" t="n">
        <v>2.36118351</v>
      </c>
      <c r="G48" s="18" t="n">
        <v>24.02384838</v>
      </c>
      <c r="H48" s="20" t="n">
        <v>1.91346536</v>
      </c>
      <c r="I48" s="18" t="n">
        <v>19.11000221</v>
      </c>
      <c r="J48" s="20" t="n">
        <v>1.7523071</v>
      </c>
      <c r="K48" s="18" t="n">
        <v>0</v>
      </c>
      <c r="L48" s="20" t="n">
        <v>0</v>
      </c>
      <c r="M48" s="18" t="n">
        <v>0.34752613</v>
      </c>
      <c r="N48" s="20" t="n">
        <v>0.19004149</v>
      </c>
      <c r="O48" s="18" t="n">
        <v>0.00455686</v>
      </c>
      <c r="P48" s="20" t="n">
        <v>0.0045671</v>
      </c>
      <c r="Q48" s="18" t="n">
        <v>0</v>
      </c>
      <c r="R48" s="20" t="n">
        <v>0</v>
      </c>
      <c r="S48" s="18" t="n">
        <v>8.07986436</v>
      </c>
      <c r="T48" s="20" t="n">
        <v>1.04699596</v>
      </c>
    </row>
    <row r="49" spans="1:20">
      <c r="A49" s="15" t="s">
        <v>472</v>
      </c>
      <c r="B49" s="17" t="n">
        <v>11795</v>
      </c>
      <c r="C49" s="18">
        <f>(10340.0/B49*100)</f>
        <v/>
      </c>
      <c r="D49" s="19" t="n">
        <v>1455</v>
      </c>
      <c r="E49" s="18" t="n">
        <v>43.5832463</v>
      </c>
      <c r="F49" s="20" t="n">
        <v>1.90393754</v>
      </c>
      <c r="G49" s="18" t="n">
        <v>19.40179394</v>
      </c>
      <c r="H49" s="20" t="n">
        <v>1.42275495</v>
      </c>
      <c r="I49" s="18" t="n">
        <v>26.69576753</v>
      </c>
      <c r="J49" s="20" t="n">
        <v>1.50849807</v>
      </c>
      <c r="K49" s="18" t="n">
        <v>0</v>
      </c>
      <c r="L49" s="20" t="n">
        <v>0</v>
      </c>
      <c r="M49" s="18" t="n">
        <v>0.75639711</v>
      </c>
      <c r="N49" s="20" t="n">
        <v>0.38025217</v>
      </c>
      <c r="O49" s="18" t="n">
        <v>0.07649134</v>
      </c>
      <c r="P49" s="20" t="n">
        <v>0.05919582</v>
      </c>
      <c r="Q49" s="18" t="n">
        <v>0</v>
      </c>
      <c r="R49" s="20" t="n">
        <v>0</v>
      </c>
      <c r="S49" s="18" t="n">
        <v>9.48630378</v>
      </c>
      <c r="T49" s="20" t="n">
        <v>0.9926152499999999</v>
      </c>
    </row>
    <row r="50" spans="1:20">
      <c r="A50" s="15" t="s">
        <v>473</v>
      </c>
      <c r="B50" s="17" t="n">
        <v>6866</v>
      </c>
      <c r="C50" s="18">
        <f>(6123.0/B50*100)</f>
        <v/>
      </c>
      <c r="D50" s="19" t="n">
        <v>743</v>
      </c>
      <c r="E50" s="18" t="n">
        <v>42.04678529</v>
      </c>
      <c r="F50" s="20" t="n">
        <v>1.73276145</v>
      </c>
      <c r="G50" s="18" t="n">
        <v>40.58858121</v>
      </c>
      <c r="H50" s="20" t="n">
        <v>1.94327626</v>
      </c>
      <c r="I50" s="18" t="n">
        <v>4.1686011</v>
      </c>
      <c r="J50" s="20" t="n">
        <v>0.79440349</v>
      </c>
      <c r="K50" s="18" t="n">
        <v>0</v>
      </c>
      <c r="L50" s="20" t="n">
        <v>0</v>
      </c>
      <c r="M50" s="18" t="n">
        <v>0.58258522</v>
      </c>
      <c r="N50" s="20" t="n">
        <v>0.35092658</v>
      </c>
      <c r="O50" s="18" t="n">
        <v>0</v>
      </c>
      <c r="P50" s="20" t="n">
        <v>0</v>
      </c>
      <c r="Q50" s="18" t="n">
        <v>0</v>
      </c>
      <c r="R50" s="20" t="n">
        <v>0</v>
      </c>
      <c r="S50" s="18" t="n">
        <v>12.61344719</v>
      </c>
      <c r="T50" s="20" t="n">
        <v>1.27067815</v>
      </c>
    </row>
    <row r="51" spans="1:20">
      <c r="A51" s="15" t="s">
        <v>474</v>
      </c>
      <c r="B51" s="17" t="n">
        <v>5809</v>
      </c>
      <c r="C51" s="18">
        <f>(5089.0/B51*100)</f>
        <v/>
      </c>
      <c r="D51" s="19" t="n">
        <v>720</v>
      </c>
      <c r="E51" s="18" t="n">
        <v>44.76059103</v>
      </c>
      <c r="F51" s="20" t="n">
        <v>1.70637353</v>
      </c>
      <c r="G51" s="18" t="n">
        <v>28.57657753</v>
      </c>
      <c r="H51" s="20" t="n">
        <v>1.73236559</v>
      </c>
      <c r="I51" s="18" t="n">
        <v>8.7490966</v>
      </c>
      <c r="J51" s="20" t="n">
        <v>0.99692941</v>
      </c>
      <c r="K51" s="18" t="n">
        <v>0</v>
      </c>
      <c r="L51" s="20" t="n">
        <v>0</v>
      </c>
      <c r="M51" s="18" t="n">
        <v>0.31220863</v>
      </c>
      <c r="N51" s="20" t="n">
        <v>0.22906503</v>
      </c>
      <c r="O51" s="18" t="n">
        <v>0</v>
      </c>
      <c r="P51" s="20" t="n">
        <v>0</v>
      </c>
      <c r="Q51" s="18" t="n">
        <v>0</v>
      </c>
      <c r="R51" s="20" t="n">
        <v>0</v>
      </c>
      <c r="S51" s="18" t="n">
        <v>17.60152621</v>
      </c>
      <c r="T51" s="20" t="n">
        <v>1.56385901</v>
      </c>
    </row>
    <row r="52" spans="1:20">
      <c r="A52" s="15" t="s">
        <v>475</v>
      </c>
      <c r="B52" s="17" t="n">
        <v>5571</v>
      </c>
      <c r="C52" s="18">
        <f>(4894.0/B52*100)</f>
        <v/>
      </c>
      <c r="D52" s="19" t="n">
        <v>677</v>
      </c>
      <c r="E52" s="18" t="n">
        <v>26.43387754</v>
      </c>
      <c r="F52" s="20" t="n">
        <v>1.7028769</v>
      </c>
      <c r="G52" s="18" t="n">
        <v>36.0761057</v>
      </c>
      <c r="H52" s="20" t="n">
        <v>2.04326085</v>
      </c>
      <c r="I52" s="18" t="n">
        <v>17.86887206</v>
      </c>
      <c r="J52" s="20" t="n">
        <v>1.47717422</v>
      </c>
      <c r="K52" s="18" t="n">
        <v>0</v>
      </c>
      <c r="L52" s="20" t="n">
        <v>0</v>
      </c>
      <c r="M52" s="18" t="n">
        <v>0.29887984</v>
      </c>
      <c r="N52" s="20" t="n">
        <v>0.22027143</v>
      </c>
      <c r="O52" s="18" t="n">
        <v>0</v>
      </c>
      <c r="P52" s="20" t="n">
        <v>0</v>
      </c>
      <c r="Q52" s="18" t="n">
        <v>0</v>
      </c>
      <c r="R52" s="20" t="n">
        <v>0</v>
      </c>
      <c r="S52" s="18" t="n">
        <v>19.32226485</v>
      </c>
      <c r="T52" s="20" t="n">
        <v>1.42412388</v>
      </c>
    </row>
    <row r="53" spans="1:20">
      <c r="A53" s="15" t="s">
        <v>476</v>
      </c>
      <c r="B53" s="17" t="n">
        <v>4740</v>
      </c>
      <c r="C53" s="18">
        <f>(3975.0/B53*100)</f>
        <v/>
      </c>
      <c r="D53" s="19" t="n">
        <v>765</v>
      </c>
      <c r="E53" s="18" t="n">
        <v>42.92896013</v>
      </c>
      <c r="F53" s="20" t="n">
        <v>2.08628661</v>
      </c>
      <c r="G53" s="18" t="n">
        <v>17.66544673</v>
      </c>
      <c r="H53" s="20" t="n">
        <v>1.28116812</v>
      </c>
      <c r="I53" s="18" t="n">
        <v>11.38635115</v>
      </c>
      <c r="J53" s="20" t="n">
        <v>1.36720186</v>
      </c>
      <c r="K53" s="18" t="n">
        <v>0</v>
      </c>
      <c r="L53" s="20" t="n">
        <v>0</v>
      </c>
      <c r="M53" s="18" t="n">
        <v>6.63535456</v>
      </c>
      <c r="N53" s="20" t="n">
        <v>1.06611664</v>
      </c>
      <c r="O53" s="18" t="n">
        <v>0.5305598</v>
      </c>
      <c r="P53" s="20" t="n">
        <v>0.41262785</v>
      </c>
      <c r="Q53" s="18" t="n">
        <v>0</v>
      </c>
      <c r="R53" s="20" t="n">
        <v>0</v>
      </c>
      <c r="S53" s="18" t="n">
        <v>20.85332763</v>
      </c>
      <c r="T53" s="20" t="n">
        <v>1.6948457</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(4699.0/B55*100)</f>
        <v/>
      </c>
      <c r="D55" s="19" t="n">
        <v>660</v>
      </c>
      <c r="E55" s="18" t="n">
        <v>33.11081743</v>
      </c>
      <c r="F55" s="20" t="n">
        <v>1.98121315</v>
      </c>
      <c r="G55" s="18" t="n">
        <v>43.57832003</v>
      </c>
      <c r="H55" s="20" t="n">
        <v>2.04453662</v>
      </c>
      <c r="I55" s="18" t="n">
        <v>14.94441877</v>
      </c>
      <c r="J55" s="20" t="n">
        <v>1.45727843</v>
      </c>
      <c r="K55" s="18" t="n">
        <v>0</v>
      </c>
      <c r="L55" s="20" t="n">
        <v>0</v>
      </c>
      <c r="M55" s="18" t="n">
        <v>0.39370346</v>
      </c>
      <c r="N55" s="20" t="n">
        <v>0.27522771</v>
      </c>
      <c r="O55" s="18" t="n">
        <v>0</v>
      </c>
      <c r="P55" s="20" t="n">
        <v>0</v>
      </c>
      <c r="Q55" s="18" t="n">
        <v>0</v>
      </c>
      <c r="R55" s="20" t="n">
        <v>0</v>
      </c>
      <c r="S55" s="18" t="n">
        <v>7.97274031</v>
      </c>
      <c r="T55" s="20" t="n">
        <v>0.95181156</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(5707.0/B61*100)</f>
        <v/>
      </c>
      <c r="D61" s="19" t="n">
        <v>818</v>
      </c>
      <c r="E61" s="18" t="n">
        <v>47.06554479</v>
      </c>
      <c r="F61" s="20" t="n">
        <v>1.89374886</v>
      </c>
      <c r="G61" s="18" t="n">
        <v>34.70474214</v>
      </c>
      <c r="H61" s="20" t="n">
        <v>1.76730503</v>
      </c>
      <c r="I61" s="18" t="n">
        <v>6.23794417</v>
      </c>
      <c r="J61" s="20" t="n">
        <v>0.93491491</v>
      </c>
      <c r="K61" s="18" t="n">
        <v>0</v>
      </c>
      <c r="L61" s="20" t="n">
        <v>0</v>
      </c>
      <c r="M61" s="18" t="n">
        <v>0.58388394</v>
      </c>
      <c r="N61" s="20" t="n">
        <v>0.27827481</v>
      </c>
      <c r="O61" s="18" t="n">
        <v>0</v>
      </c>
      <c r="P61" s="20" t="n">
        <v>0</v>
      </c>
      <c r="Q61" s="18" t="n">
        <v>0</v>
      </c>
      <c r="R61" s="20" t="n">
        <v>0</v>
      </c>
      <c r="S61" s="18" t="n">
        <v>11.40788496</v>
      </c>
      <c r="T61" s="20" t="n">
        <v>1.26384144</v>
      </c>
    </row>
    <row r="62" spans="1:20">
      <c r="A62" s="15" t="s">
        <v>486</v>
      </c>
      <c r="B62" s="17" t="n">
        <v>4476</v>
      </c>
      <c r="C62" s="18">
        <f>(3940.0/B62*100)</f>
        <v/>
      </c>
      <c r="D62" s="19" t="n">
        <v>536</v>
      </c>
      <c r="E62" s="18" t="n">
        <v>45.34082035</v>
      </c>
      <c r="F62" s="20" t="n">
        <v>2.00075013</v>
      </c>
      <c r="G62" s="18" t="n">
        <v>28.73714326</v>
      </c>
      <c r="H62" s="20" t="n">
        <v>1.86860166</v>
      </c>
      <c r="I62" s="18" t="n">
        <v>21.43308787</v>
      </c>
      <c r="J62" s="20" t="n">
        <v>1.76401264</v>
      </c>
      <c r="K62" s="18" t="n">
        <v>0</v>
      </c>
      <c r="L62" s="20" t="n">
        <v>0</v>
      </c>
      <c r="M62" s="18" t="n">
        <v>0.18530071</v>
      </c>
      <c r="N62" s="20" t="n">
        <v>0.18685566</v>
      </c>
      <c r="O62" s="18" t="n">
        <v>0.18530071</v>
      </c>
      <c r="P62" s="20" t="n">
        <v>0.18666307</v>
      </c>
      <c r="Q62" s="18" t="n">
        <v>0</v>
      </c>
      <c r="R62" s="20" t="n">
        <v>0</v>
      </c>
      <c r="S62" s="18" t="n">
        <v>4.11834711</v>
      </c>
      <c r="T62" s="20" t="n">
        <v>0.74914093</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(4987.0/B67*100)</f>
        <v/>
      </c>
      <c r="D67" s="19" t="n">
        <v>678</v>
      </c>
      <c r="E67" s="18" t="n">
        <v>30.76836828</v>
      </c>
      <c r="F67" s="20" t="n">
        <v>1.77077501</v>
      </c>
      <c r="G67" s="18" t="n">
        <v>28.9454929</v>
      </c>
      <c r="H67" s="20" t="n">
        <v>1.89732269</v>
      </c>
      <c r="I67" s="18" t="n">
        <v>3.31385936</v>
      </c>
      <c r="J67" s="20" t="n">
        <v>0.61167349</v>
      </c>
      <c r="K67" s="18" t="n">
        <v>0</v>
      </c>
      <c r="L67" s="20" t="n">
        <v>0</v>
      </c>
      <c r="M67" s="18" t="n">
        <v>0.70136122</v>
      </c>
      <c r="N67" s="20" t="n">
        <v>0.31633983</v>
      </c>
      <c r="O67" s="18" t="n">
        <v>0.41731277</v>
      </c>
      <c r="P67" s="20" t="n">
        <v>0.2368505</v>
      </c>
      <c r="Q67" s="18" t="n">
        <v>0</v>
      </c>
      <c r="R67" s="20" t="n">
        <v>0</v>
      </c>
      <c r="S67" s="18" t="n">
        <v>35.85360547</v>
      </c>
      <c r="T67" s="20" t="n">
        <v>1.86299678</v>
      </c>
    </row>
    <row r="68" spans="1:20">
      <c r="A68" s="15" t="s">
        <v>492</v>
      </c>
      <c r="B68" s="17" t="n">
        <v>6971</v>
      </c>
      <c r="C68" s="18">
        <f>(6187.0/B68*100)</f>
        <v/>
      </c>
      <c r="D68" s="19" t="n">
        <v>784</v>
      </c>
      <c r="E68" s="18" t="n">
        <v>60.79998561</v>
      </c>
      <c r="F68" s="20" t="n">
        <v>1.71262733</v>
      </c>
      <c r="G68" s="18" t="n">
        <v>19.65087287</v>
      </c>
      <c r="H68" s="20" t="n">
        <v>1.44175835</v>
      </c>
      <c r="I68" s="18" t="n">
        <v>4.46299525</v>
      </c>
      <c r="J68" s="20" t="n">
        <v>0.91008559</v>
      </c>
      <c r="K68" s="18" t="n">
        <v>0</v>
      </c>
      <c r="L68" s="20" t="n">
        <v>0</v>
      </c>
      <c r="M68" s="18" t="n">
        <v>0.20595951</v>
      </c>
      <c r="N68" s="20" t="n">
        <v>0.14889222</v>
      </c>
      <c r="O68" s="18" t="n">
        <v>0.26621894</v>
      </c>
      <c r="P68" s="20" t="n">
        <v>0.18865979</v>
      </c>
      <c r="Q68" s="18" t="n">
        <v>0</v>
      </c>
      <c r="R68" s="20" t="n">
        <v>0</v>
      </c>
      <c r="S68" s="18" t="n">
        <v>14.61396782</v>
      </c>
      <c r="T68" s="20" t="n">
        <v>1.46013402</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(10069.0/B70*100)</f>
        <v/>
      </c>
      <c r="D70" s="19" t="n">
        <v>2014</v>
      </c>
      <c r="E70" s="18" t="n">
        <v>49.07662752</v>
      </c>
      <c r="F70" s="20" t="n">
        <v>1.15971831</v>
      </c>
      <c r="G70" s="18" t="n">
        <v>22.04476752</v>
      </c>
      <c r="H70" s="20" t="n">
        <v>1.06210735</v>
      </c>
      <c r="I70" s="18" t="n">
        <v>14.38392951</v>
      </c>
      <c r="J70" s="20" t="n">
        <v>0.7513787200000001</v>
      </c>
      <c r="K70" s="18" t="n">
        <v>0</v>
      </c>
      <c r="L70" s="20" t="n">
        <v>0</v>
      </c>
      <c r="M70" s="18" t="n">
        <v>1.64473807</v>
      </c>
      <c r="N70" s="20" t="n">
        <v>0.29063705</v>
      </c>
      <c r="O70" s="18" t="n">
        <v>0</v>
      </c>
      <c r="P70" s="20" t="n">
        <v>0</v>
      </c>
      <c r="Q70" s="18" t="n">
        <v>0</v>
      </c>
      <c r="R70" s="20" t="n">
        <v>0</v>
      </c>
      <c r="S70" s="18" t="n">
        <v>12.84993739</v>
      </c>
      <c r="T70" s="20" t="n">
        <v>0.80328396</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(5316.0/B72*100)</f>
        <v/>
      </c>
      <c r="D72" s="19" t="n">
        <v>720</v>
      </c>
      <c r="E72" s="18" t="n">
        <v>62.95989627</v>
      </c>
      <c r="F72" s="20" t="n">
        <v>2.0525361</v>
      </c>
      <c r="G72" s="18" t="n">
        <v>18.24268031</v>
      </c>
      <c r="H72" s="20" t="n">
        <v>1.60898801</v>
      </c>
      <c r="I72" s="18" t="n">
        <v>5.35999487</v>
      </c>
      <c r="J72" s="20" t="n">
        <v>0.93152761</v>
      </c>
      <c r="K72" s="18" t="n">
        <v>0</v>
      </c>
      <c r="L72" s="20" t="n">
        <v>0</v>
      </c>
      <c r="M72" s="18" t="n">
        <v>0</v>
      </c>
      <c r="N72" s="20" t="n">
        <v>0</v>
      </c>
      <c r="O72" s="18" t="n">
        <v>0.06007107</v>
      </c>
      <c r="P72" s="20" t="n">
        <v>0.06024309</v>
      </c>
      <c r="Q72" s="18" t="n">
        <v>0</v>
      </c>
      <c r="R72" s="20" t="n">
        <v>0</v>
      </c>
      <c r="S72" s="18" t="n">
        <v>13.37735748</v>
      </c>
      <c r="T72" s="20" t="n">
        <v>1.34324168</v>
      </c>
    </row>
    <row r="73" spans="1:20">
      <c r="A73" s="15" t="s">
        <v>497</v>
      </c>
      <c r="B73" s="17" t="n">
        <v>6115</v>
      </c>
      <c r="C73" s="18">
        <f>(5373.0/B73*100)</f>
        <v/>
      </c>
      <c r="D73" s="19" t="n">
        <v>742</v>
      </c>
      <c r="E73" s="18" t="n">
        <v>42.02899265</v>
      </c>
      <c r="F73" s="20" t="n">
        <v>1.96096004</v>
      </c>
      <c r="G73" s="18" t="n">
        <v>31.83388316</v>
      </c>
      <c r="H73" s="20" t="n">
        <v>1.8606495</v>
      </c>
      <c r="I73" s="18" t="n">
        <v>21.47353289</v>
      </c>
      <c r="J73" s="20" t="n">
        <v>1.71684825</v>
      </c>
      <c r="K73" s="18" t="n">
        <v>0</v>
      </c>
      <c r="L73" s="20" t="n">
        <v>0</v>
      </c>
      <c r="M73" s="18" t="n">
        <v>0.45286754</v>
      </c>
      <c r="N73" s="20" t="n">
        <v>0.14581854</v>
      </c>
      <c r="O73" s="18" t="n">
        <v>0.07074567</v>
      </c>
      <c r="P73" s="20" t="n">
        <v>0.07182853</v>
      </c>
      <c r="Q73" s="18" t="n">
        <v>0</v>
      </c>
      <c r="R73" s="20" t="n">
        <v>0</v>
      </c>
      <c r="S73" s="18" t="n">
        <v>4.13997809</v>
      </c>
      <c r="T73" s="20" t="n">
        <v>0.80620328</v>
      </c>
    </row>
    <row r="74" spans="1:20">
      <c r="A74" s="15" t="s">
        <v>498</v>
      </c>
      <c r="B74" s="17" t="n">
        <v>7708</v>
      </c>
      <c r="C74" s="18">
        <f>(6745.0/B74*100)</f>
        <v/>
      </c>
      <c r="D74" s="19" t="n">
        <v>963</v>
      </c>
      <c r="E74" s="18" t="n">
        <v>28.55507114</v>
      </c>
      <c r="F74" s="20" t="n">
        <v>1.42332155</v>
      </c>
      <c r="G74" s="18" t="n">
        <v>58.04062948</v>
      </c>
      <c r="H74" s="20" t="n">
        <v>1.66438714</v>
      </c>
      <c r="I74" s="18" t="n">
        <v>4.32092406</v>
      </c>
      <c r="J74" s="20" t="n">
        <v>0.62572003</v>
      </c>
      <c r="K74" s="18" t="n">
        <v>0</v>
      </c>
      <c r="L74" s="20" t="n">
        <v>0</v>
      </c>
      <c r="M74" s="18" t="n">
        <v>0.12360362</v>
      </c>
      <c r="N74" s="20" t="n">
        <v>0.09037312</v>
      </c>
      <c r="O74" s="18" t="n">
        <v>0</v>
      </c>
      <c r="P74" s="20" t="n">
        <v>0</v>
      </c>
      <c r="Q74" s="18" t="n">
        <v>0</v>
      </c>
      <c r="R74" s="20" t="n">
        <v>0</v>
      </c>
      <c r="S74" s="18" t="n">
        <v>8.959771699999999</v>
      </c>
      <c r="T74" s="20" t="n">
        <v>1.00843661</v>
      </c>
    </row>
    <row r="75" spans="1:20">
      <c r="A75" s="15" t="s">
        <v>499</v>
      </c>
      <c r="B75" s="17" t="n">
        <v>8249</v>
      </c>
      <c r="C75" s="18">
        <f>(7236.0/B75*100)</f>
        <v/>
      </c>
      <c r="D75" s="19" t="n">
        <v>1013</v>
      </c>
      <c r="E75" s="18" t="n">
        <v>75.44951116</v>
      </c>
      <c r="F75" s="20" t="n">
        <v>1.64918499</v>
      </c>
      <c r="G75" s="18" t="n">
        <v>17.35228896</v>
      </c>
      <c r="H75" s="20" t="n">
        <v>1.50486015</v>
      </c>
      <c r="I75" s="18" t="n">
        <v>3.41150633</v>
      </c>
      <c r="J75" s="20" t="n">
        <v>0.68387442</v>
      </c>
      <c r="K75" s="18" t="n">
        <v>0</v>
      </c>
      <c r="L75" s="20" t="n">
        <v>0</v>
      </c>
      <c r="M75" s="18" t="n">
        <v>0</v>
      </c>
      <c r="N75" s="20" t="n">
        <v>0</v>
      </c>
      <c r="O75" s="18" t="n">
        <v>0.20412114</v>
      </c>
      <c r="P75" s="20" t="n">
        <v>0.21409379</v>
      </c>
      <c r="Q75" s="18" t="n">
        <v>0</v>
      </c>
      <c r="R75" s="20" t="n">
        <v>0</v>
      </c>
      <c r="S75" s="18" t="n">
        <v>3.58257241</v>
      </c>
      <c r="T75" s="20" t="n">
        <v>0.71075425</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(4780.0/B77*100)</f>
        <v/>
      </c>
      <c r="D77" s="19" t="n">
        <v>595</v>
      </c>
      <c r="E77" s="18" t="n">
        <v>46.27014553</v>
      </c>
      <c r="F77" s="20" t="n">
        <v>2.50758698</v>
      </c>
      <c r="G77" s="18" t="n">
        <v>9.822883940000001</v>
      </c>
      <c r="H77" s="20" t="n">
        <v>1.19035589</v>
      </c>
      <c r="I77" s="18" t="n">
        <v>7.5079907</v>
      </c>
      <c r="J77" s="20" t="n">
        <v>1.16096224</v>
      </c>
      <c r="K77" s="18" t="n">
        <v>0</v>
      </c>
      <c r="L77" s="20" t="n">
        <v>0</v>
      </c>
      <c r="M77" s="18" t="n">
        <v>1.79085733</v>
      </c>
      <c r="N77" s="20" t="n">
        <v>0.56435935</v>
      </c>
      <c r="O77" s="18" t="n">
        <v>0.83657314</v>
      </c>
      <c r="P77" s="20" t="n">
        <v>0.42489422</v>
      </c>
      <c r="Q77" s="18" t="n">
        <v>0</v>
      </c>
      <c r="R77" s="20" t="n">
        <v>0</v>
      </c>
      <c r="S77" s="18" t="n">
        <v>33.77154937</v>
      </c>
      <c r="T77" s="20" t="n">
        <v>2.0994206</v>
      </c>
    </row>
    <row r="78" spans="1:20">
      <c r="A78" s="15" t="s">
        <v>502</v>
      </c>
      <c r="B78" s="17" t="n">
        <v>14167</v>
      </c>
      <c r="C78" s="18">
        <f>(12479.0/B78*100)</f>
        <v/>
      </c>
      <c r="D78" s="19" t="n">
        <v>1688</v>
      </c>
      <c r="E78" s="18" t="n">
        <v>39.31500372</v>
      </c>
      <c r="F78" s="20" t="n">
        <v>1.56039819</v>
      </c>
      <c r="G78" s="18" t="n">
        <v>30.75349512</v>
      </c>
      <c r="H78" s="20" t="n">
        <v>1.49025682</v>
      </c>
      <c r="I78" s="18" t="n">
        <v>21.90515549</v>
      </c>
      <c r="J78" s="20" t="n">
        <v>1.29865117</v>
      </c>
      <c r="K78" s="18" t="n">
        <v>0</v>
      </c>
      <c r="L78" s="20" t="n">
        <v>0</v>
      </c>
      <c r="M78" s="18" t="n">
        <v>0.77796406</v>
      </c>
      <c r="N78" s="20" t="n">
        <v>0.24613263</v>
      </c>
      <c r="O78" s="18" t="n">
        <v>0.17768976</v>
      </c>
      <c r="P78" s="20" t="n">
        <v>0.10814981</v>
      </c>
      <c r="Q78" s="18" t="n">
        <v>0</v>
      </c>
      <c r="R78" s="20" t="n">
        <v>0</v>
      </c>
      <c r="S78" s="18" t="n">
        <v>7.07069185</v>
      </c>
      <c r="T78" s="20" t="n">
        <v>0.90796592</v>
      </c>
    </row>
    <row r="79" spans="1:20">
      <c r="A79" s="15" t="s">
        <v>503</v>
      </c>
      <c r="B79" s="17" t="n">
        <v>6062</v>
      </c>
      <c r="C79" s="18">
        <f>(5322.0/B79*100)</f>
        <v/>
      </c>
      <c r="D79" s="19" t="n">
        <v>740</v>
      </c>
      <c r="E79" s="18" t="n">
        <v>39.64617765</v>
      </c>
      <c r="F79" s="20" t="n">
        <v>1.81805762</v>
      </c>
      <c r="G79" s="18" t="n">
        <v>17.24686886</v>
      </c>
      <c r="H79" s="20" t="n">
        <v>1.63472194</v>
      </c>
      <c r="I79" s="18" t="n">
        <v>13.11431088</v>
      </c>
      <c r="J79" s="20" t="n">
        <v>1.2449482</v>
      </c>
      <c r="K79" s="18" t="n">
        <v>0</v>
      </c>
      <c r="L79" s="20" t="n">
        <v>0</v>
      </c>
      <c r="M79" s="18" t="n">
        <v>0.65629604</v>
      </c>
      <c r="N79" s="20" t="n">
        <v>0.33978716</v>
      </c>
      <c r="O79" s="18" t="n">
        <v>0.14642952</v>
      </c>
      <c r="P79" s="20" t="n">
        <v>0.1521472</v>
      </c>
      <c r="Q79" s="18" t="n">
        <v>0</v>
      </c>
      <c r="R79" s="20" t="n">
        <v>0</v>
      </c>
      <c r="S79" s="18" t="n">
        <v>29.18991705</v>
      </c>
      <c r="T79" s="20" t="n">
        <v>1.70273353</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(28335.0/B82*100)</f>
        <v/>
      </c>
      <c r="D82" s="19" t="n">
        <v>3995</v>
      </c>
      <c r="E82" s="18" t="n">
        <v>26.27015142</v>
      </c>
      <c r="F82" s="20" t="n">
        <v>1.18422089</v>
      </c>
      <c r="G82" s="18" t="n">
        <v>32.47960882</v>
      </c>
      <c r="H82" s="20" t="n">
        <v>1.06606222</v>
      </c>
      <c r="I82" s="18" t="n">
        <v>30.89353398</v>
      </c>
      <c r="J82" s="20" t="n">
        <v>1.07131385</v>
      </c>
      <c r="K82" s="18" t="n">
        <v>0</v>
      </c>
      <c r="L82" s="20" t="n">
        <v>0</v>
      </c>
      <c r="M82" s="18" t="n">
        <v>0.13919242</v>
      </c>
      <c r="N82" s="20" t="n">
        <v>0.04509348</v>
      </c>
      <c r="O82" s="18" t="n">
        <v>0.2741218</v>
      </c>
      <c r="P82" s="20" t="n">
        <v>0.19769532</v>
      </c>
      <c r="Q82" s="18" t="n">
        <v>0</v>
      </c>
      <c r="R82" s="20" t="n">
        <v>0</v>
      </c>
      <c r="S82" s="18" t="n">
        <v>9.94339156</v>
      </c>
      <c r="T82" s="20" t="n">
        <v>0.64610974</v>
      </c>
    </row>
    <row r="83" spans="1:20">
      <c r="A83" s="15" t="s">
        <v>507</v>
      </c>
      <c r="B83" s="17" t="n">
        <v>1652</v>
      </c>
      <c r="C83" s="18">
        <f>(1459.0/B83*100)</f>
        <v/>
      </c>
      <c r="D83" s="19" t="n">
        <v>193</v>
      </c>
      <c r="E83" s="18" t="n">
        <v>16.37436991</v>
      </c>
      <c r="F83" s="20" t="n">
        <v>2.76709165</v>
      </c>
      <c r="G83" s="18" t="n">
        <v>46.10969237</v>
      </c>
      <c r="H83" s="20" t="n">
        <v>3.74880681</v>
      </c>
      <c r="I83" s="18" t="n">
        <v>35.14940052</v>
      </c>
      <c r="J83" s="20" t="n">
        <v>3.77498655</v>
      </c>
      <c r="K83" s="18" t="n">
        <v>0</v>
      </c>
      <c r="L83" s="20" t="n">
        <v>0</v>
      </c>
      <c r="M83" s="18" t="n">
        <v>0</v>
      </c>
      <c r="N83" s="20" t="n">
        <v>0</v>
      </c>
      <c r="O83" s="18" t="n">
        <v>0</v>
      </c>
      <c r="P83" s="20" t="n">
        <v>0</v>
      </c>
      <c r="Q83" s="18" t="n">
        <v>0</v>
      </c>
      <c r="R83" s="20" t="n">
        <v>0</v>
      </c>
      <c r="S83" s="18" t="n">
        <v>2.3665372</v>
      </c>
      <c r="T83" s="20" t="n">
        <v>1.02683708</v>
      </c>
    </row>
    <row r="84" spans="1:20">
      <c r="A84" s="23" t="s">
        <v>508</v>
      </c>
      <c r="B84" s="24" t="n">
        <v>1887</v>
      </c>
      <c r="C84" s="25">
        <f>(1661.0/B84*100)</f>
        <v/>
      </c>
      <c r="D84" s="19" t="n">
        <v>226</v>
      </c>
      <c r="E84" s="18" t="n">
        <v>21.13182371</v>
      </c>
      <c r="F84" s="20" t="n">
        <v>2.99344908</v>
      </c>
      <c r="G84" s="18" t="n">
        <v>51.61741799</v>
      </c>
      <c r="H84" s="20" t="n">
        <v>3.55831806</v>
      </c>
      <c r="I84" s="18" t="n">
        <v>23.03758352</v>
      </c>
      <c r="J84" s="20" t="n">
        <v>3.4556436</v>
      </c>
      <c r="K84" s="18" t="n">
        <v>0</v>
      </c>
      <c r="L84" s="20" t="n">
        <v>0</v>
      </c>
      <c r="M84" s="18" t="n">
        <v>0</v>
      </c>
      <c r="N84" s="20" t="n">
        <v>0</v>
      </c>
      <c r="O84" s="18" t="n">
        <v>0</v>
      </c>
      <c r="P84" s="20" t="n">
        <v>0</v>
      </c>
      <c r="Q84" s="18" t="n">
        <v>0</v>
      </c>
      <c r="R84" s="20" t="n">
        <v>0</v>
      </c>
      <c r="S84" s="18" t="n">
        <v>4.21317478</v>
      </c>
      <c r="T84" s="20" t="n">
        <v>1.8097657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542</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(12782.0/B7*100)</f>
        <v/>
      </c>
      <c r="D7" s="19" t="n">
        <v>1748</v>
      </c>
      <c r="E7" s="18" t="n">
        <v>39.15013167</v>
      </c>
      <c r="F7" s="20" t="n">
        <v>1.50671147</v>
      </c>
      <c r="G7" s="18" t="n">
        <v>24.35078246</v>
      </c>
      <c r="H7" s="20" t="n">
        <v>1.28302227</v>
      </c>
      <c r="I7" s="18" t="n">
        <v>31.99678095</v>
      </c>
      <c r="J7" s="20" t="n">
        <v>1.35559842</v>
      </c>
      <c r="K7" s="18" t="n">
        <v>0</v>
      </c>
      <c r="L7" s="20" t="n">
        <v>0</v>
      </c>
      <c r="M7" s="18" t="n">
        <v>0.33693494</v>
      </c>
      <c r="N7" s="20" t="n">
        <v>0.12990717</v>
      </c>
      <c r="O7" s="18" t="n">
        <v>0.03285295</v>
      </c>
      <c r="P7" s="20" t="n">
        <v>0.02167828</v>
      </c>
      <c r="Q7" s="18" t="n">
        <v>0</v>
      </c>
      <c r="R7" s="20" t="n">
        <v>0</v>
      </c>
      <c r="S7" s="18" t="n">
        <v>4.13251704</v>
      </c>
      <c r="T7" s="20" t="n">
        <v>0.50781916</v>
      </c>
    </row>
    <row r="8" spans="1:20">
      <c r="A8" s="15" t="s">
        <v>430</v>
      </c>
      <c r="B8" s="17" t="n">
        <v>7007</v>
      </c>
      <c r="C8" s="18">
        <f>(6176.0/B8*100)</f>
        <v/>
      </c>
      <c r="D8" s="19" t="n">
        <v>831</v>
      </c>
      <c r="E8" s="18" t="n">
        <v>34.93421766</v>
      </c>
      <c r="F8" s="20" t="n">
        <v>1.80289042</v>
      </c>
      <c r="G8" s="18" t="n">
        <v>10.8723816</v>
      </c>
      <c r="H8" s="20" t="n">
        <v>1.03477087</v>
      </c>
      <c r="I8" s="18" t="n">
        <v>29.00467783</v>
      </c>
      <c r="J8" s="20" t="n">
        <v>1.66329157</v>
      </c>
      <c r="K8" s="18" t="n">
        <v>0</v>
      </c>
      <c r="L8" s="20" t="n">
        <v>0</v>
      </c>
      <c r="M8" s="18" t="n">
        <v>0.23782948</v>
      </c>
      <c r="N8" s="20" t="n">
        <v>0.14199998</v>
      </c>
      <c r="O8" s="18" t="n">
        <v>0</v>
      </c>
      <c r="P8" s="20" t="n">
        <v>0</v>
      </c>
      <c r="Q8" s="18" t="n">
        <v>0</v>
      </c>
      <c r="R8" s="20" t="n">
        <v>0</v>
      </c>
      <c r="S8" s="18" t="n">
        <v>24.95089343</v>
      </c>
      <c r="T8" s="20" t="n">
        <v>1.66411057</v>
      </c>
    </row>
    <row r="9" spans="1:20">
      <c r="A9" s="15" t="s">
        <v>431</v>
      </c>
      <c r="B9" s="17" t="n">
        <v>9651</v>
      </c>
      <c r="C9" s="18">
        <f>(8509.0/B9*100)</f>
        <v/>
      </c>
      <c r="D9" s="19" t="n">
        <v>1142</v>
      </c>
      <c r="E9" s="18" t="n">
        <v>42.80902408</v>
      </c>
      <c r="F9" s="20" t="n">
        <v>1.3471672</v>
      </c>
      <c r="G9" s="18" t="n">
        <v>17.95700684</v>
      </c>
      <c r="H9" s="20" t="n">
        <v>1.2558776</v>
      </c>
      <c r="I9" s="18" t="n">
        <v>26.80638154</v>
      </c>
      <c r="J9" s="20" t="n">
        <v>1.32980425</v>
      </c>
      <c r="K9" s="18" t="n">
        <v>0</v>
      </c>
      <c r="L9" s="20" t="n">
        <v>0</v>
      </c>
      <c r="M9" s="18" t="n">
        <v>0.07854894</v>
      </c>
      <c r="N9" s="20" t="n">
        <v>0.07590735999999999</v>
      </c>
      <c r="O9" s="18" t="n">
        <v>0.23028423</v>
      </c>
      <c r="P9" s="20" t="n">
        <v>0.13307828</v>
      </c>
      <c r="Q9" s="18" t="n">
        <v>0.10254919</v>
      </c>
      <c r="R9" s="20" t="n">
        <v>0.11077301</v>
      </c>
      <c r="S9" s="18" t="n">
        <v>12.01620518</v>
      </c>
      <c r="T9" s="20" t="n">
        <v>0.98911693</v>
      </c>
    </row>
    <row r="10" spans="1:20">
      <c r="A10" s="15" t="s">
        <v>432</v>
      </c>
      <c r="B10" s="17" t="n">
        <v>20058</v>
      </c>
      <c r="C10" s="18">
        <f>(17596.0/B10*100)</f>
        <v/>
      </c>
      <c r="D10" s="19" t="n">
        <v>2462</v>
      </c>
      <c r="E10" s="18" t="n">
        <v>29.77707336</v>
      </c>
      <c r="F10" s="20" t="n">
        <v>1.06074882</v>
      </c>
      <c r="G10" s="18" t="n">
        <v>27.27434781</v>
      </c>
      <c r="H10" s="20" t="n">
        <v>1.09218083</v>
      </c>
      <c r="I10" s="18" t="n">
        <v>41.30867689</v>
      </c>
      <c r="J10" s="20" t="n">
        <v>1.35077232</v>
      </c>
      <c r="K10" s="18" t="n">
        <v>0</v>
      </c>
      <c r="L10" s="20" t="n">
        <v>0</v>
      </c>
      <c r="M10" s="18" t="n">
        <v>0.35751992</v>
      </c>
      <c r="N10" s="20" t="n">
        <v>0.16303244</v>
      </c>
      <c r="O10" s="18" t="n">
        <v>0.08200882</v>
      </c>
      <c r="P10" s="20" t="n">
        <v>0.08318953</v>
      </c>
      <c r="Q10" s="18" t="n">
        <v>0</v>
      </c>
      <c r="R10" s="20" t="n">
        <v>0</v>
      </c>
      <c r="S10" s="18" t="n">
        <v>1.2003732</v>
      </c>
      <c r="T10" s="20" t="n">
        <v>0.33427323</v>
      </c>
    </row>
    <row r="11" spans="1:20">
      <c r="A11" s="15" t="s">
        <v>433</v>
      </c>
      <c r="B11" s="17" t="n">
        <v>7053</v>
      </c>
      <c r="C11" s="18">
        <f>(6182.0/B11*100)</f>
        <v/>
      </c>
      <c r="D11" s="19" t="n">
        <v>871</v>
      </c>
      <c r="E11" s="18" t="n">
        <v>29.21229668</v>
      </c>
      <c r="F11" s="20" t="n">
        <v>1.79833958</v>
      </c>
      <c r="G11" s="18" t="n">
        <v>29.06237225</v>
      </c>
      <c r="H11" s="20" t="n">
        <v>1.78151244</v>
      </c>
      <c r="I11" s="18" t="n">
        <v>26.9588188</v>
      </c>
      <c r="J11" s="20" t="n">
        <v>1.52546599</v>
      </c>
      <c r="K11" s="18" t="n">
        <v>0</v>
      </c>
      <c r="L11" s="20" t="n">
        <v>0</v>
      </c>
      <c r="M11" s="18" t="n">
        <v>0.5443914</v>
      </c>
      <c r="N11" s="20" t="n">
        <v>0.36910439</v>
      </c>
      <c r="O11" s="18" t="n">
        <v>0.05070104</v>
      </c>
      <c r="P11" s="20" t="n">
        <v>0.05530871</v>
      </c>
      <c r="Q11" s="18" t="n">
        <v>0</v>
      </c>
      <c r="R11" s="20" t="n">
        <v>0</v>
      </c>
      <c r="S11" s="18" t="n">
        <v>14.17141983</v>
      </c>
      <c r="T11" s="20" t="n">
        <v>1.59931276</v>
      </c>
    </row>
    <row r="12" spans="1:20">
      <c r="A12" s="15" t="s">
        <v>434</v>
      </c>
      <c r="B12" s="17" t="n">
        <v>6894</v>
      </c>
      <c r="C12" s="18">
        <f>(6046.0/B12*100)</f>
        <v/>
      </c>
      <c r="D12" s="19" t="n">
        <v>848</v>
      </c>
      <c r="E12" s="18" t="n">
        <v>26.54069909</v>
      </c>
      <c r="F12" s="20" t="n">
        <v>1.97469764</v>
      </c>
      <c r="G12" s="18" t="n">
        <v>14.53318105</v>
      </c>
      <c r="H12" s="20" t="n">
        <v>1.30805336</v>
      </c>
      <c r="I12" s="18" t="n">
        <v>33.20512335</v>
      </c>
      <c r="J12" s="20" t="n">
        <v>1.7884282</v>
      </c>
      <c r="K12" s="18" t="n">
        <v>0</v>
      </c>
      <c r="L12" s="20" t="n">
        <v>0</v>
      </c>
      <c r="M12" s="18" t="n">
        <v>0.09175706</v>
      </c>
      <c r="N12" s="20" t="n">
        <v>0.13094372</v>
      </c>
      <c r="O12" s="18" t="n">
        <v>0.07045268</v>
      </c>
      <c r="P12" s="20" t="n">
        <v>0.09408287999999999</v>
      </c>
      <c r="Q12" s="18" t="n">
        <v>0</v>
      </c>
      <c r="R12" s="20" t="n">
        <v>0</v>
      </c>
      <c r="S12" s="18" t="n">
        <v>25.55878676</v>
      </c>
      <c r="T12" s="20" t="n">
        <v>1.74701586</v>
      </c>
    </row>
    <row r="13" spans="1:20">
      <c r="A13" s="15" t="s">
        <v>435</v>
      </c>
      <c r="B13" s="17" t="n">
        <v>7161</v>
      </c>
      <c r="C13" s="18">
        <f>(6330.0/B13*100)</f>
        <v/>
      </c>
      <c r="D13" s="19" t="n">
        <v>831</v>
      </c>
      <c r="E13" s="18" t="n">
        <v>44.52231343</v>
      </c>
      <c r="F13" s="20" t="n">
        <v>2.08553145</v>
      </c>
      <c r="G13" s="18" t="n">
        <v>8.73353365</v>
      </c>
      <c r="H13" s="20" t="n">
        <v>1.24500653</v>
      </c>
      <c r="I13" s="18" t="n">
        <v>44.33329171</v>
      </c>
      <c r="J13" s="20" t="n">
        <v>2.24569571</v>
      </c>
      <c r="K13" s="18" t="n">
        <v>0</v>
      </c>
      <c r="L13" s="20" t="n">
        <v>0</v>
      </c>
      <c r="M13" s="18" t="n">
        <v>0.90762412</v>
      </c>
      <c r="N13" s="20" t="n">
        <v>0.46005819</v>
      </c>
      <c r="O13" s="18" t="n">
        <v>0.03692214</v>
      </c>
      <c r="P13" s="20" t="n">
        <v>0.03691318</v>
      </c>
      <c r="Q13" s="18" t="n">
        <v>0</v>
      </c>
      <c r="R13" s="20" t="n">
        <v>0</v>
      </c>
      <c r="S13" s="18" t="n">
        <v>1.46631495</v>
      </c>
      <c r="T13" s="20" t="n">
        <v>0.5186106700000001</v>
      </c>
    </row>
    <row r="14" spans="1:20">
      <c r="A14" s="15" t="s">
        <v>436</v>
      </c>
      <c r="B14" s="17" t="n">
        <v>5587</v>
      </c>
      <c r="C14" s="18">
        <f>(4915.0/B14*100)</f>
        <v/>
      </c>
      <c r="D14" s="19" t="n">
        <v>672</v>
      </c>
      <c r="E14" s="18" t="n">
        <v>34.48934307</v>
      </c>
      <c r="F14" s="20" t="n">
        <v>2.04626229</v>
      </c>
      <c r="G14" s="18" t="n">
        <v>19.07360589</v>
      </c>
      <c r="H14" s="20" t="n">
        <v>1.42572016</v>
      </c>
      <c r="I14" s="18" t="n">
        <v>39.64490312</v>
      </c>
      <c r="J14" s="20" t="n">
        <v>1.90712757</v>
      </c>
      <c r="K14" s="18" t="n">
        <v>0</v>
      </c>
      <c r="L14" s="20" t="n">
        <v>0</v>
      </c>
      <c r="M14" s="18" t="n">
        <v>0.38103126</v>
      </c>
      <c r="N14" s="20" t="n">
        <v>0.1292618</v>
      </c>
      <c r="O14" s="18" t="n">
        <v>0</v>
      </c>
      <c r="P14" s="20" t="n">
        <v>0</v>
      </c>
      <c r="Q14" s="18" t="n">
        <v>0</v>
      </c>
      <c r="R14" s="20" t="n">
        <v>0</v>
      </c>
      <c r="S14" s="18" t="n">
        <v>6.41111666</v>
      </c>
      <c r="T14" s="20" t="n">
        <v>1.04416758</v>
      </c>
    </row>
    <row r="15" spans="1:20">
      <c r="A15" s="15" t="s">
        <v>437</v>
      </c>
      <c r="B15" s="17" t="n">
        <v>5882</v>
      </c>
      <c r="C15" s="18">
        <f>(5145.0/B15*100)</f>
        <v/>
      </c>
      <c r="D15" s="19" t="n">
        <v>737</v>
      </c>
      <c r="E15" s="18" t="n">
        <v>38.33268754</v>
      </c>
      <c r="F15" s="20" t="n">
        <v>1.68884984</v>
      </c>
      <c r="G15" s="18" t="n">
        <v>19.03041978</v>
      </c>
      <c r="H15" s="20" t="n">
        <v>1.53152568</v>
      </c>
      <c r="I15" s="18" t="n">
        <v>41.1140049</v>
      </c>
      <c r="J15" s="20" t="n">
        <v>1.92077404</v>
      </c>
      <c r="K15" s="18" t="n">
        <v>0</v>
      </c>
      <c r="L15" s="20" t="n">
        <v>0</v>
      </c>
      <c r="M15" s="18" t="n">
        <v>0.40550879</v>
      </c>
      <c r="N15" s="20" t="n">
        <v>0.2321173</v>
      </c>
      <c r="O15" s="18" t="n">
        <v>0</v>
      </c>
      <c r="P15" s="20" t="n">
        <v>0</v>
      </c>
      <c r="Q15" s="18" t="n">
        <v>0</v>
      </c>
      <c r="R15" s="20" t="n">
        <v>0</v>
      </c>
      <c r="S15" s="18" t="n">
        <v>1.11737899</v>
      </c>
      <c r="T15" s="20" t="n">
        <v>0.36294814</v>
      </c>
    </row>
    <row r="16" spans="1:20">
      <c r="A16" s="15" t="s">
        <v>438</v>
      </c>
      <c r="B16" s="17" t="n">
        <v>6108</v>
      </c>
      <c r="C16" s="18">
        <f>(5335.0/B16*100)</f>
        <v/>
      </c>
      <c r="D16" s="19" t="n">
        <v>773</v>
      </c>
      <c r="E16" s="18" t="n">
        <v>20.94063501</v>
      </c>
      <c r="F16" s="20" t="n">
        <v>1.62556779</v>
      </c>
      <c r="G16" s="18" t="n">
        <v>22.71491245</v>
      </c>
      <c r="H16" s="20" t="n">
        <v>1.6193191</v>
      </c>
      <c r="I16" s="18" t="n">
        <v>25.60944833</v>
      </c>
      <c r="J16" s="20" t="n">
        <v>1.6076293</v>
      </c>
      <c r="K16" s="18" t="n">
        <v>0</v>
      </c>
      <c r="L16" s="20" t="n">
        <v>0</v>
      </c>
      <c r="M16" s="18" t="n">
        <v>1.32716602</v>
      </c>
      <c r="N16" s="20" t="n">
        <v>0.46227865</v>
      </c>
      <c r="O16" s="18" t="n">
        <v>0.14437961</v>
      </c>
      <c r="P16" s="20" t="n">
        <v>0.1438835</v>
      </c>
      <c r="Q16" s="18" t="n">
        <v>0</v>
      </c>
      <c r="R16" s="20" t="n">
        <v>0</v>
      </c>
      <c r="S16" s="18" t="n">
        <v>29.26345858</v>
      </c>
      <c r="T16" s="20" t="n">
        <v>1.40413591</v>
      </c>
    </row>
    <row r="17" spans="1:20">
      <c r="A17" s="15" t="s">
        <v>439</v>
      </c>
      <c r="B17" s="17" t="n">
        <v>6504</v>
      </c>
      <c r="C17" s="18">
        <f>(5718.0/B17*100)</f>
        <v/>
      </c>
      <c r="D17" s="19" t="n">
        <v>786</v>
      </c>
      <c r="E17" s="18" t="n">
        <v>31.00773601</v>
      </c>
      <c r="F17" s="20" t="n">
        <v>1.81163428</v>
      </c>
      <c r="G17" s="18" t="n">
        <v>22.84487261</v>
      </c>
      <c r="H17" s="20" t="n">
        <v>1.63626861</v>
      </c>
      <c r="I17" s="18" t="n">
        <v>44.01643718</v>
      </c>
      <c r="J17" s="20" t="n">
        <v>1.88236074</v>
      </c>
      <c r="K17" s="18" t="n">
        <v>0</v>
      </c>
      <c r="L17" s="20" t="n">
        <v>0</v>
      </c>
      <c r="M17" s="18" t="n">
        <v>0.21940461</v>
      </c>
      <c r="N17" s="20" t="n">
        <v>0.15710506</v>
      </c>
      <c r="O17" s="18" t="n">
        <v>0</v>
      </c>
      <c r="P17" s="20" t="n">
        <v>0</v>
      </c>
      <c r="Q17" s="18" t="n">
        <v>0</v>
      </c>
      <c r="R17" s="20" t="n">
        <v>0</v>
      </c>
      <c r="S17" s="18" t="n">
        <v>1.9115496</v>
      </c>
      <c r="T17" s="20" t="n">
        <v>0.54793781</v>
      </c>
    </row>
    <row r="18" spans="1:20">
      <c r="A18" s="15" t="s">
        <v>440</v>
      </c>
      <c r="B18" s="17" t="n">
        <v>5532</v>
      </c>
      <c r="C18" s="18">
        <f>(4845.0/B18*100)</f>
        <v/>
      </c>
      <c r="D18" s="19" t="n">
        <v>687</v>
      </c>
      <c r="E18" s="18" t="n">
        <v>41.22758607</v>
      </c>
      <c r="F18" s="20" t="n">
        <v>1.88280724</v>
      </c>
      <c r="G18" s="18" t="n">
        <v>16.32023279</v>
      </c>
      <c r="H18" s="20" t="n">
        <v>1.35236514</v>
      </c>
      <c r="I18" s="18" t="n">
        <v>22.33532378</v>
      </c>
      <c r="J18" s="20" t="n">
        <v>1.57159974</v>
      </c>
      <c r="K18" s="18" t="n">
        <v>0</v>
      </c>
      <c r="L18" s="20" t="n">
        <v>0</v>
      </c>
      <c r="M18" s="18" t="n">
        <v>0.27485265</v>
      </c>
      <c r="N18" s="20" t="n">
        <v>0.19784001</v>
      </c>
      <c r="O18" s="18" t="n">
        <v>0</v>
      </c>
      <c r="P18" s="20" t="n">
        <v>0</v>
      </c>
      <c r="Q18" s="18" t="n">
        <v>0</v>
      </c>
      <c r="R18" s="20" t="n">
        <v>0</v>
      </c>
      <c r="S18" s="18" t="n">
        <v>19.84200472</v>
      </c>
      <c r="T18" s="20" t="n">
        <v>1.64290002</v>
      </c>
    </row>
    <row r="19" spans="1:20">
      <c r="A19" s="15" t="s">
        <v>441</v>
      </c>
      <c r="B19" s="17" t="n">
        <v>5658</v>
      </c>
      <c r="C19" s="18">
        <f>(4940.0/B19*100)</f>
        <v/>
      </c>
      <c r="D19" s="19" t="n">
        <v>718</v>
      </c>
      <c r="E19" s="18" t="n">
        <v>22.161333</v>
      </c>
      <c r="F19" s="20" t="n">
        <v>1.69043481</v>
      </c>
      <c r="G19" s="18" t="n">
        <v>15.66208008</v>
      </c>
      <c r="H19" s="20" t="n">
        <v>1.53849079</v>
      </c>
      <c r="I19" s="18" t="n">
        <v>35.95167393</v>
      </c>
      <c r="J19" s="20" t="n">
        <v>2.02698948</v>
      </c>
      <c r="K19" s="18" t="n">
        <v>0</v>
      </c>
      <c r="L19" s="20" t="n">
        <v>0</v>
      </c>
      <c r="M19" s="18" t="n">
        <v>0.77217741</v>
      </c>
      <c r="N19" s="20" t="n">
        <v>0.46740828</v>
      </c>
      <c r="O19" s="18" t="n">
        <v>0</v>
      </c>
      <c r="P19" s="20" t="n">
        <v>0</v>
      </c>
      <c r="Q19" s="18" t="n">
        <v>0</v>
      </c>
      <c r="R19" s="20" t="n">
        <v>0</v>
      </c>
      <c r="S19" s="18" t="n">
        <v>25.45273557</v>
      </c>
      <c r="T19" s="20" t="n">
        <v>1.80309963</v>
      </c>
    </row>
    <row r="20" spans="1:20">
      <c r="A20" s="15" t="s">
        <v>442</v>
      </c>
      <c r="B20" s="17" t="n">
        <v>3371</v>
      </c>
      <c r="C20" s="18">
        <f>(2955.0/B20*100)</f>
        <v/>
      </c>
      <c r="D20" s="19" t="n">
        <v>416</v>
      </c>
      <c r="E20" s="18" t="n">
        <v>51.19924428</v>
      </c>
      <c r="F20" s="20" t="n">
        <v>2.32869692</v>
      </c>
      <c r="G20" s="18" t="n">
        <v>9.35141056</v>
      </c>
      <c r="H20" s="20" t="n">
        <v>1.25002826</v>
      </c>
      <c r="I20" s="18" t="n">
        <v>36.65748218</v>
      </c>
      <c r="J20" s="20" t="n">
        <v>2.15314421</v>
      </c>
      <c r="K20" s="18" t="n">
        <v>0</v>
      </c>
      <c r="L20" s="20" t="n">
        <v>0</v>
      </c>
      <c r="M20" s="18" t="n">
        <v>0.74479978</v>
      </c>
      <c r="N20" s="20" t="n">
        <v>0.42415967</v>
      </c>
      <c r="O20" s="18" t="n">
        <v>0.5766769899999999</v>
      </c>
      <c r="P20" s="20" t="n">
        <v>0.33128041</v>
      </c>
      <c r="Q20" s="18" t="n">
        <v>0</v>
      </c>
      <c r="R20" s="20" t="n">
        <v>0</v>
      </c>
      <c r="S20" s="18" t="n">
        <v>1.47038622</v>
      </c>
      <c r="T20" s="20" t="n">
        <v>0.61471421</v>
      </c>
    </row>
    <row r="21" spans="1:20">
      <c r="A21" s="15" t="s">
        <v>443</v>
      </c>
      <c r="B21" s="17" t="n">
        <v>5741</v>
      </c>
      <c r="C21" s="18">
        <f>(4789.0/B21*100)</f>
        <v/>
      </c>
      <c r="D21" s="19" t="n">
        <v>952</v>
      </c>
      <c r="E21" s="18" t="n">
        <v>21.47575606</v>
      </c>
      <c r="F21" s="20" t="n">
        <v>1.35567782</v>
      </c>
      <c r="G21" s="18" t="n">
        <v>26.35829273</v>
      </c>
      <c r="H21" s="20" t="n">
        <v>1.42750559</v>
      </c>
      <c r="I21" s="18" t="n">
        <v>40.85524408</v>
      </c>
      <c r="J21" s="20" t="n">
        <v>1.62195341</v>
      </c>
      <c r="K21" s="18" t="n">
        <v>0</v>
      </c>
      <c r="L21" s="20" t="n">
        <v>0</v>
      </c>
      <c r="M21" s="18" t="n">
        <v>0.2398205</v>
      </c>
      <c r="N21" s="20" t="n">
        <v>0.15256238</v>
      </c>
      <c r="O21" s="18" t="n">
        <v>0.08037051000000001</v>
      </c>
      <c r="P21" s="20" t="n">
        <v>0.0802995</v>
      </c>
      <c r="Q21" s="18" t="n">
        <v>0</v>
      </c>
      <c r="R21" s="20" t="n">
        <v>0</v>
      </c>
      <c r="S21" s="18" t="n">
        <v>10.99051611</v>
      </c>
      <c r="T21" s="20" t="n">
        <v>0.92842733</v>
      </c>
    </row>
    <row r="22" spans="1:20">
      <c r="A22" s="15" t="s">
        <v>444</v>
      </c>
      <c r="B22" s="17" t="n">
        <v>6598</v>
      </c>
      <c r="C22" s="18">
        <f>(5782.0/B22*100)</f>
        <v/>
      </c>
      <c r="D22" s="19" t="n">
        <v>816</v>
      </c>
      <c r="E22" s="18" t="n">
        <v>48.81272157</v>
      </c>
      <c r="F22" s="20" t="n">
        <v>1.90248024</v>
      </c>
      <c r="G22" s="18" t="n">
        <v>14.25259646</v>
      </c>
      <c r="H22" s="20" t="n">
        <v>1.2483215</v>
      </c>
      <c r="I22" s="18" t="n">
        <v>34.43215436</v>
      </c>
      <c r="J22" s="20" t="n">
        <v>1.81909811</v>
      </c>
      <c r="K22" s="18" t="n">
        <v>0</v>
      </c>
      <c r="L22" s="20" t="n">
        <v>0</v>
      </c>
      <c r="M22" s="18" t="n">
        <v>0.31844848</v>
      </c>
      <c r="N22" s="20" t="n">
        <v>0.19473759</v>
      </c>
      <c r="O22" s="18" t="n">
        <v>0</v>
      </c>
      <c r="P22" s="20" t="n">
        <v>0</v>
      </c>
      <c r="Q22" s="18" t="n">
        <v>0</v>
      </c>
      <c r="R22" s="20" t="n">
        <v>0</v>
      </c>
      <c r="S22" s="18" t="n">
        <v>2.18407913</v>
      </c>
      <c r="T22" s="20" t="n">
        <v>0.49295349</v>
      </c>
    </row>
    <row r="23" spans="1:20">
      <c r="A23" s="15" t="s">
        <v>445</v>
      </c>
      <c r="B23" s="17" t="n">
        <v>11583</v>
      </c>
      <c r="C23" s="18">
        <f>(10160.0/B23*100)</f>
        <v/>
      </c>
      <c r="D23" s="19" t="n">
        <v>1423</v>
      </c>
      <c r="E23" s="18" t="n">
        <v>24.94044958</v>
      </c>
      <c r="F23" s="20" t="n">
        <v>1.47911513</v>
      </c>
      <c r="G23" s="18" t="n">
        <v>22.68658806</v>
      </c>
      <c r="H23" s="20" t="n">
        <v>1.7868569</v>
      </c>
      <c r="I23" s="18" t="n">
        <v>29.56128386</v>
      </c>
      <c r="J23" s="20" t="n">
        <v>1.63422775</v>
      </c>
      <c r="K23" s="18" t="n">
        <v>0</v>
      </c>
      <c r="L23" s="20" t="n">
        <v>0</v>
      </c>
      <c r="M23" s="18" t="n">
        <v>0.5075940799999999</v>
      </c>
      <c r="N23" s="20" t="n">
        <v>0.49910878</v>
      </c>
      <c r="O23" s="18" t="n">
        <v>1.61449323</v>
      </c>
      <c r="P23" s="20" t="n">
        <v>0.80178103</v>
      </c>
      <c r="Q23" s="18" t="n">
        <v>0</v>
      </c>
      <c r="R23" s="20" t="n">
        <v>0</v>
      </c>
      <c r="S23" s="18" t="n">
        <v>20.6895912</v>
      </c>
      <c r="T23" s="20" t="n">
        <v>1.80185374</v>
      </c>
    </row>
    <row r="24" spans="1:20">
      <c r="A24" s="15" t="s">
        <v>446</v>
      </c>
      <c r="B24" s="17" t="n">
        <v>6647</v>
      </c>
      <c r="C24" s="18">
        <f>(5830.0/B24*100)</f>
        <v/>
      </c>
      <c r="D24" s="19" t="n">
        <v>817</v>
      </c>
      <c r="E24" s="18" t="n">
        <v>21.66823284</v>
      </c>
      <c r="F24" s="20" t="n">
        <v>1.43752744</v>
      </c>
      <c r="G24" s="18" t="n">
        <v>3.87316319</v>
      </c>
      <c r="H24" s="20" t="n">
        <v>0.67602714</v>
      </c>
      <c r="I24" s="18" t="n">
        <v>59.27336336</v>
      </c>
      <c r="J24" s="20" t="n">
        <v>1.83726431</v>
      </c>
      <c r="K24" s="18" t="n">
        <v>0</v>
      </c>
      <c r="L24" s="20" t="n">
        <v>0</v>
      </c>
      <c r="M24" s="18" t="n">
        <v>0.38999916</v>
      </c>
      <c r="N24" s="20" t="n">
        <v>0.23337247</v>
      </c>
      <c r="O24" s="18" t="n">
        <v>0</v>
      </c>
      <c r="P24" s="20" t="n">
        <v>0</v>
      </c>
      <c r="Q24" s="18" t="n">
        <v>0</v>
      </c>
      <c r="R24" s="20" t="n">
        <v>0</v>
      </c>
      <c r="S24" s="18" t="n">
        <v>14.79524146</v>
      </c>
      <c r="T24" s="20" t="n">
        <v>1.25615685</v>
      </c>
    </row>
    <row r="25" spans="1:20">
      <c r="A25" s="15" t="s">
        <v>447</v>
      </c>
      <c r="B25" s="17" t="n">
        <v>5581</v>
      </c>
      <c r="C25" s="18">
        <f>(4896.0/B25*100)</f>
        <v/>
      </c>
      <c r="D25" s="19" t="n">
        <v>685</v>
      </c>
      <c r="E25" s="18" t="n">
        <v>30.50963421</v>
      </c>
      <c r="F25" s="20" t="n">
        <v>1.73171135</v>
      </c>
      <c r="G25" s="18" t="n">
        <v>6.06144181</v>
      </c>
      <c r="H25" s="20" t="n">
        <v>0.97036532</v>
      </c>
      <c r="I25" s="18" t="n">
        <v>49.59079936</v>
      </c>
      <c r="J25" s="20" t="n">
        <v>2.05875112</v>
      </c>
      <c r="K25" s="18" t="n">
        <v>0</v>
      </c>
      <c r="L25" s="20" t="n">
        <v>0</v>
      </c>
      <c r="M25" s="18" t="n">
        <v>0.26373287</v>
      </c>
      <c r="N25" s="20" t="n">
        <v>0.18668136</v>
      </c>
      <c r="O25" s="18" t="n">
        <v>0</v>
      </c>
      <c r="P25" s="20" t="n">
        <v>0</v>
      </c>
      <c r="Q25" s="18" t="n">
        <v>0</v>
      </c>
      <c r="R25" s="20" t="n">
        <v>0</v>
      </c>
      <c r="S25" s="18" t="n">
        <v>13.57439175</v>
      </c>
      <c r="T25" s="20" t="n">
        <v>1.36923207</v>
      </c>
    </row>
    <row r="26" spans="1:20">
      <c r="A26" s="15" t="s">
        <v>448</v>
      </c>
      <c r="B26" s="17" t="n">
        <v>4869</v>
      </c>
      <c r="C26" s="18">
        <f>(4281.0/B26*100)</f>
        <v/>
      </c>
      <c r="D26" s="19" t="n">
        <v>588</v>
      </c>
      <c r="E26" s="18" t="n">
        <v>51.54844528</v>
      </c>
      <c r="F26" s="20" t="n">
        <v>2.23740523</v>
      </c>
      <c r="G26" s="18" t="n">
        <v>21.57431845</v>
      </c>
      <c r="H26" s="20" t="n">
        <v>1.94079425</v>
      </c>
      <c r="I26" s="18" t="n">
        <v>23.91370799</v>
      </c>
      <c r="J26" s="20" t="n">
        <v>1.75656004</v>
      </c>
      <c r="K26" s="18" t="n">
        <v>0</v>
      </c>
      <c r="L26" s="20" t="n">
        <v>0</v>
      </c>
      <c r="M26" s="18" t="n">
        <v>0</v>
      </c>
      <c r="N26" s="20" t="n">
        <v>0</v>
      </c>
      <c r="O26" s="18" t="n">
        <v>0.62939931</v>
      </c>
      <c r="P26" s="20" t="n">
        <v>0.40411012</v>
      </c>
      <c r="Q26" s="18" t="n">
        <v>0</v>
      </c>
      <c r="R26" s="20" t="n">
        <v>0</v>
      </c>
      <c r="S26" s="18" t="n">
        <v>2.33412897</v>
      </c>
      <c r="T26" s="20" t="n">
        <v>0.74120324</v>
      </c>
    </row>
    <row r="27" spans="1:20">
      <c r="A27" s="15" t="s">
        <v>449</v>
      </c>
      <c r="B27" s="17" t="n">
        <v>5299</v>
      </c>
      <c r="C27" s="18">
        <f>(4653.0/B27*100)</f>
        <v/>
      </c>
      <c r="D27" s="19" t="n">
        <v>646</v>
      </c>
      <c r="E27" s="18" t="n">
        <v>37.45274376</v>
      </c>
      <c r="F27" s="20" t="n">
        <v>1.88079714</v>
      </c>
      <c r="G27" s="18" t="n">
        <v>9.95306504</v>
      </c>
      <c r="H27" s="20" t="n">
        <v>1.33849205</v>
      </c>
      <c r="I27" s="18" t="n">
        <v>28.77425562</v>
      </c>
      <c r="J27" s="20" t="n">
        <v>1.74044136</v>
      </c>
      <c r="K27" s="18" t="n">
        <v>0</v>
      </c>
      <c r="L27" s="20" t="n">
        <v>0</v>
      </c>
      <c r="M27" s="18" t="n">
        <v>0.80224885</v>
      </c>
      <c r="N27" s="20" t="n">
        <v>0.36185714</v>
      </c>
      <c r="O27" s="18" t="n">
        <v>0</v>
      </c>
      <c r="P27" s="20" t="n">
        <v>0</v>
      </c>
      <c r="Q27" s="18" t="n">
        <v>0</v>
      </c>
      <c r="R27" s="20" t="n">
        <v>0</v>
      </c>
      <c r="S27" s="18" t="n">
        <v>23.01768674</v>
      </c>
      <c r="T27" s="20" t="n">
        <v>1.59687669</v>
      </c>
    </row>
    <row r="28" spans="1:20">
      <c r="A28" s="15" t="s">
        <v>450</v>
      </c>
      <c r="B28" s="17" t="n">
        <v>7568</v>
      </c>
      <c r="C28" s="18">
        <f>(6676.0/B28*100)</f>
        <v/>
      </c>
      <c r="D28" s="19" t="n">
        <v>892</v>
      </c>
      <c r="E28" s="18" t="n">
        <v>49.42747376</v>
      </c>
      <c r="F28" s="20" t="n">
        <v>1.92243546</v>
      </c>
      <c r="G28" s="18" t="n">
        <v>22.09940743</v>
      </c>
      <c r="H28" s="20" t="n">
        <v>1.63340277</v>
      </c>
      <c r="I28" s="18" t="n">
        <v>17.64357857</v>
      </c>
      <c r="J28" s="20" t="n">
        <v>1.61706266</v>
      </c>
      <c r="K28" s="18" t="n">
        <v>0</v>
      </c>
      <c r="L28" s="20" t="n">
        <v>0</v>
      </c>
      <c r="M28" s="18" t="n">
        <v>0.11181442</v>
      </c>
      <c r="N28" s="20" t="n">
        <v>0.12161045</v>
      </c>
      <c r="O28" s="18" t="n">
        <v>0</v>
      </c>
      <c r="P28" s="20" t="n">
        <v>0</v>
      </c>
      <c r="Q28" s="18" t="n">
        <v>0</v>
      </c>
      <c r="R28" s="20" t="n">
        <v>0</v>
      </c>
      <c r="S28" s="18" t="n">
        <v>10.71772582</v>
      </c>
      <c r="T28" s="20" t="n">
        <v>1.1015364</v>
      </c>
    </row>
    <row r="29" spans="1:20">
      <c r="A29" s="15" t="s">
        <v>451</v>
      </c>
      <c r="B29" s="17" t="n">
        <v>5385</v>
      </c>
      <c r="C29" s="18">
        <f>(4742.0/B29*100)</f>
        <v/>
      </c>
      <c r="D29" s="19" t="n">
        <v>643</v>
      </c>
      <c r="E29" s="18" t="n">
        <v>41.39303257</v>
      </c>
      <c r="F29" s="20" t="n">
        <v>2.2767787</v>
      </c>
      <c r="G29" s="18" t="n">
        <v>23.68751995</v>
      </c>
      <c r="H29" s="20" t="n">
        <v>1.94758775</v>
      </c>
      <c r="I29" s="18" t="n">
        <v>33.27895253</v>
      </c>
      <c r="J29" s="20" t="n">
        <v>2.0094494</v>
      </c>
      <c r="K29" s="18" t="n">
        <v>0</v>
      </c>
      <c r="L29" s="20" t="n">
        <v>0</v>
      </c>
      <c r="M29" s="18" t="n">
        <v>0.28144293</v>
      </c>
      <c r="N29" s="20" t="n">
        <v>0.19043596</v>
      </c>
      <c r="O29" s="18" t="n">
        <v>0.1633203</v>
      </c>
      <c r="P29" s="20" t="n">
        <v>0.17057189</v>
      </c>
      <c r="Q29" s="18" t="n">
        <v>0</v>
      </c>
      <c r="R29" s="20" t="n">
        <v>0</v>
      </c>
      <c r="S29" s="18" t="n">
        <v>1.19573172</v>
      </c>
      <c r="T29" s="20" t="n">
        <v>0.47553822</v>
      </c>
    </row>
    <row r="30" spans="1:20">
      <c r="A30" s="15" t="s">
        <v>452</v>
      </c>
      <c r="B30" s="17" t="n">
        <v>4520</v>
      </c>
      <c r="C30" s="18">
        <f>(3943.0/B30*100)</f>
        <v/>
      </c>
      <c r="D30" s="19" t="n">
        <v>577</v>
      </c>
      <c r="E30" s="18" t="n">
        <v>21.64949421</v>
      </c>
      <c r="F30" s="20" t="n">
        <v>1.52451335</v>
      </c>
      <c r="G30" s="18" t="n">
        <v>22.46249969</v>
      </c>
      <c r="H30" s="20" t="n">
        <v>1.66330427</v>
      </c>
      <c r="I30" s="18" t="n">
        <v>35.83291344</v>
      </c>
      <c r="J30" s="20" t="n">
        <v>1.96522802</v>
      </c>
      <c r="K30" s="18" t="n">
        <v>0</v>
      </c>
      <c r="L30" s="20" t="n">
        <v>0</v>
      </c>
      <c r="M30" s="18" t="n">
        <v>0.54373092</v>
      </c>
      <c r="N30" s="20" t="n">
        <v>0.1830195</v>
      </c>
      <c r="O30" s="18" t="n">
        <v>0.25200486</v>
      </c>
      <c r="P30" s="20" t="n">
        <v>0.24710116</v>
      </c>
      <c r="Q30" s="18" t="n">
        <v>0</v>
      </c>
      <c r="R30" s="20" t="n">
        <v>0</v>
      </c>
      <c r="S30" s="18" t="n">
        <v>19.25935688</v>
      </c>
      <c r="T30" s="20" t="n">
        <v>1.73798396</v>
      </c>
    </row>
    <row r="31" spans="1:20">
      <c r="A31" s="15" t="s">
        <v>453</v>
      </c>
      <c r="B31" s="17" t="n">
        <v>5456</v>
      </c>
      <c r="C31" s="18">
        <f>(4793.0/B31*100)</f>
        <v/>
      </c>
      <c r="D31" s="19" t="n">
        <v>663</v>
      </c>
      <c r="E31" s="18" t="n">
        <v>24.50206252</v>
      </c>
      <c r="F31" s="20" t="n">
        <v>1.41537608</v>
      </c>
      <c r="G31" s="18" t="n">
        <v>8.07843555</v>
      </c>
      <c r="H31" s="20" t="n">
        <v>1.18355057</v>
      </c>
      <c r="I31" s="18" t="n">
        <v>47.84273034</v>
      </c>
      <c r="J31" s="20" t="n">
        <v>2.02473602</v>
      </c>
      <c r="K31" s="18" t="n">
        <v>0</v>
      </c>
      <c r="L31" s="20" t="n">
        <v>0</v>
      </c>
      <c r="M31" s="18" t="n">
        <v>0.41271592</v>
      </c>
      <c r="N31" s="20" t="n">
        <v>0.24402186</v>
      </c>
      <c r="O31" s="18" t="n">
        <v>0.15249852</v>
      </c>
      <c r="P31" s="20" t="n">
        <v>0.14474124</v>
      </c>
      <c r="Q31" s="18" t="n">
        <v>0</v>
      </c>
      <c r="R31" s="20" t="n">
        <v>0</v>
      </c>
      <c r="S31" s="18" t="n">
        <v>19.01155714</v>
      </c>
      <c r="T31" s="20" t="n">
        <v>1.59891675</v>
      </c>
    </row>
    <row r="32" spans="1:20">
      <c r="A32" s="15" t="s">
        <v>454</v>
      </c>
      <c r="B32" s="17" t="n">
        <v>4478</v>
      </c>
      <c r="C32" s="18">
        <f>(3765.0/B32*100)</f>
        <v/>
      </c>
      <c r="D32" s="19" t="n">
        <v>713</v>
      </c>
      <c r="E32" s="18" t="n">
        <v>26.0234901</v>
      </c>
      <c r="F32" s="20" t="n">
        <v>1.60613925</v>
      </c>
      <c r="G32" s="18" t="n">
        <v>19.02377165</v>
      </c>
      <c r="H32" s="20" t="n">
        <v>1.44664027</v>
      </c>
      <c r="I32" s="18" t="n">
        <v>39.50480111</v>
      </c>
      <c r="J32" s="20" t="n">
        <v>1.8321066</v>
      </c>
      <c r="K32" s="18" t="n">
        <v>0</v>
      </c>
      <c r="L32" s="20" t="n">
        <v>0</v>
      </c>
      <c r="M32" s="18" t="n">
        <v>0.13543101</v>
      </c>
      <c r="N32" s="20" t="n">
        <v>0.12753144</v>
      </c>
      <c r="O32" s="18" t="n">
        <v>0.13194664</v>
      </c>
      <c r="P32" s="20" t="n">
        <v>0.13136316</v>
      </c>
      <c r="Q32" s="18" t="n">
        <v>0</v>
      </c>
      <c r="R32" s="20" t="n">
        <v>0</v>
      </c>
      <c r="S32" s="18" t="n">
        <v>15.1805595</v>
      </c>
      <c r="T32" s="20" t="n">
        <v>1.52558076</v>
      </c>
    </row>
    <row r="33" spans="1:20">
      <c r="A33" s="15" t="s">
        <v>455</v>
      </c>
      <c r="B33" s="17" t="n">
        <v>7325</v>
      </c>
      <c r="C33" s="18">
        <f>(6408.0/B33*100)</f>
        <v/>
      </c>
      <c r="D33" s="19" t="n">
        <v>917</v>
      </c>
      <c r="E33" s="18" t="n">
        <v>29.99460866</v>
      </c>
      <c r="F33" s="20" t="n">
        <v>1.67532392</v>
      </c>
      <c r="G33" s="18" t="n">
        <v>13.49584186</v>
      </c>
      <c r="H33" s="20" t="n">
        <v>1.31473619</v>
      </c>
      <c r="I33" s="18" t="n">
        <v>36.38166367</v>
      </c>
      <c r="J33" s="20" t="n">
        <v>1.78717391</v>
      </c>
      <c r="K33" s="18" t="n">
        <v>0</v>
      </c>
      <c r="L33" s="20" t="n">
        <v>0</v>
      </c>
      <c r="M33" s="18" t="n">
        <v>0.1575998</v>
      </c>
      <c r="N33" s="20" t="n">
        <v>0.13773813</v>
      </c>
      <c r="O33" s="18" t="n">
        <v>0.12176193</v>
      </c>
      <c r="P33" s="20" t="n">
        <v>0.11741081</v>
      </c>
      <c r="Q33" s="18" t="n">
        <v>0</v>
      </c>
      <c r="R33" s="20" t="n">
        <v>0</v>
      </c>
      <c r="S33" s="18" t="n">
        <v>19.84852407</v>
      </c>
      <c r="T33" s="20" t="n">
        <v>1.54076603</v>
      </c>
    </row>
    <row r="34" spans="1:20">
      <c r="A34" s="15" t="s">
        <v>456</v>
      </c>
      <c r="B34" s="17" t="n">
        <v>6350</v>
      </c>
      <c r="C34" s="18">
        <f>(5578.0/B34*100)</f>
        <v/>
      </c>
      <c r="D34" s="19" t="n">
        <v>772</v>
      </c>
      <c r="E34" s="18" t="n">
        <v>39.57465364</v>
      </c>
      <c r="F34" s="20" t="n">
        <v>1.79185309</v>
      </c>
      <c r="G34" s="18" t="n">
        <v>11.5070851</v>
      </c>
      <c r="H34" s="20" t="n">
        <v>1.20483355</v>
      </c>
      <c r="I34" s="18" t="n">
        <v>20.61928238</v>
      </c>
      <c r="J34" s="20" t="n">
        <v>1.48597837</v>
      </c>
      <c r="K34" s="18" t="n">
        <v>0</v>
      </c>
      <c r="L34" s="20" t="n">
        <v>0</v>
      </c>
      <c r="M34" s="18" t="n">
        <v>0.09931919</v>
      </c>
      <c r="N34" s="20" t="n">
        <v>0.09934874</v>
      </c>
      <c r="O34" s="18" t="n">
        <v>0</v>
      </c>
      <c r="P34" s="20" t="n">
        <v>0</v>
      </c>
      <c r="Q34" s="18" t="n">
        <v>0</v>
      </c>
      <c r="R34" s="20" t="n">
        <v>0</v>
      </c>
      <c r="S34" s="18" t="n">
        <v>28.19965968</v>
      </c>
      <c r="T34" s="20" t="n">
        <v>1.61507108</v>
      </c>
    </row>
    <row r="35" spans="1:20">
      <c r="A35" s="15" t="s">
        <v>457</v>
      </c>
      <c r="B35" s="17" t="n">
        <v>6406</v>
      </c>
      <c r="C35" s="18">
        <f>(5645.0/B35*100)</f>
        <v/>
      </c>
      <c r="D35" s="19" t="n">
        <v>761</v>
      </c>
      <c r="E35" s="18" t="n">
        <v>47.84041694</v>
      </c>
      <c r="F35" s="20" t="n">
        <v>2.30965245</v>
      </c>
      <c r="G35" s="18" t="n">
        <v>13.23364292</v>
      </c>
      <c r="H35" s="20" t="n">
        <v>1.55315404</v>
      </c>
      <c r="I35" s="18" t="n">
        <v>38.10056738</v>
      </c>
      <c r="J35" s="20" t="n">
        <v>2.17475594</v>
      </c>
      <c r="K35" s="18" t="n">
        <v>0</v>
      </c>
      <c r="L35" s="20" t="n">
        <v>0</v>
      </c>
      <c r="M35" s="18" t="n">
        <v>0.07160307</v>
      </c>
      <c r="N35" s="20" t="n">
        <v>0.07145116</v>
      </c>
      <c r="O35" s="18" t="n">
        <v>0</v>
      </c>
      <c r="P35" s="20" t="n">
        <v>0</v>
      </c>
      <c r="Q35" s="18" t="n">
        <v>0</v>
      </c>
      <c r="R35" s="20" t="n">
        <v>0</v>
      </c>
      <c r="S35" s="18" t="n">
        <v>0.75376969</v>
      </c>
      <c r="T35" s="20" t="n">
        <v>0.2918068</v>
      </c>
    </row>
    <row r="36" spans="1:20">
      <c r="A36" s="15" t="s">
        <v>458</v>
      </c>
      <c r="B36" s="17" t="n">
        <v>6736</v>
      </c>
      <c r="C36" s="18">
        <f>(5898.0/B36*100)</f>
        <v/>
      </c>
      <c r="D36" s="19" t="n">
        <v>838</v>
      </c>
      <c r="E36" s="18" t="n">
        <v>26.49182137</v>
      </c>
      <c r="F36" s="20" t="n">
        <v>1.64827311</v>
      </c>
      <c r="G36" s="18" t="n">
        <v>31.61673679</v>
      </c>
      <c r="H36" s="20" t="n">
        <v>1.6522196</v>
      </c>
      <c r="I36" s="18" t="n">
        <v>37.74275811</v>
      </c>
      <c r="J36" s="20" t="n">
        <v>1.7476297</v>
      </c>
      <c r="K36" s="18" t="n">
        <v>0</v>
      </c>
      <c r="L36" s="20" t="n">
        <v>0</v>
      </c>
      <c r="M36" s="18" t="n">
        <v>0</v>
      </c>
      <c r="N36" s="20" t="n">
        <v>0</v>
      </c>
      <c r="O36" s="18" t="n">
        <v>0.36394905</v>
      </c>
      <c r="P36" s="20" t="n">
        <v>0.26836032</v>
      </c>
      <c r="Q36" s="18" t="n">
        <v>0</v>
      </c>
      <c r="R36" s="20" t="n">
        <v>0</v>
      </c>
      <c r="S36" s="18" t="n">
        <v>3.78473467</v>
      </c>
      <c r="T36" s="20" t="n">
        <v>0.72387576</v>
      </c>
    </row>
    <row r="37" spans="1:20">
      <c r="A37" s="15" t="s">
        <v>459</v>
      </c>
      <c r="B37" s="17" t="n">
        <v>5458</v>
      </c>
      <c r="C37" s="18">
        <f>(4768.0/B37*100)</f>
        <v/>
      </c>
      <c r="D37" s="19" t="n">
        <v>690</v>
      </c>
      <c r="E37" s="18" t="n">
        <v>48.04987878</v>
      </c>
      <c r="F37" s="20" t="n">
        <v>1.73628839</v>
      </c>
      <c r="G37" s="18" t="n">
        <v>15.8654992</v>
      </c>
      <c r="H37" s="20" t="n">
        <v>1.48768495</v>
      </c>
      <c r="I37" s="18" t="n">
        <v>32.25437939</v>
      </c>
      <c r="J37" s="20" t="n">
        <v>1.80986085</v>
      </c>
      <c r="K37" s="18" t="n">
        <v>0</v>
      </c>
      <c r="L37" s="20" t="n">
        <v>0</v>
      </c>
      <c r="M37" s="18" t="n">
        <v>0.99110813</v>
      </c>
      <c r="N37" s="20" t="n">
        <v>0.37952241</v>
      </c>
      <c r="O37" s="18" t="n">
        <v>0</v>
      </c>
      <c r="P37" s="20" t="n">
        <v>0</v>
      </c>
      <c r="Q37" s="18" t="n">
        <v>0</v>
      </c>
      <c r="R37" s="20" t="n">
        <v>0</v>
      </c>
      <c r="S37" s="18" t="n">
        <v>2.83913451</v>
      </c>
      <c r="T37" s="20" t="n">
        <v>0.63181487</v>
      </c>
    </row>
    <row r="38" spans="1:20">
      <c r="A38" s="15" t="s">
        <v>460</v>
      </c>
      <c r="B38" s="17" t="n">
        <v>5860</v>
      </c>
      <c r="C38" s="18">
        <f>(4942.0/B38*100)</f>
        <v/>
      </c>
      <c r="D38" s="19" t="n">
        <v>918</v>
      </c>
      <c r="E38" s="18" t="n">
        <v>42.95616052</v>
      </c>
      <c r="F38" s="20" t="n">
        <v>2.25049301</v>
      </c>
      <c r="G38" s="18" t="n">
        <v>12.09008428</v>
      </c>
      <c r="H38" s="20" t="n">
        <v>1.37726969</v>
      </c>
      <c r="I38" s="18" t="n">
        <v>29.43152772</v>
      </c>
      <c r="J38" s="20" t="n">
        <v>1.6741116</v>
      </c>
      <c r="K38" s="18" t="n">
        <v>0</v>
      </c>
      <c r="L38" s="20" t="n">
        <v>0</v>
      </c>
      <c r="M38" s="18" t="n">
        <v>0.19687862</v>
      </c>
      <c r="N38" s="20" t="n">
        <v>0.10715774</v>
      </c>
      <c r="O38" s="18" t="n">
        <v>0.21287145</v>
      </c>
      <c r="P38" s="20" t="n">
        <v>0.21146788</v>
      </c>
      <c r="Q38" s="18" t="n">
        <v>0</v>
      </c>
      <c r="R38" s="20" t="n">
        <v>0</v>
      </c>
      <c r="S38" s="18" t="n">
        <v>15.11247741</v>
      </c>
      <c r="T38" s="20" t="n">
        <v>1.2986955</v>
      </c>
    </row>
    <row r="39" spans="1:20">
      <c r="A39" s="15" t="s">
        <v>461</v>
      </c>
      <c r="B39" s="17" t="n">
        <v>5895</v>
      </c>
      <c r="C39" s="18">
        <f>(5178.0/B39*100)</f>
        <v/>
      </c>
      <c r="D39" s="19" t="n">
        <v>717</v>
      </c>
      <c r="E39" s="18" t="n">
        <v>35.09864552</v>
      </c>
      <c r="F39" s="20" t="n">
        <v>1.76931223</v>
      </c>
      <c r="G39" s="18" t="n">
        <v>19.62782909</v>
      </c>
      <c r="H39" s="20" t="n">
        <v>1.72240847</v>
      </c>
      <c r="I39" s="18" t="n">
        <v>18.75121021</v>
      </c>
      <c r="J39" s="20" t="n">
        <v>2.09824852</v>
      </c>
      <c r="K39" s="18" t="n">
        <v>0</v>
      </c>
      <c r="L39" s="20" t="n">
        <v>0</v>
      </c>
      <c r="M39" s="18" t="n">
        <v>0.60047298</v>
      </c>
      <c r="N39" s="20" t="n">
        <v>0.35586068</v>
      </c>
      <c r="O39" s="18" t="n">
        <v>0.1215447</v>
      </c>
      <c r="P39" s="20" t="n">
        <v>0.12530486</v>
      </c>
      <c r="Q39" s="18" t="n">
        <v>0</v>
      </c>
      <c r="R39" s="20" t="n">
        <v>0</v>
      </c>
      <c r="S39" s="18" t="n">
        <v>25.8002975</v>
      </c>
      <c r="T39" s="20" t="n">
        <v>1.90161705</v>
      </c>
    </row>
    <row r="40" spans="1:20">
      <c r="A40" s="15" t="s">
        <v>462</v>
      </c>
      <c r="B40" s="17" t="n">
        <v>14157</v>
      </c>
      <c r="C40" s="18">
        <f>(12457.0/B40*100)</f>
        <v/>
      </c>
      <c r="D40" s="19" t="n">
        <v>1700</v>
      </c>
      <c r="E40" s="18" t="n">
        <v>31.28850918</v>
      </c>
      <c r="F40" s="20" t="n">
        <v>1.70632214</v>
      </c>
      <c r="G40" s="18" t="n">
        <v>22.13764891</v>
      </c>
      <c r="H40" s="20" t="n">
        <v>1.84483883</v>
      </c>
      <c r="I40" s="18" t="n">
        <v>27.98669458</v>
      </c>
      <c r="J40" s="20" t="n">
        <v>1.51942947</v>
      </c>
      <c r="K40" s="18" t="n">
        <v>0</v>
      </c>
      <c r="L40" s="20" t="n">
        <v>0</v>
      </c>
      <c r="M40" s="18" t="n">
        <v>0.16354857</v>
      </c>
      <c r="N40" s="20" t="n">
        <v>0.05989644</v>
      </c>
      <c r="O40" s="18" t="n">
        <v>0.30321555</v>
      </c>
      <c r="P40" s="20" t="n">
        <v>0.21862697</v>
      </c>
      <c r="Q40" s="18" t="n">
        <v>0</v>
      </c>
      <c r="R40" s="20" t="n">
        <v>0</v>
      </c>
      <c r="S40" s="18" t="n">
        <v>18.12038321</v>
      </c>
      <c r="T40" s="20" t="n">
        <v>1.28515168</v>
      </c>
    </row>
    <row r="41" spans="1:20">
      <c r="A41" s="15" t="s">
        <v>463</v>
      </c>
      <c r="B41" s="17" t="n">
        <v>5712</v>
      </c>
      <c r="C41" s="18">
        <f>(5042.0/B41*100)</f>
        <v/>
      </c>
      <c r="D41" s="19" t="n">
        <v>670</v>
      </c>
      <c r="E41" s="18" t="n">
        <v>41.76371728</v>
      </c>
      <c r="F41" s="20" t="n">
        <v>2.03088866</v>
      </c>
      <c r="G41" s="18" t="n">
        <v>24.85162304</v>
      </c>
      <c r="H41" s="20" t="n">
        <v>1.6731068</v>
      </c>
      <c r="I41" s="18" t="n">
        <v>32.12969864</v>
      </c>
      <c r="J41" s="20" t="n">
        <v>1.99112178</v>
      </c>
      <c r="K41" s="18" t="n">
        <v>0</v>
      </c>
      <c r="L41" s="20" t="n">
        <v>0</v>
      </c>
      <c r="M41" s="18" t="n">
        <v>0.12337535</v>
      </c>
      <c r="N41" s="20" t="n">
        <v>0.13136728</v>
      </c>
      <c r="O41" s="18" t="n">
        <v>0</v>
      </c>
      <c r="P41" s="20" t="n">
        <v>0</v>
      </c>
      <c r="Q41" s="18" t="n">
        <v>0</v>
      </c>
      <c r="R41" s="20" t="n">
        <v>0</v>
      </c>
      <c r="S41" s="18" t="n">
        <v>1.1315857</v>
      </c>
      <c r="T41" s="20" t="n">
        <v>0.33103545</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(20697.0/B46*100)</f>
        <v/>
      </c>
      <c r="D46" s="19" t="n">
        <v>2444</v>
      </c>
      <c r="E46" s="18" t="n">
        <v>37.41388701</v>
      </c>
      <c r="F46" s="20" t="n">
        <v>1.18518583</v>
      </c>
      <c r="G46" s="18" t="n">
        <v>23.57366593</v>
      </c>
      <c r="H46" s="20" t="n">
        <v>1.18948079</v>
      </c>
      <c r="I46" s="18" t="n">
        <v>12.26688829</v>
      </c>
      <c r="J46" s="20" t="n">
        <v>0.89212194</v>
      </c>
      <c r="K46" s="18" t="n">
        <v>0</v>
      </c>
      <c r="L46" s="20" t="n">
        <v>0</v>
      </c>
      <c r="M46" s="18" t="n">
        <v>1.07032262</v>
      </c>
      <c r="N46" s="20" t="n">
        <v>0.20750695</v>
      </c>
      <c r="O46" s="18" t="n">
        <v>0.53427843</v>
      </c>
      <c r="P46" s="20" t="n">
        <v>0.1819676</v>
      </c>
      <c r="Q46" s="18" t="n">
        <v>0</v>
      </c>
      <c r="R46" s="20" t="n">
        <v>0</v>
      </c>
      <c r="S46" s="18" t="n">
        <v>25.14095774</v>
      </c>
      <c r="T46" s="20" t="n">
        <v>1.24671741</v>
      </c>
    </row>
    <row r="47" spans="1:20">
      <c r="A47" s="15" t="s">
        <v>470</v>
      </c>
      <c r="B47" s="17" t="n">
        <v>5928</v>
      </c>
      <c r="C47" s="18">
        <f>(5206.0/B47*100)</f>
        <v/>
      </c>
      <c r="D47" s="19" t="n">
        <v>722</v>
      </c>
      <c r="E47" s="18" t="n">
        <v>61.68597941</v>
      </c>
      <c r="F47" s="20" t="n">
        <v>1.64698017</v>
      </c>
      <c r="G47" s="18" t="n">
        <v>13.1241684</v>
      </c>
      <c r="H47" s="20" t="n">
        <v>1.32181269</v>
      </c>
      <c r="I47" s="18" t="n">
        <v>14.34467668</v>
      </c>
      <c r="J47" s="20" t="n">
        <v>1.44321434</v>
      </c>
      <c r="K47" s="18" t="n">
        <v>0</v>
      </c>
      <c r="L47" s="20" t="n">
        <v>0</v>
      </c>
      <c r="M47" s="18" t="n">
        <v>0.70642696</v>
      </c>
      <c r="N47" s="20" t="n">
        <v>0.38003651</v>
      </c>
      <c r="O47" s="18" t="n">
        <v>0</v>
      </c>
      <c r="P47" s="20" t="n">
        <v>0</v>
      </c>
      <c r="Q47" s="18" t="n">
        <v>0</v>
      </c>
      <c r="R47" s="20" t="n">
        <v>0</v>
      </c>
      <c r="S47" s="18" t="n">
        <v>10.13874856</v>
      </c>
      <c r="T47" s="20" t="n">
        <v>1.0348683</v>
      </c>
    </row>
    <row r="48" spans="1:20">
      <c r="A48" s="15" t="s">
        <v>471</v>
      </c>
      <c r="B48" s="17" t="n">
        <v>9841</v>
      </c>
      <c r="C48" s="18">
        <f>(8618.0/B48*100)</f>
        <v/>
      </c>
      <c r="D48" s="19" t="n">
        <v>1223</v>
      </c>
      <c r="E48" s="18" t="n">
        <v>51.0938402</v>
      </c>
      <c r="F48" s="20" t="n">
        <v>1.87523363</v>
      </c>
      <c r="G48" s="18" t="n">
        <v>12.1640468</v>
      </c>
      <c r="H48" s="20" t="n">
        <v>1.04280015</v>
      </c>
      <c r="I48" s="18" t="n">
        <v>23.61831381</v>
      </c>
      <c r="J48" s="20" t="n">
        <v>1.52261683</v>
      </c>
      <c r="K48" s="18" t="n">
        <v>0</v>
      </c>
      <c r="L48" s="20" t="n">
        <v>0</v>
      </c>
      <c r="M48" s="18" t="n">
        <v>0.34752613</v>
      </c>
      <c r="N48" s="20" t="n">
        <v>0.19004149</v>
      </c>
      <c r="O48" s="18" t="n">
        <v>0.00455686</v>
      </c>
      <c r="P48" s="20" t="n">
        <v>0.0045671</v>
      </c>
      <c r="Q48" s="18" t="n">
        <v>0</v>
      </c>
      <c r="R48" s="20" t="n">
        <v>0</v>
      </c>
      <c r="S48" s="18" t="n">
        <v>12.77171621</v>
      </c>
      <c r="T48" s="20" t="n">
        <v>1.30766625</v>
      </c>
    </row>
    <row r="49" spans="1:20">
      <c r="A49" s="15" t="s">
        <v>472</v>
      </c>
      <c r="B49" s="17" t="n">
        <v>11795</v>
      </c>
      <c r="C49" s="18">
        <f>(10340.0/B49*100)</f>
        <v/>
      </c>
      <c r="D49" s="19" t="n">
        <v>1455</v>
      </c>
      <c r="E49" s="18" t="n">
        <v>51.83038666</v>
      </c>
      <c r="F49" s="20" t="n">
        <v>1.82377292</v>
      </c>
      <c r="G49" s="18" t="n">
        <v>21.26468998</v>
      </c>
      <c r="H49" s="20" t="n">
        <v>1.32053549</v>
      </c>
      <c r="I49" s="18" t="n">
        <v>14.95264516</v>
      </c>
      <c r="J49" s="20" t="n">
        <v>1.48137957</v>
      </c>
      <c r="K49" s="18" t="n">
        <v>0</v>
      </c>
      <c r="L49" s="20" t="n">
        <v>0</v>
      </c>
      <c r="M49" s="18" t="n">
        <v>0.95369713</v>
      </c>
      <c r="N49" s="20" t="n">
        <v>0.41071055</v>
      </c>
      <c r="O49" s="18" t="n">
        <v>0.07649134</v>
      </c>
      <c r="P49" s="20" t="n">
        <v>0.05919582</v>
      </c>
      <c r="Q49" s="18" t="n">
        <v>0</v>
      </c>
      <c r="R49" s="20" t="n">
        <v>0</v>
      </c>
      <c r="S49" s="18" t="n">
        <v>10.92208973</v>
      </c>
      <c r="T49" s="20" t="n">
        <v>1.1631921</v>
      </c>
    </row>
    <row r="50" spans="1:20">
      <c r="A50" s="15" t="s">
        <v>473</v>
      </c>
      <c r="B50" s="17" t="n">
        <v>6866</v>
      </c>
      <c r="C50" s="18">
        <f>(6123.0/B50*100)</f>
        <v/>
      </c>
      <c r="D50" s="19" t="n">
        <v>743</v>
      </c>
      <c r="E50" s="18" t="n">
        <v>20.41528622</v>
      </c>
      <c r="F50" s="20" t="n">
        <v>1.55526948</v>
      </c>
      <c r="G50" s="18" t="n">
        <v>38.74018472</v>
      </c>
      <c r="H50" s="20" t="n">
        <v>2.04125136</v>
      </c>
      <c r="I50" s="18" t="n">
        <v>27.17526001</v>
      </c>
      <c r="J50" s="20" t="n">
        <v>1.80545868</v>
      </c>
      <c r="K50" s="18" t="n">
        <v>0</v>
      </c>
      <c r="L50" s="20" t="n">
        <v>0</v>
      </c>
      <c r="M50" s="18" t="n">
        <v>0.90005487</v>
      </c>
      <c r="N50" s="20" t="n">
        <v>0.46988886</v>
      </c>
      <c r="O50" s="18" t="n">
        <v>0</v>
      </c>
      <c r="P50" s="20" t="n">
        <v>0</v>
      </c>
      <c r="Q50" s="18" t="n">
        <v>0</v>
      </c>
      <c r="R50" s="20" t="n">
        <v>0</v>
      </c>
      <c r="S50" s="18" t="n">
        <v>12.76921417</v>
      </c>
      <c r="T50" s="20" t="n">
        <v>1.32065373</v>
      </c>
    </row>
    <row r="51" spans="1:20">
      <c r="A51" s="15" t="s">
        <v>474</v>
      </c>
      <c r="B51" s="17" t="n">
        <v>5809</v>
      </c>
      <c r="C51" s="18">
        <f>(5089.0/B51*100)</f>
        <v/>
      </c>
      <c r="D51" s="19" t="n">
        <v>720</v>
      </c>
      <c r="E51" s="18" t="n">
        <v>59.26260678</v>
      </c>
      <c r="F51" s="20" t="n">
        <v>1.94112343</v>
      </c>
      <c r="G51" s="18" t="n">
        <v>12.69565824</v>
      </c>
      <c r="H51" s="20" t="n">
        <v>1.10550919</v>
      </c>
      <c r="I51" s="18" t="n">
        <v>26.85403215</v>
      </c>
      <c r="J51" s="20" t="n">
        <v>1.6596232</v>
      </c>
      <c r="K51" s="18" t="n">
        <v>0</v>
      </c>
      <c r="L51" s="20" t="n">
        <v>0</v>
      </c>
      <c r="M51" s="18" t="n">
        <v>0.31220863</v>
      </c>
      <c r="N51" s="20" t="n">
        <v>0.22906503</v>
      </c>
      <c r="O51" s="18" t="n">
        <v>0</v>
      </c>
      <c r="P51" s="20" t="n">
        <v>0</v>
      </c>
      <c r="Q51" s="18" t="n">
        <v>0</v>
      </c>
      <c r="R51" s="20" t="n">
        <v>0</v>
      </c>
      <c r="S51" s="18" t="n">
        <v>0.8754942</v>
      </c>
      <c r="T51" s="20" t="n">
        <v>0.33146303</v>
      </c>
    </row>
    <row r="52" spans="1:20">
      <c r="A52" s="15" t="s">
        <v>475</v>
      </c>
      <c r="B52" s="17" t="n">
        <v>5571</v>
      </c>
      <c r="C52" s="18">
        <f>(4894.0/B52*100)</f>
        <v/>
      </c>
      <c r="D52" s="19" t="n">
        <v>677</v>
      </c>
      <c r="E52" s="18" t="n">
        <v>60.81685709</v>
      </c>
      <c r="F52" s="20" t="n">
        <v>1.90538226</v>
      </c>
      <c r="G52" s="18" t="n">
        <v>11.13146666</v>
      </c>
      <c r="H52" s="20" t="n">
        <v>1.26376359</v>
      </c>
      <c r="I52" s="18" t="n">
        <v>25.61027378</v>
      </c>
      <c r="J52" s="20" t="n">
        <v>1.7035675</v>
      </c>
      <c r="K52" s="18" t="n">
        <v>0</v>
      </c>
      <c r="L52" s="20" t="n">
        <v>0</v>
      </c>
      <c r="M52" s="18" t="n">
        <v>0.45790923</v>
      </c>
      <c r="N52" s="20" t="n">
        <v>0.27017961</v>
      </c>
      <c r="O52" s="18" t="n">
        <v>0</v>
      </c>
      <c r="P52" s="20" t="n">
        <v>0</v>
      </c>
      <c r="Q52" s="18" t="n">
        <v>0</v>
      </c>
      <c r="R52" s="20" t="n">
        <v>0</v>
      </c>
      <c r="S52" s="18" t="n">
        <v>1.98349325</v>
      </c>
      <c r="T52" s="20" t="n">
        <v>0.63996103</v>
      </c>
    </row>
    <row r="53" spans="1:20">
      <c r="A53" s="15" t="s">
        <v>476</v>
      </c>
      <c r="B53" s="17" t="n">
        <v>4740</v>
      </c>
      <c r="C53" s="18">
        <f>(3975.0/B53*100)</f>
        <v/>
      </c>
      <c r="D53" s="19" t="n">
        <v>765</v>
      </c>
      <c r="E53" s="18" t="n">
        <v>45.08816776</v>
      </c>
      <c r="F53" s="20" t="n">
        <v>2.03568209</v>
      </c>
      <c r="G53" s="18" t="n">
        <v>33.39404367</v>
      </c>
      <c r="H53" s="20" t="n">
        <v>1.77368972</v>
      </c>
      <c r="I53" s="18" t="n">
        <v>9.57376374</v>
      </c>
      <c r="J53" s="20" t="n">
        <v>1.25149996</v>
      </c>
      <c r="K53" s="18" t="n">
        <v>0</v>
      </c>
      <c r="L53" s="20" t="n">
        <v>0</v>
      </c>
      <c r="M53" s="18" t="n">
        <v>7.2166373</v>
      </c>
      <c r="N53" s="20" t="n">
        <v>1.09716737</v>
      </c>
      <c r="O53" s="18" t="n">
        <v>0.5305598</v>
      </c>
      <c r="P53" s="20" t="n">
        <v>0.41262785</v>
      </c>
      <c r="Q53" s="18" t="n">
        <v>0</v>
      </c>
      <c r="R53" s="20" t="n">
        <v>0</v>
      </c>
      <c r="S53" s="18" t="n">
        <v>4.19682773</v>
      </c>
      <c r="T53" s="20" t="n">
        <v>0.70277525</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(4699.0/B55*100)</f>
        <v/>
      </c>
      <c r="D55" s="19" t="n">
        <v>660</v>
      </c>
      <c r="E55" s="18" t="n">
        <v>40.80399785</v>
      </c>
      <c r="F55" s="20" t="n">
        <v>1.78226003</v>
      </c>
      <c r="G55" s="18" t="n">
        <v>18.56988683</v>
      </c>
      <c r="H55" s="20" t="n">
        <v>1.71578783</v>
      </c>
      <c r="I55" s="18" t="n">
        <v>37.8913955</v>
      </c>
      <c r="J55" s="20" t="n">
        <v>1.94297406</v>
      </c>
      <c r="K55" s="18" t="n">
        <v>0</v>
      </c>
      <c r="L55" s="20" t="n">
        <v>0</v>
      </c>
      <c r="M55" s="18" t="n">
        <v>0.39370346</v>
      </c>
      <c r="N55" s="20" t="n">
        <v>0.27522771</v>
      </c>
      <c r="O55" s="18" t="n">
        <v>0</v>
      </c>
      <c r="P55" s="20" t="n">
        <v>0</v>
      </c>
      <c r="Q55" s="18" t="n">
        <v>0</v>
      </c>
      <c r="R55" s="20" t="n">
        <v>0</v>
      </c>
      <c r="S55" s="18" t="n">
        <v>2.34101636</v>
      </c>
      <c r="T55" s="20" t="n">
        <v>0.54357395</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(5707.0/B61*100)</f>
        <v/>
      </c>
      <c r="D61" s="19" t="n">
        <v>818</v>
      </c>
      <c r="E61" s="18" t="n">
        <v>39.09272197</v>
      </c>
      <c r="F61" s="20" t="n">
        <v>1.92326027</v>
      </c>
      <c r="G61" s="18" t="n">
        <v>13.55546219</v>
      </c>
      <c r="H61" s="20" t="n">
        <v>1.29874551</v>
      </c>
      <c r="I61" s="18" t="n">
        <v>26.74953227</v>
      </c>
      <c r="J61" s="20" t="n">
        <v>1.84257622</v>
      </c>
      <c r="K61" s="18" t="n">
        <v>0</v>
      </c>
      <c r="L61" s="20" t="n">
        <v>0</v>
      </c>
      <c r="M61" s="18" t="n">
        <v>0.58388394</v>
      </c>
      <c r="N61" s="20" t="n">
        <v>0.27827481</v>
      </c>
      <c r="O61" s="18" t="n">
        <v>0</v>
      </c>
      <c r="P61" s="20" t="n">
        <v>0</v>
      </c>
      <c r="Q61" s="18" t="n">
        <v>0</v>
      </c>
      <c r="R61" s="20" t="n">
        <v>0</v>
      </c>
      <c r="S61" s="18" t="n">
        <v>20.01839963</v>
      </c>
      <c r="T61" s="20" t="n">
        <v>1.42926932</v>
      </c>
    </row>
    <row r="62" spans="1:20">
      <c r="A62" s="15" t="s">
        <v>486</v>
      </c>
      <c r="B62" s="17" t="n">
        <v>4476</v>
      </c>
      <c r="C62" s="18">
        <f>(3940.0/B62*100)</f>
        <v/>
      </c>
      <c r="D62" s="19" t="n">
        <v>536</v>
      </c>
      <c r="E62" s="18" t="n">
        <v>47.41458541</v>
      </c>
      <c r="F62" s="20" t="n">
        <v>2.08482065</v>
      </c>
      <c r="G62" s="18" t="n">
        <v>20.12497421</v>
      </c>
      <c r="H62" s="20" t="n">
        <v>1.71991885</v>
      </c>
      <c r="I62" s="18" t="n">
        <v>28.88096811</v>
      </c>
      <c r="J62" s="20" t="n">
        <v>1.94365847</v>
      </c>
      <c r="K62" s="18" t="n">
        <v>0</v>
      </c>
      <c r="L62" s="20" t="n">
        <v>0</v>
      </c>
      <c r="M62" s="18" t="n">
        <v>0.18530071</v>
      </c>
      <c r="N62" s="20" t="n">
        <v>0.18685566</v>
      </c>
      <c r="O62" s="18" t="n">
        <v>0.18530071</v>
      </c>
      <c r="P62" s="20" t="n">
        <v>0.18666307</v>
      </c>
      <c r="Q62" s="18" t="n">
        <v>0</v>
      </c>
      <c r="R62" s="20" t="n">
        <v>0</v>
      </c>
      <c r="S62" s="18" t="n">
        <v>3.20887086</v>
      </c>
      <c r="T62" s="20" t="n">
        <v>0.80470605</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(4987.0/B67*100)</f>
        <v/>
      </c>
      <c r="D67" s="19" t="n">
        <v>678</v>
      </c>
      <c r="E67" s="18" t="n">
        <v>21.12131011</v>
      </c>
      <c r="F67" s="20" t="n">
        <v>1.42958307</v>
      </c>
      <c r="G67" s="18" t="n">
        <v>11.06831203</v>
      </c>
      <c r="H67" s="20" t="n">
        <v>1.36838353</v>
      </c>
      <c r="I67" s="18" t="n">
        <v>18.7758048</v>
      </c>
      <c r="J67" s="20" t="n">
        <v>1.69573401</v>
      </c>
      <c r="K67" s="18" t="n">
        <v>0</v>
      </c>
      <c r="L67" s="20" t="n">
        <v>0</v>
      </c>
      <c r="M67" s="18" t="n">
        <v>0.82948657</v>
      </c>
      <c r="N67" s="20" t="n">
        <v>0.34071337</v>
      </c>
      <c r="O67" s="18" t="n">
        <v>0.41731277</v>
      </c>
      <c r="P67" s="20" t="n">
        <v>0.2368505</v>
      </c>
      <c r="Q67" s="18" t="n">
        <v>0</v>
      </c>
      <c r="R67" s="20" t="n">
        <v>0</v>
      </c>
      <c r="S67" s="18" t="n">
        <v>47.78777371</v>
      </c>
      <c r="T67" s="20" t="n">
        <v>1.74392001</v>
      </c>
    </row>
    <row r="68" spans="1:20">
      <c r="A68" s="15" t="s">
        <v>492</v>
      </c>
      <c r="B68" s="17" t="n">
        <v>6971</v>
      </c>
      <c r="C68" s="18">
        <f>(6187.0/B68*100)</f>
        <v/>
      </c>
      <c r="D68" s="19" t="n">
        <v>784</v>
      </c>
      <c r="E68" s="18" t="n">
        <v>79.71532884</v>
      </c>
      <c r="F68" s="20" t="n">
        <v>1.47057171</v>
      </c>
      <c r="G68" s="18" t="n">
        <v>11.89102719</v>
      </c>
      <c r="H68" s="20" t="n">
        <v>1.09927766</v>
      </c>
      <c r="I68" s="18" t="n">
        <v>6.13791391</v>
      </c>
      <c r="J68" s="20" t="n">
        <v>1.00988801</v>
      </c>
      <c r="K68" s="18" t="n">
        <v>0</v>
      </c>
      <c r="L68" s="20" t="n">
        <v>0</v>
      </c>
      <c r="M68" s="18" t="n">
        <v>0.20595951</v>
      </c>
      <c r="N68" s="20" t="n">
        <v>0.14889222</v>
      </c>
      <c r="O68" s="18" t="n">
        <v>0.26621894</v>
      </c>
      <c r="P68" s="20" t="n">
        <v>0.18865979</v>
      </c>
      <c r="Q68" s="18" t="n">
        <v>0</v>
      </c>
      <c r="R68" s="20" t="n">
        <v>0</v>
      </c>
      <c r="S68" s="18" t="n">
        <v>1.78355161</v>
      </c>
      <c r="T68" s="20" t="n">
        <v>0.48465578</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(10069.0/B70*100)</f>
        <v/>
      </c>
      <c r="D70" s="19" t="n">
        <v>2014</v>
      </c>
      <c r="E70" s="18" t="n">
        <v>73.77649753</v>
      </c>
      <c r="F70" s="20" t="n">
        <v>0.94850565</v>
      </c>
      <c r="G70" s="18" t="n">
        <v>9.45585955</v>
      </c>
      <c r="H70" s="20" t="n">
        <v>0.60616037</v>
      </c>
      <c r="I70" s="18" t="n">
        <v>12.89646528</v>
      </c>
      <c r="J70" s="20" t="n">
        <v>0.73855902</v>
      </c>
      <c r="K70" s="18" t="n">
        <v>0</v>
      </c>
      <c r="L70" s="20" t="n">
        <v>0</v>
      </c>
      <c r="M70" s="18" t="n">
        <v>1.78773816</v>
      </c>
      <c r="N70" s="20" t="n">
        <v>0.30185075</v>
      </c>
      <c r="O70" s="18" t="n">
        <v>0</v>
      </c>
      <c r="P70" s="20" t="n">
        <v>0</v>
      </c>
      <c r="Q70" s="18" t="n">
        <v>0</v>
      </c>
      <c r="R70" s="20" t="n">
        <v>0</v>
      </c>
      <c r="S70" s="18" t="n">
        <v>2.08343948</v>
      </c>
      <c r="T70" s="20" t="n">
        <v>0.28515152</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(5316.0/B72*100)</f>
        <v/>
      </c>
      <c r="D72" s="19" t="n">
        <v>720</v>
      </c>
      <c r="E72" s="18" t="n">
        <v>83.89572802000001</v>
      </c>
      <c r="F72" s="20" t="n">
        <v>1.34487377</v>
      </c>
      <c r="G72" s="18" t="n">
        <v>5.33954604</v>
      </c>
      <c r="H72" s="20" t="n">
        <v>0.72600127</v>
      </c>
      <c r="I72" s="18" t="n">
        <v>10.28529678</v>
      </c>
      <c r="J72" s="20" t="n">
        <v>1.08707853</v>
      </c>
      <c r="K72" s="18" t="n">
        <v>0</v>
      </c>
      <c r="L72" s="20" t="n">
        <v>0</v>
      </c>
      <c r="M72" s="18" t="n">
        <v>0.09822488</v>
      </c>
      <c r="N72" s="20" t="n">
        <v>0.09937608000000001</v>
      </c>
      <c r="O72" s="18" t="n">
        <v>0.06007107</v>
      </c>
      <c r="P72" s="20" t="n">
        <v>0.06024309</v>
      </c>
      <c r="Q72" s="18" t="n">
        <v>0</v>
      </c>
      <c r="R72" s="20" t="n">
        <v>0</v>
      </c>
      <c r="S72" s="18" t="n">
        <v>0.32113322</v>
      </c>
      <c r="T72" s="20" t="n">
        <v>0.20738475</v>
      </c>
    </row>
    <row r="73" spans="1:20">
      <c r="A73" s="15" t="s">
        <v>497</v>
      </c>
      <c r="B73" s="17" t="n">
        <v>6115</v>
      </c>
      <c r="C73" s="18">
        <f>(5373.0/B73*100)</f>
        <v/>
      </c>
      <c r="D73" s="19" t="n">
        <v>742</v>
      </c>
      <c r="E73" s="18" t="n">
        <v>43.57110805</v>
      </c>
      <c r="F73" s="20" t="n">
        <v>2.17686811</v>
      </c>
      <c r="G73" s="18" t="n">
        <v>9.07913984</v>
      </c>
      <c r="H73" s="20" t="n">
        <v>1.09414309</v>
      </c>
      <c r="I73" s="18" t="n">
        <v>40.32868012</v>
      </c>
      <c r="J73" s="20" t="n">
        <v>1.86092745</v>
      </c>
      <c r="K73" s="18" t="n">
        <v>0</v>
      </c>
      <c r="L73" s="20" t="n">
        <v>0</v>
      </c>
      <c r="M73" s="18" t="n">
        <v>0.45286754</v>
      </c>
      <c r="N73" s="20" t="n">
        <v>0.14581854</v>
      </c>
      <c r="O73" s="18" t="n">
        <v>0.07074567</v>
      </c>
      <c r="P73" s="20" t="n">
        <v>0.07182853</v>
      </c>
      <c r="Q73" s="18" t="n">
        <v>0</v>
      </c>
      <c r="R73" s="20" t="n">
        <v>0</v>
      </c>
      <c r="S73" s="18" t="n">
        <v>6.49745878</v>
      </c>
      <c r="T73" s="20" t="n">
        <v>0.88823527</v>
      </c>
    </row>
    <row r="74" spans="1:20">
      <c r="A74" s="15" t="s">
        <v>498</v>
      </c>
      <c r="B74" s="17" t="n">
        <v>7708</v>
      </c>
      <c r="C74" s="18">
        <f>(6745.0/B74*100)</f>
        <v/>
      </c>
      <c r="D74" s="19" t="n">
        <v>963</v>
      </c>
      <c r="E74" s="18" t="n">
        <v>45.41965753</v>
      </c>
      <c r="F74" s="20" t="n">
        <v>1.88769202</v>
      </c>
      <c r="G74" s="18" t="n">
        <v>25.52539416</v>
      </c>
      <c r="H74" s="20" t="n">
        <v>1.6314898</v>
      </c>
      <c r="I74" s="18" t="n">
        <v>28.58080582</v>
      </c>
      <c r="J74" s="20" t="n">
        <v>1.50419246</v>
      </c>
      <c r="K74" s="18" t="n">
        <v>0</v>
      </c>
      <c r="L74" s="20" t="n">
        <v>0</v>
      </c>
      <c r="M74" s="18" t="n">
        <v>0.12360362</v>
      </c>
      <c r="N74" s="20" t="n">
        <v>0.09037312</v>
      </c>
      <c r="O74" s="18" t="n">
        <v>0</v>
      </c>
      <c r="P74" s="20" t="n">
        <v>0</v>
      </c>
      <c r="Q74" s="18" t="n">
        <v>0</v>
      </c>
      <c r="R74" s="20" t="n">
        <v>0</v>
      </c>
      <c r="S74" s="18" t="n">
        <v>0.35053886</v>
      </c>
      <c r="T74" s="20" t="n">
        <v>0.21035241</v>
      </c>
    </row>
    <row r="75" spans="1:20">
      <c r="A75" s="15" t="s">
        <v>499</v>
      </c>
      <c r="B75" s="17" t="n">
        <v>8249</v>
      </c>
      <c r="C75" s="18">
        <f>(7236.0/B75*100)</f>
        <v/>
      </c>
      <c r="D75" s="19" t="n">
        <v>1013</v>
      </c>
      <c r="E75" s="18" t="n">
        <v>61.35745117</v>
      </c>
      <c r="F75" s="20" t="n">
        <v>1.96164379</v>
      </c>
      <c r="G75" s="18" t="n">
        <v>11.59226927</v>
      </c>
      <c r="H75" s="20" t="n">
        <v>1.25842189</v>
      </c>
      <c r="I75" s="18" t="n">
        <v>17.15509935</v>
      </c>
      <c r="J75" s="20" t="n">
        <v>1.56279616</v>
      </c>
      <c r="K75" s="18" t="n">
        <v>0</v>
      </c>
      <c r="L75" s="20" t="n">
        <v>0</v>
      </c>
      <c r="M75" s="18" t="n">
        <v>0</v>
      </c>
      <c r="N75" s="20" t="n">
        <v>0</v>
      </c>
      <c r="O75" s="18" t="n">
        <v>0.20412114</v>
      </c>
      <c r="P75" s="20" t="n">
        <v>0.21409379</v>
      </c>
      <c r="Q75" s="18" t="n">
        <v>0</v>
      </c>
      <c r="R75" s="20" t="n">
        <v>0</v>
      </c>
      <c r="S75" s="18" t="n">
        <v>9.69105907</v>
      </c>
      <c r="T75" s="20" t="n">
        <v>1.15375851</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(4780.0/B77*100)</f>
        <v/>
      </c>
      <c r="D77" s="19" t="n">
        <v>595</v>
      </c>
      <c r="E77" s="18" t="n">
        <v>75.45092353</v>
      </c>
      <c r="F77" s="20" t="n">
        <v>1.65687533</v>
      </c>
      <c r="G77" s="18" t="n">
        <v>7.40677942</v>
      </c>
      <c r="H77" s="20" t="n">
        <v>1.09882832</v>
      </c>
      <c r="I77" s="18" t="n">
        <v>9.461443770000001</v>
      </c>
      <c r="J77" s="20" t="n">
        <v>1.25295046</v>
      </c>
      <c r="K77" s="18" t="n">
        <v>0</v>
      </c>
      <c r="L77" s="20" t="n">
        <v>0</v>
      </c>
      <c r="M77" s="18" t="n">
        <v>2.25629126</v>
      </c>
      <c r="N77" s="20" t="n">
        <v>0.69789064</v>
      </c>
      <c r="O77" s="18" t="n">
        <v>0.83662517</v>
      </c>
      <c r="P77" s="20" t="n">
        <v>0.42495057</v>
      </c>
      <c r="Q77" s="18" t="n">
        <v>0</v>
      </c>
      <c r="R77" s="20" t="n">
        <v>0</v>
      </c>
      <c r="S77" s="18" t="n">
        <v>4.58793685</v>
      </c>
      <c r="T77" s="20" t="n">
        <v>0.88452368</v>
      </c>
    </row>
    <row r="78" spans="1:20">
      <c r="A78" s="15" t="s">
        <v>502</v>
      </c>
      <c r="B78" s="17" t="n">
        <v>14167</v>
      </c>
      <c r="C78" s="18">
        <f>(12479.0/B78*100)</f>
        <v/>
      </c>
      <c r="D78" s="19" t="n">
        <v>1688</v>
      </c>
      <c r="E78" s="18" t="n">
        <v>63.88564547</v>
      </c>
      <c r="F78" s="20" t="n">
        <v>1.52379157</v>
      </c>
      <c r="G78" s="18" t="n">
        <v>12.54412351</v>
      </c>
      <c r="H78" s="20" t="n">
        <v>1.0260321</v>
      </c>
      <c r="I78" s="18" t="n">
        <v>19.23856844</v>
      </c>
      <c r="J78" s="20" t="n">
        <v>1.5656928</v>
      </c>
      <c r="K78" s="18" t="n">
        <v>0</v>
      </c>
      <c r="L78" s="20" t="n">
        <v>0</v>
      </c>
      <c r="M78" s="18" t="n">
        <v>0.77796406</v>
      </c>
      <c r="N78" s="20" t="n">
        <v>0.24613263</v>
      </c>
      <c r="O78" s="18" t="n">
        <v>0.17768976</v>
      </c>
      <c r="P78" s="20" t="n">
        <v>0.10814981</v>
      </c>
      <c r="Q78" s="18" t="n">
        <v>0</v>
      </c>
      <c r="R78" s="20" t="n">
        <v>0</v>
      </c>
      <c r="S78" s="18" t="n">
        <v>3.37600875</v>
      </c>
      <c r="T78" s="20" t="n">
        <v>0.60928696</v>
      </c>
    </row>
    <row r="79" spans="1:20">
      <c r="A79" s="15" t="s">
        <v>503</v>
      </c>
      <c r="B79" s="17" t="n">
        <v>6062</v>
      </c>
      <c r="C79" s="18">
        <f>(5322.0/B79*100)</f>
        <v/>
      </c>
      <c r="D79" s="19" t="n">
        <v>740</v>
      </c>
      <c r="E79" s="18" t="n">
        <v>27.18506422</v>
      </c>
      <c r="F79" s="20" t="n">
        <v>1.59728671</v>
      </c>
      <c r="G79" s="18" t="n">
        <v>26.47510561</v>
      </c>
      <c r="H79" s="20" t="n">
        <v>1.89988465</v>
      </c>
      <c r="I79" s="18" t="n">
        <v>15.16091523</v>
      </c>
      <c r="J79" s="20" t="n">
        <v>1.55677032</v>
      </c>
      <c r="K79" s="18" t="n">
        <v>0</v>
      </c>
      <c r="L79" s="20" t="n">
        <v>0</v>
      </c>
      <c r="M79" s="18" t="n">
        <v>0.65629604</v>
      </c>
      <c r="N79" s="20" t="n">
        <v>0.33978716</v>
      </c>
      <c r="O79" s="18" t="n">
        <v>0.14642952</v>
      </c>
      <c r="P79" s="20" t="n">
        <v>0.1521472</v>
      </c>
      <c r="Q79" s="18" t="n">
        <v>0</v>
      </c>
      <c r="R79" s="20" t="n">
        <v>0</v>
      </c>
      <c r="S79" s="18" t="n">
        <v>30.37618939</v>
      </c>
      <c r="T79" s="20" t="n">
        <v>1.80265354</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(28335.0/B82*100)</f>
        <v/>
      </c>
      <c r="D82" s="19" t="n">
        <v>3995</v>
      </c>
      <c r="E82" s="18" t="n">
        <v>27.94641488</v>
      </c>
      <c r="F82" s="20" t="n">
        <v>1.09892313</v>
      </c>
      <c r="G82" s="18" t="n">
        <v>30.03774476</v>
      </c>
      <c r="H82" s="20" t="n">
        <v>0.88602223</v>
      </c>
      <c r="I82" s="18" t="n">
        <v>39.11976724</v>
      </c>
      <c r="J82" s="20" t="n">
        <v>1.21925939</v>
      </c>
      <c r="K82" s="18" t="n">
        <v>0</v>
      </c>
      <c r="L82" s="20" t="n">
        <v>0</v>
      </c>
      <c r="M82" s="18" t="n">
        <v>0.13919242</v>
      </c>
      <c r="N82" s="20" t="n">
        <v>0.04509348</v>
      </c>
      <c r="O82" s="18" t="n">
        <v>0.2741218</v>
      </c>
      <c r="P82" s="20" t="n">
        <v>0.19769532</v>
      </c>
      <c r="Q82" s="18" t="n">
        <v>0</v>
      </c>
      <c r="R82" s="20" t="n">
        <v>0</v>
      </c>
      <c r="S82" s="18" t="n">
        <v>2.4827589</v>
      </c>
      <c r="T82" s="20" t="n">
        <v>0.43082169</v>
      </c>
    </row>
    <row r="83" spans="1:20">
      <c r="A83" s="15" t="s">
        <v>507</v>
      </c>
      <c r="B83" s="17" t="n">
        <v>1652</v>
      </c>
      <c r="C83" s="18">
        <f>(1459.0/B83*100)</f>
        <v/>
      </c>
      <c r="D83" s="19" t="n">
        <v>193</v>
      </c>
      <c r="E83" s="18" t="n">
        <v>31.49267273</v>
      </c>
      <c r="F83" s="20" t="n">
        <v>3.3720467</v>
      </c>
      <c r="G83" s="18" t="n">
        <v>28.38757319</v>
      </c>
      <c r="H83" s="20" t="n">
        <v>2.81933159</v>
      </c>
      <c r="I83" s="18" t="n">
        <v>40.11975408</v>
      </c>
      <c r="J83" s="20" t="n">
        <v>4.46818918</v>
      </c>
      <c r="K83" s="18" t="n">
        <v>0</v>
      </c>
      <c r="L83" s="20" t="n">
        <v>0</v>
      </c>
      <c r="M83" s="18" t="n">
        <v>0</v>
      </c>
      <c r="N83" s="20" t="n">
        <v>0</v>
      </c>
      <c r="O83" s="18" t="n">
        <v>0</v>
      </c>
      <c r="P83" s="20" t="n">
        <v>0</v>
      </c>
      <c r="Q83" s="18" t="n">
        <v>0</v>
      </c>
      <c r="R83" s="20" t="n">
        <v>0</v>
      </c>
      <c r="S83" s="18" t="n">
        <v>0</v>
      </c>
      <c r="T83" s="20" t="n">
        <v>0</v>
      </c>
    </row>
    <row r="84" spans="1:20">
      <c r="A84" s="23" t="s">
        <v>508</v>
      </c>
      <c r="B84" s="24" t="n">
        <v>1887</v>
      </c>
      <c r="C84" s="25">
        <f>(1661.0/B84*100)</f>
        <v/>
      </c>
      <c r="D84" s="19" t="n">
        <v>226</v>
      </c>
      <c r="E84" s="18" t="n">
        <v>46.4119082</v>
      </c>
      <c r="F84" s="20" t="n">
        <v>3.88694583</v>
      </c>
      <c r="G84" s="18" t="n">
        <v>23.23739158</v>
      </c>
      <c r="H84" s="20" t="n">
        <v>2.60058577</v>
      </c>
      <c r="I84" s="18" t="n">
        <v>29.90216374</v>
      </c>
      <c r="J84" s="20" t="n">
        <v>3.85395244</v>
      </c>
      <c r="K84" s="18" t="n">
        <v>0</v>
      </c>
      <c r="L84" s="20" t="n">
        <v>0</v>
      </c>
      <c r="M84" s="18" t="n">
        <v>0</v>
      </c>
      <c r="N84" s="20" t="n">
        <v>0</v>
      </c>
      <c r="O84" s="18" t="n">
        <v>0</v>
      </c>
      <c r="P84" s="20" t="n">
        <v>0</v>
      </c>
      <c r="Q84" s="18" t="n">
        <v>0</v>
      </c>
      <c r="R84" s="20" t="n">
        <v>0</v>
      </c>
      <c r="S84" s="18" t="n">
        <v>0.44853648</v>
      </c>
      <c r="T84" s="20" t="n">
        <v>0.44857905</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(12789.0/B7*100)</f>
        <v/>
      </c>
      <c r="D7" s="19" t="n">
        <v>1741</v>
      </c>
      <c r="E7" s="18" t="n">
        <v>17.65414766</v>
      </c>
      <c r="F7" s="20" t="n">
        <v>1.0047653</v>
      </c>
      <c r="G7" s="18" t="n">
        <v>81.05934934</v>
      </c>
      <c r="H7" s="20" t="n">
        <v>1.08325134</v>
      </c>
      <c r="I7" s="18" t="n">
        <v>0</v>
      </c>
      <c r="J7" s="20" t="n">
        <v>0</v>
      </c>
      <c r="K7" s="18" t="n">
        <v>0.50078357</v>
      </c>
      <c r="L7" s="20" t="n">
        <v>0.14698781</v>
      </c>
      <c r="M7" s="18" t="n">
        <v>0</v>
      </c>
      <c r="N7" s="20" t="n">
        <v>0</v>
      </c>
      <c r="O7" s="18" t="n">
        <v>0</v>
      </c>
      <c r="P7" s="20" t="n">
        <v>0</v>
      </c>
      <c r="Q7" s="18" t="n">
        <v>0.78571943</v>
      </c>
      <c r="R7" s="20" t="n">
        <v>0.28039238</v>
      </c>
    </row>
    <row r="8" spans="1:18">
      <c r="A8" s="15" t="s">
        <v>430</v>
      </c>
      <c r="B8" s="17" t="n">
        <v>7007</v>
      </c>
      <c r="C8" s="18">
        <f>(6178.0/B8*100)</f>
        <v/>
      </c>
      <c r="D8" s="19" t="n">
        <v>829</v>
      </c>
      <c r="E8" s="18" t="n">
        <v>14.72761534</v>
      </c>
      <c r="F8" s="20" t="n">
        <v>1.42245863</v>
      </c>
      <c r="G8" s="18" t="n">
        <v>84.17056744</v>
      </c>
      <c r="H8" s="20" t="n">
        <v>1.48523181</v>
      </c>
      <c r="I8" s="18" t="n">
        <v>0</v>
      </c>
      <c r="J8" s="20" t="n">
        <v>0</v>
      </c>
      <c r="K8" s="18" t="n">
        <v>0.23830376</v>
      </c>
      <c r="L8" s="20" t="n">
        <v>0.1422683</v>
      </c>
      <c r="M8" s="18" t="n">
        <v>0</v>
      </c>
      <c r="N8" s="20" t="n">
        <v>0</v>
      </c>
      <c r="O8" s="18" t="n">
        <v>0</v>
      </c>
      <c r="P8" s="20" t="n">
        <v>0</v>
      </c>
      <c r="Q8" s="18" t="n">
        <v>0.86351347</v>
      </c>
      <c r="R8" s="20" t="n">
        <v>0.40156403</v>
      </c>
    </row>
    <row r="9" spans="1:18">
      <c r="A9" s="15" t="s">
        <v>431</v>
      </c>
      <c r="B9" s="17" t="n">
        <v>9651</v>
      </c>
      <c r="C9" s="18">
        <f>(8520.0/B9*100)</f>
        <v/>
      </c>
      <c r="D9" s="19" t="n">
        <v>1131</v>
      </c>
      <c r="E9" s="18" t="n">
        <v>21.9488302</v>
      </c>
      <c r="F9" s="20" t="n">
        <v>1.35817248</v>
      </c>
      <c r="G9" s="18" t="n">
        <v>76.98634481000001</v>
      </c>
      <c r="H9" s="20" t="n">
        <v>1.3673057</v>
      </c>
      <c r="I9" s="18" t="n">
        <v>0</v>
      </c>
      <c r="J9" s="20" t="n">
        <v>0</v>
      </c>
      <c r="K9" s="18" t="n">
        <v>0.24693366</v>
      </c>
      <c r="L9" s="20" t="n">
        <v>0.14368647</v>
      </c>
      <c r="M9" s="18" t="n">
        <v>0</v>
      </c>
      <c r="N9" s="20" t="n">
        <v>0</v>
      </c>
      <c r="O9" s="18" t="n">
        <v>0</v>
      </c>
      <c r="P9" s="20" t="n">
        <v>0</v>
      </c>
      <c r="Q9" s="18" t="n">
        <v>0.81789133</v>
      </c>
      <c r="R9" s="20" t="n">
        <v>0.29115693</v>
      </c>
    </row>
    <row r="10" spans="1:18">
      <c r="A10" s="15" t="s">
        <v>432</v>
      </c>
      <c r="B10" s="17" t="n">
        <v>20058</v>
      </c>
      <c r="C10" s="18">
        <f>(17606.0/B10*100)</f>
        <v/>
      </c>
      <c r="D10" s="19" t="n">
        <v>2452</v>
      </c>
      <c r="E10" s="18" t="n">
        <v>14.19945084</v>
      </c>
      <c r="F10" s="20" t="n">
        <v>0.97614435</v>
      </c>
      <c r="G10" s="18" t="n">
        <v>84.66046647</v>
      </c>
      <c r="H10" s="20" t="n">
        <v>1.04341799</v>
      </c>
      <c r="I10" s="18" t="n">
        <v>0</v>
      </c>
      <c r="J10" s="20" t="n">
        <v>0</v>
      </c>
      <c r="K10" s="18" t="n">
        <v>0.41913608</v>
      </c>
      <c r="L10" s="20" t="n">
        <v>0.16753993</v>
      </c>
      <c r="M10" s="18" t="n">
        <v>0</v>
      </c>
      <c r="N10" s="20" t="n">
        <v>0</v>
      </c>
      <c r="O10" s="18" t="n">
        <v>0</v>
      </c>
      <c r="P10" s="20" t="n">
        <v>0</v>
      </c>
      <c r="Q10" s="18" t="n">
        <v>0.72094662</v>
      </c>
      <c r="R10" s="20" t="n">
        <v>0.2546221</v>
      </c>
    </row>
    <row r="11" spans="1:18">
      <c r="A11" s="15" t="s">
        <v>433</v>
      </c>
      <c r="B11" s="17" t="n">
        <v>7053</v>
      </c>
      <c r="C11" s="18">
        <f>(6187.0/B11*100)</f>
        <v/>
      </c>
      <c r="D11" s="19" t="n">
        <v>866</v>
      </c>
      <c r="E11" s="18" t="n">
        <v>16.72615801</v>
      </c>
      <c r="F11" s="20" t="n">
        <v>1.63762445</v>
      </c>
      <c r="G11" s="18" t="n">
        <v>82.28367806999999</v>
      </c>
      <c r="H11" s="20" t="n">
        <v>1.66666784</v>
      </c>
      <c r="I11" s="18" t="n">
        <v>0</v>
      </c>
      <c r="J11" s="20" t="n">
        <v>0</v>
      </c>
      <c r="K11" s="18" t="n">
        <v>0.91769726</v>
      </c>
      <c r="L11" s="20" t="n">
        <v>0.45131463</v>
      </c>
      <c r="M11" s="18" t="n">
        <v>0</v>
      </c>
      <c r="N11" s="20" t="n">
        <v>0</v>
      </c>
      <c r="O11" s="18" t="n">
        <v>0</v>
      </c>
      <c r="P11" s="20" t="n">
        <v>0</v>
      </c>
      <c r="Q11" s="18" t="n">
        <v>0.07246666</v>
      </c>
      <c r="R11" s="20" t="n">
        <v>0.05042082</v>
      </c>
    </row>
    <row r="12" spans="1:18">
      <c r="A12" s="15" t="s">
        <v>434</v>
      </c>
      <c r="B12" s="17" t="n">
        <v>6894</v>
      </c>
      <c r="C12" s="18">
        <f>(6046.0/B12*100)</f>
        <v/>
      </c>
      <c r="D12" s="19" t="n">
        <v>848</v>
      </c>
      <c r="E12" s="18" t="n">
        <v>20.7942944</v>
      </c>
      <c r="F12" s="20" t="n">
        <v>1.6526043</v>
      </c>
      <c r="G12" s="18" t="n">
        <v>78.8167464</v>
      </c>
      <c r="H12" s="20" t="n">
        <v>1.70929713</v>
      </c>
      <c r="I12" s="18" t="n">
        <v>0</v>
      </c>
      <c r="J12" s="20" t="n">
        <v>0</v>
      </c>
      <c r="K12" s="18" t="n">
        <v>0.09175706</v>
      </c>
      <c r="L12" s="20" t="n">
        <v>0.13094372</v>
      </c>
      <c r="M12" s="18" t="n">
        <v>0</v>
      </c>
      <c r="N12" s="20" t="n">
        <v>0</v>
      </c>
      <c r="O12" s="18" t="n">
        <v>0</v>
      </c>
      <c r="P12" s="20" t="n">
        <v>0</v>
      </c>
      <c r="Q12" s="18" t="n">
        <v>0.29720214</v>
      </c>
      <c r="R12" s="20" t="n">
        <v>0.22170905</v>
      </c>
    </row>
    <row r="13" spans="1:18">
      <c r="A13" s="15" t="s">
        <v>435</v>
      </c>
      <c r="B13" s="17" t="n">
        <v>7161</v>
      </c>
      <c r="C13" s="18">
        <f>(6332.0/B13*100)</f>
        <v/>
      </c>
      <c r="D13" s="19" t="n">
        <v>829</v>
      </c>
      <c r="E13" s="18" t="n">
        <v>12.87231948</v>
      </c>
      <c r="F13" s="20" t="n">
        <v>1.28604442</v>
      </c>
      <c r="G13" s="18" t="n">
        <v>85.98543363</v>
      </c>
      <c r="H13" s="20" t="n">
        <v>1.32854423</v>
      </c>
      <c r="I13" s="18" t="n">
        <v>0</v>
      </c>
      <c r="J13" s="20" t="n">
        <v>0</v>
      </c>
      <c r="K13" s="18" t="n">
        <v>0.9111416</v>
      </c>
      <c r="L13" s="20" t="n">
        <v>0.46187022</v>
      </c>
      <c r="M13" s="18" t="n">
        <v>0</v>
      </c>
      <c r="N13" s="20" t="n">
        <v>0</v>
      </c>
      <c r="O13" s="18" t="n">
        <v>0</v>
      </c>
      <c r="P13" s="20" t="n">
        <v>0</v>
      </c>
      <c r="Q13" s="18" t="n">
        <v>0.23110529</v>
      </c>
      <c r="R13" s="20" t="n">
        <v>0.13498376</v>
      </c>
    </row>
    <row r="14" spans="1:18">
      <c r="A14" s="15" t="s">
        <v>436</v>
      </c>
      <c r="B14" s="17" t="n">
        <v>5587</v>
      </c>
      <c r="C14" s="18">
        <f>(4916.0/B14*100)</f>
        <v/>
      </c>
      <c r="D14" s="19" t="n">
        <v>671</v>
      </c>
      <c r="E14" s="18" t="n">
        <v>8.91128089</v>
      </c>
      <c r="F14" s="20" t="n">
        <v>1.36460048</v>
      </c>
      <c r="G14" s="18" t="n">
        <v>90.03840889999999</v>
      </c>
      <c r="H14" s="20" t="n">
        <v>1.34019588</v>
      </c>
      <c r="I14" s="18" t="n">
        <v>0</v>
      </c>
      <c r="J14" s="20" t="n">
        <v>0</v>
      </c>
      <c r="K14" s="18" t="n">
        <v>0.38156266</v>
      </c>
      <c r="L14" s="20" t="n">
        <v>0.12945361</v>
      </c>
      <c r="M14" s="18" t="n">
        <v>0</v>
      </c>
      <c r="N14" s="20" t="n">
        <v>0</v>
      </c>
      <c r="O14" s="18" t="n">
        <v>0</v>
      </c>
      <c r="P14" s="20" t="n">
        <v>0</v>
      </c>
      <c r="Q14" s="18" t="n">
        <v>0.66874755</v>
      </c>
      <c r="R14" s="20" t="n">
        <v>0.28550351</v>
      </c>
    </row>
    <row r="15" spans="1:18">
      <c r="A15" s="15" t="s">
        <v>437</v>
      </c>
      <c r="B15" s="17" t="n">
        <v>5882</v>
      </c>
      <c r="C15" s="18">
        <f>(5146.0/B15*100)</f>
        <v/>
      </c>
      <c r="D15" s="19" t="n">
        <v>736</v>
      </c>
      <c r="E15" s="18" t="n">
        <v>11.7026507</v>
      </c>
      <c r="F15" s="20" t="n">
        <v>1.30700646</v>
      </c>
      <c r="G15" s="18" t="n">
        <v>87.76578101</v>
      </c>
      <c r="H15" s="20" t="n">
        <v>1.30697126</v>
      </c>
      <c r="I15" s="18" t="n">
        <v>0</v>
      </c>
      <c r="J15" s="20" t="n">
        <v>0</v>
      </c>
      <c r="K15" s="18" t="n">
        <v>0.5315682900000001</v>
      </c>
      <c r="L15" s="20" t="n">
        <v>0.26415264</v>
      </c>
      <c r="M15" s="18" t="n">
        <v>0</v>
      </c>
      <c r="N15" s="20" t="n">
        <v>0</v>
      </c>
      <c r="O15" s="18" t="n">
        <v>0</v>
      </c>
      <c r="P15" s="20" t="n">
        <v>0</v>
      </c>
      <c r="Q15" s="18" t="n">
        <v>0</v>
      </c>
      <c r="R15" s="20" t="n">
        <v>0</v>
      </c>
    </row>
    <row r="16" spans="1:18">
      <c r="A16" s="15" t="s">
        <v>438</v>
      </c>
      <c r="B16" s="17" t="n">
        <v>6108</v>
      </c>
      <c r="C16" s="18">
        <f>(5338.0/B16*100)</f>
        <v/>
      </c>
      <c r="D16" s="19" t="n">
        <v>770</v>
      </c>
      <c r="E16" s="18" t="n">
        <v>22.04834119</v>
      </c>
      <c r="F16" s="20" t="n">
        <v>1.43361454</v>
      </c>
      <c r="G16" s="18" t="n">
        <v>75.67370072999999</v>
      </c>
      <c r="H16" s="20" t="n">
        <v>1.51694326</v>
      </c>
      <c r="I16" s="18" t="n">
        <v>0</v>
      </c>
      <c r="J16" s="20" t="n">
        <v>0</v>
      </c>
      <c r="K16" s="18" t="n">
        <v>1.44243407</v>
      </c>
      <c r="L16" s="20" t="n">
        <v>0.47681547</v>
      </c>
      <c r="M16" s="18" t="n">
        <v>0</v>
      </c>
      <c r="N16" s="20" t="n">
        <v>0</v>
      </c>
      <c r="O16" s="18" t="n">
        <v>0</v>
      </c>
      <c r="P16" s="20" t="n">
        <v>0</v>
      </c>
      <c r="Q16" s="18" t="n">
        <v>0.83552401</v>
      </c>
      <c r="R16" s="20" t="n">
        <v>0.36404137</v>
      </c>
    </row>
    <row r="17" spans="1:18">
      <c r="A17" s="15" t="s">
        <v>439</v>
      </c>
      <c r="B17" s="17" t="n">
        <v>6504</v>
      </c>
      <c r="C17" s="18">
        <f>(5719.0/B17*100)</f>
        <v/>
      </c>
      <c r="D17" s="19" t="n">
        <v>785</v>
      </c>
      <c r="E17" s="18" t="n">
        <v>15.65586141</v>
      </c>
      <c r="F17" s="20" t="n">
        <v>1.45511934</v>
      </c>
      <c r="G17" s="18" t="n">
        <v>83.29678652</v>
      </c>
      <c r="H17" s="20" t="n">
        <v>1.71132633</v>
      </c>
      <c r="I17" s="18" t="n">
        <v>0</v>
      </c>
      <c r="J17" s="20" t="n">
        <v>0</v>
      </c>
      <c r="K17" s="18" t="n">
        <v>0.21960524</v>
      </c>
      <c r="L17" s="20" t="n">
        <v>0.15724935</v>
      </c>
      <c r="M17" s="18" t="n">
        <v>0</v>
      </c>
      <c r="N17" s="20" t="n">
        <v>0</v>
      </c>
      <c r="O17" s="18" t="n">
        <v>0</v>
      </c>
      <c r="P17" s="20" t="n">
        <v>0</v>
      </c>
      <c r="Q17" s="18" t="n">
        <v>0.82774684</v>
      </c>
      <c r="R17" s="20" t="n">
        <v>0.39960663</v>
      </c>
    </row>
    <row r="18" spans="1:18">
      <c r="A18" s="15" t="s">
        <v>440</v>
      </c>
      <c r="B18" s="17" t="n">
        <v>5532</v>
      </c>
      <c r="C18" s="18">
        <f>(4846.0/B18*100)</f>
        <v/>
      </c>
      <c r="D18" s="19" t="n">
        <v>686</v>
      </c>
      <c r="E18" s="18" t="n">
        <v>32.81267731</v>
      </c>
      <c r="F18" s="20" t="n">
        <v>1.91635054</v>
      </c>
      <c r="G18" s="18" t="n">
        <v>66.38166025</v>
      </c>
      <c r="H18" s="20" t="n">
        <v>1.89895918</v>
      </c>
      <c r="I18" s="18" t="n">
        <v>0</v>
      </c>
      <c r="J18" s="20" t="n">
        <v>0</v>
      </c>
      <c r="K18" s="18" t="n">
        <v>0.27523559</v>
      </c>
      <c r="L18" s="20" t="n">
        <v>0.19812783</v>
      </c>
      <c r="M18" s="18" t="n">
        <v>0</v>
      </c>
      <c r="N18" s="20" t="n">
        <v>0</v>
      </c>
      <c r="O18" s="18" t="n">
        <v>0</v>
      </c>
      <c r="P18" s="20" t="n">
        <v>0</v>
      </c>
      <c r="Q18" s="18" t="n">
        <v>0.53042685</v>
      </c>
      <c r="R18" s="20" t="n">
        <v>0.26790577</v>
      </c>
    </row>
    <row r="19" spans="1:18">
      <c r="A19" s="15" t="s">
        <v>441</v>
      </c>
      <c r="B19" s="17" t="n">
        <v>5658</v>
      </c>
      <c r="C19" s="18">
        <f>(4942.0/B19*100)</f>
        <v/>
      </c>
      <c r="D19" s="19" t="n">
        <v>716</v>
      </c>
      <c r="E19" s="18" t="n">
        <v>27.25502161</v>
      </c>
      <c r="F19" s="20" t="n">
        <v>1.82948202</v>
      </c>
      <c r="G19" s="18" t="n">
        <v>71.33837837999999</v>
      </c>
      <c r="H19" s="20" t="n">
        <v>1.7499145</v>
      </c>
      <c r="I19" s="18" t="n">
        <v>0</v>
      </c>
      <c r="J19" s="20" t="n">
        <v>0</v>
      </c>
      <c r="K19" s="18" t="n">
        <v>0.77422319</v>
      </c>
      <c r="L19" s="20" t="n">
        <v>0.46864522</v>
      </c>
      <c r="M19" s="18" t="n">
        <v>0</v>
      </c>
      <c r="N19" s="20" t="n">
        <v>0</v>
      </c>
      <c r="O19" s="18" t="n">
        <v>0</v>
      </c>
      <c r="P19" s="20" t="n">
        <v>0</v>
      </c>
      <c r="Q19" s="18" t="n">
        <v>0.63237682</v>
      </c>
      <c r="R19" s="20" t="n">
        <v>0.27537171</v>
      </c>
    </row>
    <row r="20" spans="1:18">
      <c r="A20" s="15" t="s">
        <v>442</v>
      </c>
      <c r="B20" s="17" t="n">
        <v>3371</v>
      </c>
      <c r="C20" s="18">
        <f>(2958.0/B20*100)</f>
        <v/>
      </c>
      <c r="D20" s="19" t="n">
        <v>413</v>
      </c>
      <c r="E20" s="18" t="n">
        <v>17.01301372</v>
      </c>
      <c r="F20" s="20" t="n">
        <v>1.95078631</v>
      </c>
      <c r="G20" s="18" t="n">
        <v>81.70844114000001</v>
      </c>
      <c r="H20" s="20" t="n">
        <v>2.06840319</v>
      </c>
      <c r="I20" s="18" t="n">
        <v>0</v>
      </c>
      <c r="J20" s="20" t="n">
        <v>0</v>
      </c>
      <c r="K20" s="18" t="n">
        <v>0.74993657</v>
      </c>
      <c r="L20" s="20" t="n">
        <v>0.42692914</v>
      </c>
      <c r="M20" s="18" t="n">
        <v>0</v>
      </c>
      <c r="N20" s="20" t="n">
        <v>0</v>
      </c>
      <c r="O20" s="18" t="n">
        <v>0</v>
      </c>
      <c r="P20" s="20" t="n">
        <v>0</v>
      </c>
      <c r="Q20" s="18" t="n">
        <v>0.5286085700000001</v>
      </c>
      <c r="R20" s="20" t="n">
        <v>0.38008879</v>
      </c>
    </row>
    <row r="21" spans="1:18">
      <c r="A21" s="15" t="s">
        <v>443</v>
      </c>
      <c r="B21" s="17" t="n">
        <v>5741</v>
      </c>
      <c r="C21" s="18">
        <f>(4799.0/B21*100)</f>
        <v/>
      </c>
      <c r="D21" s="19" t="n">
        <v>942</v>
      </c>
      <c r="E21" s="18" t="n">
        <v>17.54564405</v>
      </c>
      <c r="F21" s="20" t="n">
        <v>1.28547326</v>
      </c>
      <c r="G21" s="18" t="n">
        <v>81.70542602</v>
      </c>
      <c r="H21" s="20" t="n">
        <v>1.27486988</v>
      </c>
      <c r="I21" s="18" t="n">
        <v>0</v>
      </c>
      <c r="J21" s="20" t="n">
        <v>0</v>
      </c>
      <c r="K21" s="18" t="n">
        <v>0.34271633</v>
      </c>
      <c r="L21" s="20" t="n">
        <v>0.18366322</v>
      </c>
      <c r="M21" s="18" t="n">
        <v>0</v>
      </c>
      <c r="N21" s="20" t="n">
        <v>0</v>
      </c>
      <c r="O21" s="18" t="n">
        <v>0</v>
      </c>
      <c r="P21" s="20" t="n">
        <v>0</v>
      </c>
      <c r="Q21" s="18" t="n">
        <v>0.40621361</v>
      </c>
      <c r="R21" s="20" t="n">
        <v>0.20951694</v>
      </c>
    </row>
    <row r="22" spans="1:18">
      <c r="A22" s="15" t="s">
        <v>444</v>
      </c>
      <c r="B22" s="17" t="n">
        <v>6598</v>
      </c>
      <c r="C22" s="18">
        <f>(5786.0/B22*100)</f>
        <v/>
      </c>
      <c r="D22" s="19" t="n">
        <v>812</v>
      </c>
      <c r="E22" s="18" t="n">
        <v>26.35191909</v>
      </c>
      <c r="F22" s="20" t="n">
        <v>1.9564947</v>
      </c>
      <c r="G22" s="18" t="n">
        <v>72.23187154999999</v>
      </c>
      <c r="H22" s="20" t="n">
        <v>1.92433691</v>
      </c>
      <c r="I22" s="18" t="n">
        <v>0</v>
      </c>
      <c r="J22" s="20" t="n">
        <v>0</v>
      </c>
      <c r="K22" s="18" t="n">
        <v>0.43535775</v>
      </c>
      <c r="L22" s="20" t="n">
        <v>0.22704198</v>
      </c>
      <c r="M22" s="18" t="n">
        <v>0</v>
      </c>
      <c r="N22" s="20" t="n">
        <v>0</v>
      </c>
      <c r="O22" s="18" t="n">
        <v>0</v>
      </c>
      <c r="P22" s="20" t="n">
        <v>0</v>
      </c>
      <c r="Q22" s="18" t="n">
        <v>0.98085161</v>
      </c>
      <c r="R22" s="20" t="n">
        <v>0.31274383</v>
      </c>
    </row>
    <row r="23" spans="1:18">
      <c r="A23" s="15" t="s">
        <v>445</v>
      </c>
      <c r="B23" s="17" t="n">
        <v>11583</v>
      </c>
      <c r="C23" s="18">
        <f>(10169.0/B23*100)</f>
        <v/>
      </c>
      <c r="D23" s="19" t="n">
        <v>1414</v>
      </c>
      <c r="E23" s="18" t="n">
        <v>16.69370129</v>
      </c>
      <c r="F23" s="20" t="n">
        <v>1.62706079</v>
      </c>
      <c r="G23" s="18" t="n">
        <v>81.45627296000001</v>
      </c>
      <c r="H23" s="20" t="n">
        <v>1.65669662</v>
      </c>
      <c r="I23" s="18" t="n">
        <v>0</v>
      </c>
      <c r="J23" s="20" t="n">
        <v>0</v>
      </c>
      <c r="K23" s="18" t="n">
        <v>0.50960196</v>
      </c>
      <c r="L23" s="20" t="n">
        <v>0.50109166</v>
      </c>
      <c r="M23" s="18" t="n">
        <v>0</v>
      </c>
      <c r="N23" s="20" t="n">
        <v>0</v>
      </c>
      <c r="O23" s="18" t="n">
        <v>0</v>
      </c>
      <c r="P23" s="20" t="n">
        <v>0</v>
      </c>
      <c r="Q23" s="18" t="n">
        <v>1.34042379</v>
      </c>
      <c r="R23" s="20" t="n">
        <v>0.41492142</v>
      </c>
    </row>
    <row r="24" spans="1:18">
      <c r="A24" s="15" t="s">
        <v>446</v>
      </c>
      <c r="B24" s="17" t="n">
        <v>6647</v>
      </c>
      <c r="C24" s="18">
        <f>(5833.0/B24*100)</f>
        <v/>
      </c>
      <c r="D24" s="19" t="n">
        <v>814</v>
      </c>
      <c r="E24" s="18" t="n">
        <v>24.95014615</v>
      </c>
      <c r="F24" s="20" t="n">
        <v>1.68393117</v>
      </c>
      <c r="G24" s="18" t="n">
        <v>74.18586009000001</v>
      </c>
      <c r="H24" s="20" t="n">
        <v>1.74775695</v>
      </c>
      <c r="I24" s="18" t="n">
        <v>0</v>
      </c>
      <c r="J24" s="20" t="n">
        <v>0</v>
      </c>
      <c r="K24" s="18" t="n">
        <v>0.3913702</v>
      </c>
      <c r="L24" s="20" t="n">
        <v>0.2342116</v>
      </c>
      <c r="M24" s="18" t="n">
        <v>0</v>
      </c>
      <c r="N24" s="20" t="n">
        <v>0</v>
      </c>
      <c r="O24" s="18" t="n">
        <v>0</v>
      </c>
      <c r="P24" s="20" t="n">
        <v>0</v>
      </c>
      <c r="Q24" s="18" t="n">
        <v>0.47262356</v>
      </c>
      <c r="R24" s="20" t="n">
        <v>0.23797266</v>
      </c>
    </row>
    <row r="25" spans="1:18">
      <c r="A25" s="15" t="s">
        <v>447</v>
      </c>
      <c r="B25" s="17" t="n">
        <v>5581</v>
      </c>
      <c r="C25" s="18">
        <f>(4896.0/B25*100)</f>
        <v/>
      </c>
      <c r="D25" s="19" t="n">
        <v>685</v>
      </c>
      <c r="E25" s="18" t="n">
        <v>12.31129237</v>
      </c>
      <c r="F25" s="20" t="n">
        <v>1.42225071</v>
      </c>
      <c r="G25" s="18" t="n">
        <v>87.11788365</v>
      </c>
      <c r="H25" s="20" t="n">
        <v>1.45426538</v>
      </c>
      <c r="I25" s="18" t="n">
        <v>0</v>
      </c>
      <c r="J25" s="20" t="n">
        <v>0</v>
      </c>
      <c r="K25" s="18" t="n">
        <v>0.26373287</v>
      </c>
      <c r="L25" s="20" t="n">
        <v>0.18668136</v>
      </c>
      <c r="M25" s="18" t="n">
        <v>0</v>
      </c>
      <c r="N25" s="20" t="n">
        <v>0</v>
      </c>
      <c r="O25" s="18" t="n">
        <v>0</v>
      </c>
      <c r="P25" s="20" t="n">
        <v>0</v>
      </c>
      <c r="Q25" s="18" t="n">
        <v>0.30709112</v>
      </c>
      <c r="R25" s="20" t="n">
        <v>0.21745431</v>
      </c>
    </row>
    <row r="26" spans="1:18">
      <c r="A26" s="15" t="s">
        <v>448</v>
      </c>
      <c r="B26" s="17" t="n">
        <v>4869</v>
      </c>
      <c r="C26" s="18">
        <f>(4283.0/B26*100)</f>
        <v/>
      </c>
      <c r="D26" s="19" t="n">
        <v>586</v>
      </c>
      <c r="E26" s="18" t="n">
        <v>15.85457297</v>
      </c>
      <c r="F26" s="20" t="n">
        <v>1.84295894</v>
      </c>
      <c r="G26" s="18" t="n">
        <v>83.76178856</v>
      </c>
      <c r="H26" s="20" t="n">
        <v>1.8728205</v>
      </c>
      <c r="I26" s="18" t="n">
        <v>0</v>
      </c>
      <c r="J26" s="20" t="n">
        <v>0</v>
      </c>
      <c r="K26" s="18" t="n">
        <v>0</v>
      </c>
      <c r="L26" s="20" t="n">
        <v>0</v>
      </c>
      <c r="M26" s="18" t="n">
        <v>0</v>
      </c>
      <c r="N26" s="20" t="n">
        <v>0</v>
      </c>
      <c r="O26" s="18" t="n">
        <v>0</v>
      </c>
      <c r="P26" s="20" t="n">
        <v>0</v>
      </c>
      <c r="Q26" s="18" t="n">
        <v>0.38363848</v>
      </c>
      <c r="R26" s="20" t="n">
        <v>0.38880495</v>
      </c>
    </row>
    <row r="27" spans="1:18">
      <c r="A27" s="15" t="s">
        <v>449</v>
      </c>
      <c r="B27" s="17" t="n">
        <v>5299</v>
      </c>
      <c r="C27" s="18">
        <f>(4661.0/B27*100)</f>
        <v/>
      </c>
      <c r="D27" s="19" t="n">
        <v>638</v>
      </c>
      <c r="E27" s="18" t="n">
        <v>20.15384375</v>
      </c>
      <c r="F27" s="20" t="n">
        <v>1.50611615</v>
      </c>
      <c r="G27" s="18" t="n">
        <v>78.42777925999999</v>
      </c>
      <c r="H27" s="20" t="n">
        <v>1.59505443</v>
      </c>
      <c r="I27" s="18" t="n">
        <v>0</v>
      </c>
      <c r="J27" s="20" t="n">
        <v>0</v>
      </c>
      <c r="K27" s="18" t="n">
        <v>0.81206438</v>
      </c>
      <c r="L27" s="20" t="n">
        <v>0.36623218</v>
      </c>
      <c r="M27" s="18" t="n">
        <v>0</v>
      </c>
      <c r="N27" s="20" t="n">
        <v>0</v>
      </c>
      <c r="O27" s="18" t="n">
        <v>0</v>
      </c>
      <c r="P27" s="20" t="n">
        <v>0</v>
      </c>
      <c r="Q27" s="18" t="n">
        <v>0.60631262</v>
      </c>
      <c r="R27" s="20" t="n">
        <v>0.30247713</v>
      </c>
    </row>
    <row r="28" spans="1:18">
      <c r="A28" s="15" t="s">
        <v>450</v>
      </c>
      <c r="B28" s="17" t="n">
        <v>7568</v>
      </c>
      <c r="C28" s="18">
        <f>(6685.0/B28*100)</f>
        <v/>
      </c>
      <c r="D28" s="19" t="n">
        <v>883</v>
      </c>
      <c r="E28" s="18" t="n">
        <v>23.81327579</v>
      </c>
      <c r="F28" s="20" t="n">
        <v>1.87075711</v>
      </c>
      <c r="G28" s="18" t="n">
        <v>75.11896075</v>
      </c>
      <c r="H28" s="20" t="n">
        <v>1.89461159</v>
      </c>
      <c r="I28" s="18" t="n">
        <v>0</v>
      </c>
      <c r="J28" s="20" t="n">
        <v>0</v>
      </c>
      <c r="K28" s="18" t="n">
        <v>0.11291716</v>
      </c>
      <c r="L28" s="20" t="n">
        <v>0.12280601</v>
      </c>
      <c r="M28" s="18" t="n">
        <v>0</v>
      </c>
      <c r="N28" s="20" t="n">
        <v>0</v>
      </c>
      <c r="O28" s="18" t="n">
        <v>0</v>
      </c>
      <c r="P28" s="20" t="n">
        <v>0</v>
      </c>
      <c r="Q28" s="18" t="n">
        <v>0.9548463</v>
      </c>
      <c r="R28" s="20" t="n">
        <v>0.3552057</v>
      </c>
    </row>
    <row r="29" spans="1:18">
      <c r="A29" s="15" t="s">
        <v>451</v>
      </c>
      <c r="B29" s="17" t="n">
        <v>5385</v>
      </c>
      <c r="C29" s="18">
        <f>(4742.0/B29*100)</f>
        <v/>
      </c>
      <c r="D29" s="19" t="n">
        <v>643</v>
      </c>
      <c r="E29" s="18" t="n">
        <v>22.22940247</v>
      </c>
      <c r="F29" s="20" t="n">
        <v>1.82988538</v>
      </c>
      <c r="G29" s="18" t="n">
        <v>77.15167561</v>
      </c>
      <c r="H29" s="20" t="n">
        <v>1.81277283</v>
      </c>
      <c r="I29" s="18" t="n">
        <v>0</v>
      </c>
      <c r="J29" s="20" t="n">
        <v>0</v>
      </c>
      <c r="K29" s="18" t="n">
        <v>0.28144293</v>
      </c>
      <c r="L29" s="20" t="n">
        <v>0.19043596</v>
      </c>
      <c r="M29" s="18" t="n">
        <v>0</v>
      </c>
      <c r="N29" s="20" t="n">
        <v>0</v>
      </c>
      <c r="O29" s="18" t="n">
        <v>0</v>
      </c>
      <c r="P29" s="20" t="n">
        <v>0</v>
      </c>
      <c r="Q29" s="18" t="n">
        <v>0.33747899</v>
      </c>
      <c r="R29" s="20" t="n">
        <v>0.25211067</v>
      </c>
    </row>
    <row r="30" spans="1:18">
      <c r="A30" s="15" t="s">
        <v>452</v>
      </c>
      <c r="B30" s="17" t="n">
        <v>4520</v>
      </c>
      <c r="C30" s="18">
        <f>(3944.0/B30*100)</f>
        <v/>
      </c>
      <c r="D30" s="19" t="n">
        <v>576</v>
      </c>
      <c r="E30" s="18" t="n">
        <v>20.42383496</v>
      </c>
      <c r="F30" s="20" t="n">
        <v>1.85214123</v>
      </c>
      <c r="G30" s="18" t="n">
        <v>77.28546996</v>
      </c>
      <c r="H30" s="20" t="n">
        <v>1.92514263</v>
      </c>
      <c r="I30" s="18" t="n">
        <v>0</v>
      </c>
      <c r="J30" s="20" t="n">
        <v>0</v>
      </c>
      <c r="K30" s="18" t="n">
        <v>0.5445424800000001</v>
      </c>
      <c r="L30" s="20" t="n">
        <v>0.18331492</v>
      </c>
      <c r="M30" s="18" t="n">
        <v>0</v>
      </c>
      <c r="N30" s="20" t="n">
        <v>0</v>
      </c>
      <c r="O30" s="18" t="n">
        <v>0</v>
      </c>
      <c r="P30" s="20" t="n">
        <v>0</v>
      </c>
      <c r="Q30" s="18" t="n">
        <v>1.7461526</v>
      </c>
      <c r="R30" s="20" t="n">
        <v>0.55661868</v>
      </c>
    </row>
    <row r="31" spans="1:18">
      <c r="A31" s="15" t="s">
        <v>453</v>
      </c>
      <c r="B31" s="17" t="n">
        <v>5456</v>
      </c>
      <c r="C31" s="18">
        <f>(4796.0/B31*100)</f>
        <v/>
      </c>
      <c r="D31" s="19" t="n">
        <v>660</v>
      </c>
      <c r="E31" s="18" t="n">
        <v>18.22078089</v>
      </c>
      <c r="F31" s="20" t="n">
        <v>1.35158838</v>
      </c>
      <c r="G31" s="18" t="n">
        <v>81.08159218</v>
      </c>
      <c r="H31" s="20" t="n">
        <v>1.39954076</v>
      </c>
      <c r="I31" s="18" t="n">
        <v>0</v>
      </c>
      <c r="J31" s="20" t="n">
        <v>0</v>
      </c>
      <c r="K31" s="18" t="n">
        <v>0.41453241</v>
      </c>
      <c r="L31" s="20" t="n">
        <v>0.24519377</v>
      </c>
      <c r="M31" s="18" t="n">
        <v>0</v>
      </c>
      <c r="N31" s="20" t="n">
        <v>0</v>
      </c>
      <c r="O31" s="18" t="n">
        <v>0</v>
      </c>
      <c r="P31" s="20" t="n">
        <v>0</v>
      </c>
      <c r="Q31" s="18" t="n">
        <v>0.28309452</v>
      </c>
      <c r="R31" s="20" t="n">
        <v>0.19938323</v>
      </c>
    </row>
    <row r="32" spans="1:18">
      <c r="A32" s="15" t="s">
        <v>454</v>
      </c>
      <c r="B32" s="17" t="n">
        <v>4478</v>
      </c>
      <c r="C32" s="18">
        <f>(3771.0/B32*100)</f>
        <v/>
      </c>
      <c r="D32" s="19" t="n">
        <v>707</v>
      </c>
      <c r="E32" s="18" t="n">
        <v>20.50187107</v>
      </c>
      <c r="F32" s="20" t="n">
        <v>1.67301072</v>
      </c>
      <c r="G32" s="18" t="n">
        <v>79.10259858000001</v>
      </c>
      <c r="H32" s="20" t="n">
        <v>1.64717023</v>
      </c>
      <c r="I32" s="18" t="n">
        <v>0</v>
      </c>
      <c r="J32" s="20" t="n">
        <v>0</v>
      </c>
      <c r="K32" s="18" t="n">
        <v>0.13674973</v>
      </c>
      <c r="L32" s="20" t="n">
        <v>0.12886572</v>
      </c>
      <c r="M32" s="18" t="n">
        <v>0</v>
      </c>
      <c r="N32" s="20" t="n">
        <v>0</v>
      </c>
      <c r="O32" s="18" t="n">
        <v>0</v>
      </c>
      <c r="P32" s="20" t="n">
        <v>0</v>
      </c>
      <c r="Q32" s="18" t="n">
        <v>0.25878061</v>
      </c>
      <c r="R32" s="20" t="n">
        <v>0.17296172</v>
      </c>
    </row>
    <row r="33" spans="1:18">
      <c r="A33" s="15" t="s">
        <v>455</v>
      </c>
      <c r="B33" s="17" t="n">
        <v>7325</v>
      </c>
      <c r="C33" s="18">
        <f>(6414.0/B33*100)</f>
        <v/>
      </c>
      <c r="D33" s="19" t="n">
        <v>911</v>
      </c>
      <c r="E33" s="18" t="n">
        <v>10.47046597</v>
      </c>
      <c r="F33" s="20" t="n">
        <v>1.4588843</v>
      </c>
      <c r="G33" s="18" t="n">
        <v>88.82158357</v>
      </c>
      <c r="H33" s="20" t="n">
        <v>1.41337584</v>
      </c>
      <c r="I33" s="18" t="n">
        <v>0</v>
      </c>
      <c r="J33" s="20" t="n">
        <v>0</v>
      </c>
      <c r="K33" s="18" t="n">
        <v>0.1588898</v>
      </c>
      <c r="L33" s="20" t="n">
        <v>0.13888308</v>
      </c>
      <c r="M33" s="18" t="n">
        <v>0</v>
      </c>
      <c r="N33" s="20" t="n">
        <v>0</v>
      </c>
      <c r="O33" s="18" t="n">
        <v>0</v>
      </c>
      <c r="P33" s="20" t="n">
        <v>0</v>
      </c>
      <c r="Q33" s="18" t="n">
        <v>0.54906066</v>
      </c>
      <c r="R33" s="20" t="n">
        <v>0.26623569</v>
      </c>
    </row>
    <row r="34" spans="1:18">
      <c r="A34" s="15" t="s">
        <v>456</v>
      </c>
      <c r="B34" s="17" t="n">
        <v>6350</v>
      </c>
      <c r="C34" s="18">
        <f>(5580.0/B34*100)</f>
        <v/>
      </c>
      <c r="D34" s="19" t="n">
        <v>770</v>
      </c>
      <c r="E34" s="18" t="n">
        <v>22.22109407</v>
      </c>
      <c r="F34" s="20" t="n">
        <v>1.80886579</v>
      </c>
      <c r="G34" s="18" t="n">
        <v>77.4536619</v>
      </c>
      <c r="H34" s="20" t="n">
        <v>1.85819661</v>
      </c>
      <c r="I34" s="18" t="n">
        <v>0</v>
      </c>
      <c r="J34" s="20" t="n">
        <v>0</v>
      </c>
      <c r="K34" s="18" t="n">
        <v>0.09952107</v>
      </c>
      <c r="L34" s="20" t="n">
        <v>0.09955170000000001</v>
      </c>
      <c r="M34" s="18" t="n">
        <v>0</v>
      </c>
      <c r="N34" s="20" t="n">
        <v>0</v>
      </c>
      <c r="O34" s="18" t="n">
        <v>0</v>
      </c>
      <c r="P34" s="20" t="n">
        <v>0</v>
      </c>
      <c r="Q34" s="18" t="n">
        <v>0.22572296</v>
      </c>
      <c r="R34" s="20" t="n">
        <v>0.14520048</v>
      </c>
    </row>
    <row r="35" spans="1:18">
      <c r="A35" s="15" t="s">
        <v>457</v>
      </c>
      <c r="B35" s="17" t="n">
        <v>6406</v>
      </c>
      <c r="C35" s="18">
        <f>(5646.0/B35*100)</f>
        <v/>
      </c>
      <c r="D35" s="19" t="n">
        <v>760</v>
      </c>
      <c r="E35" s="18" t="n">
        <v>10.8432672</v>
      </c>
      <c r="F35" s="20" t="n">
        <v>1.35950258</v>
      </c>
      <c r="G35" s="18" t="n">
        <v>88.69418140000001</v>
      </c>
      <c r="H35" s="20" t="n">
        <v>1.32772952</v>
      </c>
      <c r="I35" s="18" t="n">
        <v>0</v>
      </c>
      <c r="J35" s="20" t="n">
        <v>0</v>
      </c>
      <c r="K35" s="18" t="n">
        <v>0.07170226</v>
      </c>
      <c r="L35" s="20" t="n">
        <v>0.07155102000000001</v>
      </c>
      <c r="M35" s="18" t="n">
        <v>0</v>
      </c>
      <c r="N35" s="20" t="n">
        <v>0</v>
      </c>
      <c r="O35" s="18" t="n">
        <v>0</v>
      </c>
      <c r="P35" s="20" t="n">
        <v>0</v>
      </c>
      <c r="Q35" s="18" t="n">
        <v>0.39084914</v>
      </c>
      <c r="R35" s="20" t="n">
        <v>0.20771566</v>
      </c>
    </row>
    <row r="36" spans="1:18">
      <c r="A36" s="15" t="s">
        <v>458</v>
      </c>
      <c r="B36" s="17" t="n">
        <v>6736</v>
      </c>
      <c r="C36" s="18">
        <f>(5902.0/B36*100)</f>
        <v/>
      </c>
      <c r="D36" s="19" t="n">
        <v>834</v>
      </c>
      <c r="E36" s="18" t="n">
        <v>17.05566902</v>
      </c>
      <c r="F36" s="20" t="n">
        <v>1.62798116</v>
      </c>
      <c r="G36" s="18" t="n">
        <v>81.83709494999999</v>
      </c>
      <c r="H36" s="20" t="n">
        <v>1.67298972</v>
      </c>
      <c r="I36" s="18" t="n">
        <v>0</v>
      </c>
      <c r="J36" s="20" t="n">
        <v>0</v>
      </c>
      <c r="K36" s="18" t="n">
        <v>0.04744564</v>
      </c>
      <c r="L36" s="20" t="n">
        <v>0.04639859</v>
      </c>
      <c r="M36" s="18" t="n">
        <v>0</v>
      </c>
      <c r="N36" s="20" t="n">
        <v>0</v>
      </c>
      <c r="O36" s="18" t="n">
        <v>0</v>
      </c>
      <c r="P36" s="20" t="n">
        <v>0</v>
      </c>
      <c r="Q36" s="18" t="n">
        <v>1.0597904</v>
      </c>
      <c r="R36" s="20" t="n">
        <v>0.40926862</v>
      </c>
    </row>
    <row r="37" spans="1:18">
      <c r="A37" s="15" t="s">
        <v>459</v>
      </c>
      <c r="B37" s="17" t="n">
        <v>5458</v>
      </c>
      <c r="C37" s="18">
        <f>(4773.0/B37*100)</f>
        <v/>
      </c>
      <c r="D37" s="19" t="n">
        <v>685</v>
      </c>
      <c r="E37" s="18" t="n">
        <v>16.42004748</v>
      </c>
      <c r="F37" s="20" t="n">
        <v>1.36711925</v>
      </c>
      <c r="G37" s="18" t="n">
        <v>80.95292877</v>
      </c>
      <c r="H37" s="20" t="n">
        <v>1.50148959</v>
      </c>
      <c r="I37" s="18" t="n">
        <v>0</v>
      </c>
      <c r="J37" s="20" t="n">
        <v>0</v>
      </c>
      <c r="K37" s="18" t="n">
        <v>1.26665271</v>
      </c>
      <c r="L37" s="20" t="n">
        <v>0.42663844</v>
      </c>
      <c r="M37" s="18" t="n">
        <v>0</v>
      </c>
      <c r="N37" s="20" t="n">
        <v>0</v>
      </c>
      <c r="O37" s="18" t="n">
        <v>0</v>
      </c>
      <c r="P37" s="20" t="n">
        <v>0</v>
      </c>
      <c r="Q37" s="18" t="n">
        <v>1.36037104</v>
      </c>
      <c r="R37" s="20" t="n">
        <v>0.50401304</v>
      </c>
    </row>
    <row r="38" spans="1:18">
      <c r="A38" s="15" t="s">
        <v>460</v>
      </c>
      <c r="B38" s="17" t="n">
        <v>5860</v>
      </c>
      <c r="C38" s="18">
        <f>(4949.0/B38*100)</f>
        <v/>
      </c>
      <c r="D38" s="19" t="n">
        <v>911</v>
      </c>
      <c r="E38" s="18" t="n">
        <v>17.51909328</v>
      </c>
      <c r="F38" s="20" t="n">
        <v>1.41905984</v>
      </c>
      <c r="G38" s="18" t="n">
        <v>81.61346768</v>
      </c>
      <c r="H38" s="20" t="n">
        <v>1.44944249</v>
      </c>
      <c r="I38" s="18" t="n">
        <v>0</v>
      </c>
      <c r="J38" s="20" t="n">
        <v>0</v>
      </c>
      <c r="K38" s="18" t="n">
        <v>0.31933987</v>
      </c>
      <c r="L38" s="20" t="n">
        <v>0.16128538</v>
      </c>
      <c r="M38" s="18" t="n">
        <v>0</v>
      </c>
      <c r="N38" s="20" t="n">
        <v>0</v>
      </c>
      <c r="O38" s="18" t="n">
        <v>0</v>
      </c>
      <c r="P38" s="20" t="n">
        <v>0</v>
      </c>
      <c r="Q38" s="18" t="n">
        <v>0.54809917</v>
      </c>
      <c r="R38" s="20" t="n">
        <v>0.24269341</v>
      </c>
    </row>
    <row r="39" spans="1:18">
      <c r="A39" s="15" t="s">
        <v>461</v>
      </c>
      <c r="B39" s="17" t="n">
        <v>5895</v>
      </c>
      <c r="C39" s="18">
        <f>(5178.0/B39*100)</f>
        <v/>
      </c>
      <c r="D39" s="19" t="n">
        <v>717</v>
      </c>
      <c r="E39" s="18" t="n">
        <v>38.45841272</v>
      </c>
      <c r="F39" s="20" t="n">
        <v>1.99674559</v>
      </c>
      <c r="G39" s="18" t="n">
        <v>59.74444016</v>
      </c>
      <c r="H39" s="20" t="n">
        <v>2.10053441</v>
      </c>
      <c r="I39" s="18" t="n">
        <v>0</v>
      </c>
      <c r="J39" s="20" t="n">
        <v>0</v>
      </c>
      <c r="K39" s="18" t="n">
        <v>0.60047298</v>
      </c>
      <c r="L39" s="20" t="n">
        <v>0.35586068</v>
      </c>
      <c r="M39" s="18" t="n">
        <v>0</v>
      </c>
      <c r="N39" s="20" t="n">
        <v>0</v>
      </c>
      <c r="O39" s="18" t="n">
        <v>0</v>
      </c>
      <c r="P39" s="20" t="n">
        <v>0</v>
      </c>
      <c r="Q39" s="18" t="n">
        <v>1.19667414</v>
      </c>
      <c r="R39" s="20" t="n">
        <v>0.37468686</v>
      </c>
    </row>
    <row r="40" spans="1:18">
      <c r="A40" s="15" t="s">
        <v>462</v>
      </c>
      <c r="B40" s="17" t="n">
        <v>14157</v>
      </c>
      <c r="C40" s="18">
        <f>(12457.0/B40*100)</f>
        <v/>
      </c>
      <c r="D40" s="19" t="n">
        <v>1700</v>
      </c>
      <c r="E40" s="18" t="n">
        <v>20.06273365</v>
      </c>
      <c r="F40" s="20" t="n">
        <v>1.61910989</v>
      </c>
      <c r="G40" s="18" t="n">
        <v>79.35940179000001</v>
      </c>
      <c r="H40" s="20" t="n">
        <v>1.59722052</v>
      </c>
      <c r="I40" s="18" t="n">
        <v>0</v>
      </c>
      <c r="J40" s="20" t="n">
        <v>0</v>
      </c>
      <c r="K40" s="18" t="n">
        <v>0.16354857</v>
      </c>
      <c r="L40" s="20" t="n">
        <v>0.05989644</v>
      </c>
      <c r="M40" s="18" t="n">
        <v>0</v>
      </c>
      <c r="N40" s="20" t="n">
        <v>0</v>
      </c>
      <c r="O40" s="18" t="n">
        <v>0</v>
      </c>
      <c r="P40" s="20" t="n">
        <v>0</v>
      </c>
      <c r="Q40" s="18" t="n">
        <v>0.41431599</v>
      </c>
      <c r="R40" s="20" t="n">
        <v>0.21610592</v>
      </c>
    </row>
    <row r="41" spans="1:18">
      <c r="A41" s="15" t="s">
        <v>463</v>
      </c>
      <c r="B41" s="17" t="n">
        <v>5712</v>
      </c>
      <c r="C41" s="18">
        <f>(5044.0/B41*100)</f>
        <v/>
      </c>
      <c r="D41" s="19" t="n">
        <v>668</v>
      </c>
      <c r="E41" s="18" t="n">
        <v>17.15833179</v>
      </c>
      <c r="F41" s="20" t="n">
        <v>1.79662665</v>
      </c>
      <c r="G41" s="18" t="n">
        <v>82.34710187</v>
      </c>
      <c r="H41" s="20" t="n">
        <v>1.75141784</v>
      </c>
      <c r="I41" s="18" t="n">
        <v>0</v>
      </c>
      <c r="J41" s="20" t="n">
        <v>0</v>
      </c>
      <c r="K41" s="18" t="n">
        <v>0.12369371</v>
      </c>
      <c r="L41" s="20" t="n">
        <v>0.13171671</v>
      </c>
      <c r="M41" s="18" t="n">
        <v>0</v>
      </c>
      <c r="N41" s="20" t="n">
        <v>0</v>
      </c>
      <c r="O41" s="18" t="n">
        <v>0</v>
      </c>
      <c r="P41" s="20" t="n">
        <v>0</v>
      </c>
      <c r="Q41" s="18" t="n">
        <v>0.37087262</v>
      </c>
      <c r="R41" s="20" t="n">
        <v>0.23005734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(20782.0/B46*100)</f>
        <v/>
      </c>
      <c r="D46" s="19" t="n">
        <v>2359</v>
      </c>
      <c r="E46" s="18" t="n">
        <v>35.19392145</v>
      </c>
      <c r="F46" s="20" t="n">
        <v>1.34544273</v>
      </c>
      <c r="G46" s="18" t="n">
        <v>62.51113997</v>
      </c>
      <c r="H46" s="20" t="n">
        <v>1.37286884</v>
      </c>
      <c r="I46" s="18" t="n">
        <v>0</v>
      </c>
      <c r="J46" s="20" t="n">
        <v>0</v>
      </c>
      <c r="K46" s="18" t="n">
        <v>1.16671496</v>
      </c>
      <c r="L46" s="20" t="n">
        <v>0.22466724</v>
      </c>
      <c r="M46" s="18" t="n">
        <v>0</v>
      </c>
      <c r="N46" s="20" t="n">
        <v>0</v>
      </c>
      <c r="O46" s="18" t="n">
        <v>0</v>
      </c>
      <c r="P46" s="20" t="n">
        <v>0</v>
      </c>
      <c r="Q46" s="18" t="n">
        <v>1.12822363</v>
      </c>
      <c r="R46" s="20" t="n">
        <v>0.24324371</v>
      </c>
    </row>
    <row r="47" spans="1:18">
      <c r="A47" s="15" t="s">
        <v>470</v>
      </c>
      <c r="B47" s="17" t="n">
        <v>5928</v>
      </c>
      <c r="C47" s="18">
        <f>(5209.0/B47*100)</f>
        <v/>
      </c>
      <c r="D47" s="19" t="n">
        <v>719</v>
      </c>
      <c r="E47" s="18" t="n">
        <v>32.62056054</v>
      </c>
      <c r="F47" s="20" t="n">
        <v>1.87408906</v>
      </c>
      <c r="G47" s="18" t="n">
        <v>65.57222001</v>
      </c>
      <c r="H47" s="20" t="n">
        <v>1.98473296</v>
      </c>
      <c r="I47" s="18" t="n">
        <v>0</v>
      </c>
      <c r="J47" s="20" t="n">
        <v>0</v>
      </c>
      <c r="K47" s="18" t="n">
        <v>0.83611802</v>
      </c>
      <c r="L47" s="20" t="n">
        <v>0.40166071</v>
      </c>
      <c r="M47" s="18" t="n">
        <v>0</v>
      </c>
      <c r="N47" s="20" t="n">
        <v>0</v>
      </c>
      <c r="O47" s="18" t="n">
        <v>0</v>
      </c>
      <c r="P47" s="20" t="n">
        <v>0</v>
      </c>
      <c r="Q47" s="18" t="n">
        <v>0.97110142</v>
      </c>
      <c r="R47" s="20" t="n">
        <v>0.39600752</v>
      </c>
    </row>
    <row r="48" spans="1:18">
      <c r="A48" s="15" t="s">
        <v>471</v>
      </c>
      <c r="B48" s="17" t="n">
        <v>9841</v>
      </c>
      <c r="C48" s="18">
        <f>(8620.0/B48*100)</f>
        <v/>
      </c>
      <c r="D48" s="19" t="n">
        <v>1221</v>
      </c>
      <c r="E48" s="18" t="n">
        <v>23.59545769</v>
      </c>
      <c r="F48" s="20" t="n">
        <v>1.59518408</v>
      </c>
      <c r="G48" s="18" t="n">
        <v>75.10589582999999</v>
      </c>
      <c r="H48" s="20" t="n">
        <v>1.58253341</v>
      </c>
      <c r="I48" s="18" t="n">
        <v>0</v>
      </c>
      <c r="J48" s="20" t="n">
        <v>0</v>
      </c>
      <c r="K48" s="18" t="n">
        <v>0.38397673</v>
      </c>
      <c r="L48" s="20" t="n">
        <v>0.19379688</v>
      </c>
      <c r="M48" s="18" t="n">
        <v>0</v>
      </c>
      <c r="N48" s="20" t="n">
        <v>0</v>
      </c>
      <c r="O48" s="18" t="n">
        <v>0</v>
      </c>
      <c r="P48" s="20" t="n">
        <v>0</v>
      </c>
      <c r="Q48" s="18" t="n">
        <v>0.91466974</v>
      </c>
      <c r="R48" s="20" t="n">
        <v>0.35663331</v>
      </c>
    </row>
    <row r="49" spans="1:18">
      <c r="A49" s="15" t="s">
        <v>472</v>
      </c>
      <c r="B49" s="17" t="n">
        <v>11795</v>
      </c>
      <c r="C49" s="18">
        <f>(10345.0/B49*100)</f>
        <v/>
      </c>
      <c r="D49" s="19" t="n">
        <v>1450</v>
      </c>
      <c r="E49" s="18" t="n">
        <v>24.30512147</v>
      </c>
      <c r="F49" s="20" t="n">
        <v>1.6096949</v>
      </c>
      <c r="G49" s="18" t="n">
        <v>73.4573249</v>
      </c>
      <c r="H49" s="20" t="n">
        <v>1.79547847</v>
      </c>
      <c r="I49" s="18" t="n">
        <v>0</v>
      </c>
      <c r="J49" s="20" t="n">
        <v>0</v>
      </c>
      <c r="K49" s="18" t="n">
        <v>1.17736788</v>
      </c>
      <c r="L49" s="20" t="n">
        <v>0.44364987</v>
      </c>
      <c r="M49" s="18" t="n">
        <v>0</v>
      </c>
      <c r="N49" s="20" t="n">
        <v>0</v>
      </c>
      <c r="O49" s="18" t="n">
        <v>0</v>
      </c>
      <c r="P49" s="20" t="n">
        <v>0</v>
      </c>
      <c r="Q49" s="18" t="n">
        <v>1.06018574</v>
      </c>
      <c r="R49" s="20" t="n">
        <v>0.51138904</v>
      </c>
    </row>
    <row r="50" spans="1:18">
      <c r="A50" s="15" t="s">
        <v>473</v>
      </c>
      <c r="B50" s="17" t="n">
        <v>6866</v>
      </c>
      <c r="C50" s="18">
        <f>(6127.0/B50*100)</f>
        <v/>
      </c>
      <c r="D50" s="19" t="n">
        <v>739</v>
      </c>
      <c r="E50" s="18" t="n">
        <v>21.43431083</v>
      </c>
      <c r="F50" s="20" t="n">
        <v>1.69072957</v>
      </c>
      <c r="G50" s="18" t="n">
        <v>76.87999915</v>
      </c>
      <c r="H50" s="20" t="n">
        <v>1.73214086</v>
      </c>
      <c r="I50" s="18" t="n">
        <v>0</v>
      </c>
      <c r="J50" s="20" t="n">
        <v>0</v>
      </c>
      <c r="K50" s="18" t="n">
        <v>0.90797027</v>
      </c>
      <c r="L50" s="20" t="n">
        <v>0.47394688</v>
      </c>
      <c r="M50" s="18" t="n">
        <v>0</v>
      </c>
      <c r="N50" s="20" t="n">
        <v>0</v>
      </c>
      <c r="O50" s="18" t="n">
        <v>0</v>
      </c>
      <c r="P50" s="20" t="n">
        <v>0</v>
      </c>
      <c r="Q50" s="18" t="n">
        <v>0.77771976</v>
      </c>
      <c r="R50" s="20" t="n">
        <v>0.32892237</v>
      </c>
    </row>
    <row r="51" spans="1:18">
      <c r="A51" s="15" t="s">
        <v>474</v>
      </c>
      <c r="B51" s="17" t="n">
        <v>5809</v>
      </c>
      <c r="C51" s="18">
        <f>(5092.0/B51*100)</f>
        <v/>
      </c>
      <c r="D51" s="19" t="n">
        <v>717</v>
      </c>
      <c r="E51" s="18" t="n">
        <v>23.41690351</v>
      </c>
      <c r="F51" s="20" t="n">
        <v>1.73987026</v>
      </c>
      <c r="G51" s="18" t="n">
        <v>75.54284121000001</v>
      </c>
      <c r="H51" s="20" t="n">
        <v>1.70841079</v>
      </c>
      <c r="I51" s="18" t="n">
        <v>0</v>
      </c>
      <c r="J51" s="20" t="n">
        <v>0</v>
      </c>
      <c r="K51" s="18" t="n">
        <v>0.31357133</v>
      </c>
      <c r="L51" s="20" t="n">
        <v>0.23022323</v>
      </c>
      <c r="M51" s="18" t="n">
        <v>0</v>
      </c>
      <c r="N51" s="20" t="n">
        <v>0</v>
      </c>
      <c r="O51" s="18" t="n">
        <v>0</v>
      </c>
      <c r="P51" s="20" t="n">
        <v>0</v>
      </c>
      <c r="Q51" s="18" t="n">
        <v>0.72668394</v>
      </c>
      <c r="R51" s="20" t="n">
        <v>0.32461577</v>
      </c>
    </row>
    <row r="52" spans="1:18">
      <c r="A52" s="15" t="s">
        <v>475</v>
      </c>
      <c r="B52" s="17" t="n">
        <v>5571</v>
      </c>
      <c r="C52" s="18">
        <f>(4895.0/B52*100)</f>
        <v/>
      </c>
      <c r="D52" s="19" t="n">
        <v>676</v>
      </c>
      <c r="E52" s="18" t="n">
        <v>35.97915716</v>
      </c>
      <c r="F52" s="20" t="n">
        <v>1.88152621</v>
      </c>
      <c r="G52" s="18" t="n">
        <v>62.63908448</v>
      </c>
      <c r="H52" s="20" t="n">
        <v>1.91228777</v>
      </c>
      <c r="I52" s="18" t="n">
        <v>0</v>
      </c>
      <c r="J52" s="20" t="n">
        <v>0</v>
      </c>
      <c r="K52" s="18" t="n">
        <v>0.7270999299999999</v>
      </c>
      <c r="L52" s="20" t="n">
        <v>0.33112417</v>
      </c>
      <c r="M52" s="18" t="n">
        <v>0</v>
      </c>
      <c r="N52" s="20" t="n">
        <v>0</v>
      </c>
      <c r="O52" s="18" t="n">
        <v>0</v>
      </c>
      <c r="P52" s="20" t="n">
        <v>0</v>
      </c>
      <c r="Q52" s="18" t="n">
        <v>0.65465844</v>
      </c>
      <c r="R52" s="20" t="n">
        <v>0.35068104</v>
      </c>
    </row>
    <row r="53" spans="1:18">
      <c r="A53" s="15" t="s">
        <v>476</v>
      </c>
      <c r="B53" s="17" t="n">
        <v>4740</v>
      </c>
      <c r="C53" s="18">
        <f>(3976.0/B53*100)</f>
        <v/>
      </c>
      <c r="D53" s="19" t="n">
        <v>764</v>
      </c>
      <c r="E53" s="18" t="n">
        <v>38.18253913</v>
      </c>
      <c r="F53" s="20" t="n">
        <v>2.02814182</v>
      </c>
      <c r="G53" s="18" t="n">
        <v>49.28725201</v>
      </c>
      <c r="H53" s="20" t="n">
        <v>2.07826226</v>
      </c>
      <c r="I53" s="18" t="n">
        <v>0</v>
      </c>
      <c r="J53" s="20" t="n">
        <v>0</v>
      </c>
      <c r="K53" s="18" t="n">
        <v>10.40175974</v>
      </c>
      <c r="L53" s="20" t="n">
        <v>1.07075014</v>
      </c>
      <c r="M53" s="18" t="n">
        <v>0</v>
      </c>
      <c r="N53" s="20" t="n">
        <v>0</v>
      </c>
      <c r="O53" s="18" t="n">
        <v>0</v>
      </c>
      <c r="P53" s="20" t="n">
        <v>0</v>
      </c>
      <c r="Q53" s="18" t="n">
        <v>2.12844912</v>
      </c>
      <c r="R53" s="20" t="n">
        <v>0.57521328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(4700.0/B55*100)</f>
        <v/>
      </c>
      <c r="D55" s="19" t="n">
        <v>659</v>
      </c>
      <c r="E55" s="18" t="n">
        <v>27.56482934</v>
      </c>
      <c r="F55" s="20" t="n">
        <v>1.94010708</v>
      </c>
      <c r="G55" s="18" t="n">
        <v>71.68750571</v>
      </c>
      <c r="H55" s="20" t="n">
        <v>2.03065239</v>
      </c>
      <c r="I55" s="18" t="n">
        <v>0</v>
      </c>
      <c r="J55" s="20" t="n">
        <v>0</v>
      </c>
      <c r="K55" s="18" t="n">
        <v>0.39422036</v>
      </c>
      <c r="L55" s="20" t="n">
        <v>0.27561752</v>
      </c>
      <c r="M55" s="18" t="n">
        <v>0</v>
      </c>
      <c r="N55" s="20" t="n">
        <v>0</v>
      </c>
      <c r="O55" s="18" t="n">
        <v>0</v>
      </c>
      <c r="P55" s="20" t="n">
        <v>0</v>
      </c>
      <c r="Q55" s="18" t="n">
        <v>0.3534446</v>
      </c>
      <c r="R55" s="20" t="n">
        <v>0.25299334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(5707.0/B61*100)</f>
        <v/>
      </c>
      <c r="D61" s="19" t="n">
        <v>818</v>
      </c>
      <c r="E61" s="18" t="n">
        <v>31.39360336</v>
      </c>
      <c r="F61" s="20" t="n">
        <v>1.89578995</v>
      </c>
      <c r="G61" s="18" t="n">
        <v>67.41118023999999</v>
      </c>
      <c r="H61" s="20" t="n">
        <v>1.92497893</v>
      </c>
      <c r="I61" s="18" t="n">
        <v>0</v>
      </c>
      <c r="J61" s="20" t="n">
        <v>0</v>
      </c>
      <c r="K61" s="18" t="n">
        <v>0.58430503</v>
      </c>
      <c r="L61" s="20" t="n">
        <v>0.27845957</v>
      </c>
      <c r="M61" s="18" t="n">
        <v>0</v>
      </c>
      <c r="N61" s="20" t="n">
        <v>0</v>
      </c>
      <c r="O61" s="18" t="n">
        <v>0</v>
      </c>
      <c r="P61" s="20" t="n">
        <v>0</v>
      </c>
      <c r="Q61" s="18" t="n">
        <v>0.61091137</v>
      </c>
      <c r="R61" s="20" t="n">
        <v>0.2718048</v>
      </c>
    </row>
    <row r="62" spans="1:18">
      <c r="A62" s="15" t="s">
        <v>486</v>
      </c>
      <c r="B62" s="17" t="n">
        <v>4476</v>
      </c>
      <c r="C62" s="18">
        <f>(3941.0/B62*100)</f>
        <v/>
      </c>
      <c r="D62" s="19" t="n">
        <v>535</v>
      </c>
      <c r="E62" s="18" t="n">
        <v>29.27814933</v>
      </c>
      <c r="F62" s="20" t="n">
        <v>1.82212464</v>
      </c>
      <c r="G62" s="18" t="n">
        <v>69.59136350999999</v>
      </c>
      <c r="H62" s="20" t="n">
        <v>1.88669707</v>
      </c>
      <c r="I62" s="18" t="n">
        <v>0</v>
      </c>
      <c r="J62" s="20" t="n">
        <v>0</v>
      </c>
      <c r="K62" s="18" t="n">
        <v>0.18564471</v>
      </c>
      <c r="L62" s="20" t="n">
        <v>0.1871966</v>
      </c>
      <c r="M62" s="18" t="n">
        <v>0</v>
      </c>
      <c r="N62" s="20" t="n">
        <v>0</v>
      </c>
      <c r="O62" s="18" t="n">
        <v>0</v>
      </c>
      <c r="P62" s="20" t="n">
        <v>0</v>
      </c>
      <c r="Q62" s="18" t="n">
        <v>0.94484245</v>
      </c>
      <c r="R62" s="20" t="n">
        <v>0.41235823</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(4991.0/B67*100)</f>
        <v/>
      </c>
      <c r="D67" s="19" t="n">
        <v>674</v>
      </c>
      <c r="E67" s="18" t="n">
        <v>35.453029</v>
      </c>
      <c r="F67" s="20" t="n">
        <v>1.97905679</v>
      </c>
      <c r="G67" s="18" t="n">
        <v>61.35790643</v>
      </c>
      <c r="H67" s="20" t="n">
        <v>2.02195819</v>
      </c>
      <c r="I67" s="18" t="n">
        <v>0</v>
      </c>
      <c r="J67" s="20" t="n">
        <v>0</v>
      </c>
      <c r="K67" s="18" t="n">
        <v>0.83458643</v>
      </c>
      <c r="L67" s="20" t="n">
        <v>0.34343736</v>
      </c>
      <c r="M67" s="18" t="n">
        <v>0</v>
      </c>
      <c r="N67" s="20" t="n">
        <v>0</v>
      </c>
      <c r="O67" s="18" t="n">
        <v>0</v>
      </c>
      <c r="P67" s="20" t="n">
        <v>0</v>
      </c>
      <c r="Q67" s="18" t="n">
        <v>2.35447814</v>
      </c>
      <c r="R67" s="20" t="n">
        <v>0.61405537</v>
      </c>
    </row>
    <row r="68" spans="1:18">
      <c r="A68" s="15" t="s">
        <v>492</v>
      </c>
      <c r="B68" s="17" t="n">
        <v>6971</v>
      </c>
      <c r="C68" s="18">
        <f>(6204.0/B68*100)</f>
        <v/>
      </c>
      <c r="D68" s="19" t="n">
        <v>767</v>
      </c>
      <c r="E68" s="18" t="n">
        <v>28.87303265</v>
      </c>
      <c r="F68" s="20" t="n">
        <v>1.73442685</v>
      </c>
      <c r="G68" s="18" t="n">
        <v>70.42972709</v>
      </c>
      <c r="H68" s="20" t="n">
        <v>1.72690757</v>
      </c>
      <c r="I68" s="18" t="n">
        <v>0</v>
      </c>
      <c r="J68" s="20" t="n">
        <v>0</v>
      </c>
      <c r="K68" s="18" t="n">
        <v>0.21070837</v>
      </c>
      <c r="L68" s="20" t="n">
        <v>0.15240429</v>
      </c>
      <c r="M68" s="18" t="n">
        <v>0</v>
      </c>
      <c r="N68" s="20" t="n">
        <v>0</v>
      </c>
      <c r="O68" s="18" t="n">
        <v>0</v>
      </c>
      <c r="P68" s="20" t="n">
        <v>0</v>
      </c>
      <c r="Q68" s="18" t="n">
        <v>0.48653189</v>
      </c>
      <c r="R68" s="20" t="n">
        <v>0.28397173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(10071.0/B70*100)</f>
        <v/>
      </c>
      <c r="D70" s="19" t="n">
        <v>2012</v>
      </c>
      <c r="E70" s="18" t="n">
        <v>44.44321668</v>
      </c>
      <c r="F70" s="20" t="n">
        <v>1.01184758</v>
      </c>
      <c r="G70" s="18" t="n">
        <v>52.27437227</v>
      </c>
      <c r="H70" s="20" t="n">
        <v>1.01311063</v>
      </c>
      <c r="I70" s="18" t="n">
        <v>0</v>
      </c>
      <c r="J70" s="20" t="n">
        <v>0</v>
      </c>
      <c r="K70" s="18" t="n">
        <v>2.03089047</v>
      </c>
      <c r="L70" s="20" t="n">
        <v>0.33409927</v>
      </c>
      <c r="M70" s="18" t="n">
        <v>0</v>
      </c>
      <c r="N70" s="20" t="n">
        <v>0</v>
      </c>
      <c r="O70" s="18" t="n">
        <v>0</v>
      </c>
      <c r="P70" s="20" t="n">
        <v>0</v>
      </c>
      <c r="Q70" s="18" t="n">
        <v>1.25152058</v>
      </c>
      <c r="R70" s="20" t="n">
        <v>0.23779119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(5324.0/B72*100)</f>
        <v/>
      </c>
      <c r="D72" s="19" t="n">
        <v>712</v>
      </c>
      <c r="E72" s="18" t="n">
        <v>18.2410219</v>
      </c>
      <c r="F72" s="20" t="n">
        <v>1.61512061</v>
      </c>
      <c r="G72" s="18" t="n">
        <v>80.93527582</v>
      </c>
      <c r="H72" s="20" t="n">
        <v>1.67516235</v>
      </c>
      <c r="I72" s="18" t="n">
        <v>0</v>
      </c>
      <c r="J72" s="20" t="n">
        <v>0</v>
      </c>
      <c r="K72" s="18" t="n">
        <v>0.3121113</v>
      </c>
      <c r="L72" s="20" t="n">
        <v>0.21653008</v>
      </c>
      <c r="M72" s="18" t="n">
        <v>0</v>
      </c>
      <c r="N72" s="20" t="n">
        <v>0</v>
      </c>
      <c r="O72" s="18" t="n">
        <v>0</v>
      </c>
      <c r="P72" s="20" t="n">
        <v>0</v>
      </c>
      <c r="Q72" s="18" t="n">
        <v>0.51159098</v>
      </c>
      <c r="R72" s="20" t="n">
        <v>0.25885158</v>
      </c>
    </row>
    <row r="73" spans="1:18">
      <c r="A73" s="15" t="s">
        <v>497</v>
      </c>
      <c r="B73" s="17" t="n">
        <v>6115</v>
      </c>
      <c r="C73" s="18">
        <f>(5374.0/B73*100)</f>
        <v/>
      </c>
      <c r="D73" s="19" t="n">
        <v>741</v>
      </c>
      <c r="E73" s="18" t="n">
        <v>11.98990801</v>
      </c>
      <c r="F73" s="20" t="n">
        <v>1.29215952</v>
      </c>
      <c r="G73" s="18" t="n">
        <v>87.32145666</v>
      </c>
      <c r="H73" s="20" t="n">
        <v>1.25731872</v>
      </c>
      <c r="I73" s="18" t="n">
        <v>0</v>
      </c>
      <c r="J73" s="20" t="n">
        <v>0</v>
      </c>
      <c r="K73" s="18" t="n">
        <v>0.45329532</v>
      </c>
      <c r="L73" s="20" t="n">
        <v>0.14594101</v>
      </c>
      <c r="M73" s="18" t="n">
        <v>0</v>
      </c>
      <c r="N73" s="20" t="n">
        <v>0</v>
      </c>
      <c r="O73" s="18" t="n">
        <v>0</v>
      </c>
      <c r="P73" s="20" t="n">
        <v>0</v>
      </c>
      <c r="Q73" s="18" t="n">
        <v>0.23534001</v>
      </c>
      <c r="R73" s="20" t="n">
        <v>0.17529841</v>
      </c>
    </row>
    <row r="74" spans="1:18">
      <c r="A74" s="15" t="s">
        <v>498</v>
      </c>
      <c r="B74" s="17" t="n">
        <v>7708</v>
      </c>
      <c r="C74" s="18">
        <f>(6746.0/B74*100)</f>
        <v/>
      </c>
      <c r="D74" s="19" t="n">
        <v>962</v>
      </c>
      <c r="E74" s="18" t="n">
        <v>19.3205544</v>
      </c>
      <c r="F74" s="20" t="n">
        <v>1.31713977</v>
      </c>
      <c r="G74" s="18" t="n">
        <v>80.17649016</v>
      </c>
      <c r="H74" s="20" t="n">
        <v>1.32571837</v>
      </c>
      <c r="I74" s="18" t="n">
        <v>0</v>
      </c>
      <c r="J74" s="20" t="n">
        <v>0</v>
      </c>
      <c r="K74" s="18" t="n">
        <v>0.12377158</v>
      </c>
      <c r="L74" s="20" t="n">
        <v>0.09051309</v>
      </c>
      <c r="M74" s="18" t="n">
        <v>0</v>
      </c>
      <c r="N74" s="20" t="n">
        <v>0</v>
      </c>
      <c r="O74" s="18" t="n">
        <v>0</v>
      </c>
      <c r="P74" s="20" t="n">
        <v>0</v>
      </c>
      <c r="Q74" s="18" t="n">
        <v>0.37918386</v>
      </c>
      <c r="R74" s="20" t="n">
        <v>0.19518193</v>
      </c>
    </row>
    <row r="75" spans="1:18">
      <c r="A75" s="15" t="s">
        <v>499</v>
      </c>
      <c r="B75" s="17" t="n">
        <v>8249</v>
      </c>
      <c r="C75" s="18">
        <f>(7243.0/B75*100)</f>
        <v/>
      </c>
      <c r="D75" s="19" t="n">
        <v>1006</v>
      </c>
      <c r="E75" s="18" t="n">
        <v>34.48145724</v>
      </c>
      <c r="F75" s="20" t="n">
        <v>1.94278297</v>
      </c>
      <c r="G75" s="18" t="n">
        <v>64.10252661</v>
      </c>
      <c r="H75" s="20" t="n">
        <v>2.03259573</v>
      </c>
      <c r="I75" s="18" t="n">
        <v>0</v>
      </c>
      <c r="J75" s="20" t="n">
        <v>0</v>
      </c>
      <c r="K75" s="18" t="n">
        <v>0</v>
      </c>
      <c r="L75" s="20" t="n">
        <v>0</v>
      </c>
      <c r="M75" s="18" t="n">
        <v>0</v>
      </c>
      <c r="N75" s="20" t="n">
        <v>0</v>
      </c>
      <c r="O75" s="18" t="n">
        <v>0</v>
      </c>
      <c r="P75" s="20" t="n">
        <v>0</v>
      </c>
      <c r="Q75" s="18" t="n">
        <v>1.41601615</v>
      </c>
      <c r="R75" s="20" t="n">
        <v>0.48155308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(4787.0/B77*100)</f>
        <v/>
      </c>
      <c r="D77" s="19" t="n">
        <v>588</v>
      </c>
      <c r="E77" s="18" t="n">
        <v>44.80796351</v>
      </c>
      <c r="F77" s="20" t="n">
        <v>1.95170915</v>
      </c>
      <c r="G77" s="18" t="n">
        <v>50.12021654</v>
      </c>
      <c r="H77" s="20" t="n">
        <v>1.94713062</v>
      </c>
      <c r="I77" s="18" t="n">
        <v>0</v>
      </c>
      <c r="J77" s="20" t="n">
        <v>0</v>
      </c>
      <c r="K77" s="18" t="n">
        <v>3.27507523</v>
      </c>
      <c r="L77" s="20" t="n">
        <v>0.76207059</v>
      </c>
      <c r="M77" s="18" t="n">
        <v>0</v>
      </c>
      <c r="N77" s="20" t="n">
        <v>0</v>
      </c>
      <c r="O77" s="18" t="n">
        <v>0</v>
      </c>
      <c r="P77" s="20" t="n">
        <v>0</v>
      </c>
      <c r="Q77" s="18" t="n">
        <v>1.79674472</v>
      </c>
      <c r="R77" s="20" t="n">
        <v>0.58982802</v>
      </c>
    </row>
    <row r="78" spans="1:18">
      <c r="A78" s="15" t="s">
        <v>502</v>
      </c>
      <c r="B78" s="17" t="n">
        <v>14167</v>
      </c>
      <c r="C78" s="18">
        <f>(12483.0/B78*100)</f>
        <v/>
      </c>
      <c r="D78" s="19" t="n">
        <v>1684</v>
      </c>
      <c r="E78" s="18" t="n">
        <v>38.07233268</v>
      </c>
      <c r="F78" s="20" t="n">
        <v>1.73893686</v>
      </c>
      <c r="G78" s="18" t="n">
        <v>59.99924642</v>
      </c>
      <c r="H78" s="20" t="n">
        <v>1.7663896</v>
      </c>
      <c r="I78" s="18" t="n">
        <v>0</v>
      </c>
      <c r="J78" s="20" t="n">
        <v>0</v>
      </c>
      <c r="K78" s="18" t="n">
        <v>0.82836762</v>
      </c>
      <c r="L78" s="20" t="n">
        <v>0.24986173</v>
      </c>
      <c r="M78" s="18" t="n">
        <v>0</v>
      </c>
      <c r="N78" s="20" t="n">
        <v>0</v>
      </c>
      <c r="O78" s="18" t="n">
        <v>0</v>
      </c>
      <c r="P78" s="20" t="n">
        <v>0</v>
      </c>
      <c r="Q78" s="18" t="n">
        <v>1.10005328</v>
      </c>
      <c r="R78" s="20" t="n">
        <v>0.30627643</v>
      </c>
    </row>
    <row r="79" spans="1:18">
      <c r="A79" s="15" t="s">
        <v>503</v>
      </c>
      <c r="B79" s="17" t="n">
        <v>6062</v>
      </c>
      <c r="C79" s="18">
        <f>(5326.0/B79*100)</f>
        <v/>
      </c>
      <c r="D79" s="19" t="n">
        <v>736</v>
      </c>
      <c r="E79" s="18" t="n">
        <v>24.69017396</v>
      </c>
      <c r="F79" s="20" t="n">
        <v>1.93907275</v>
      </c>
      <c r="G79" s="18" t="n">
        <v>73.74054602</v>
      </c>
      <c r="H79" s="20" t="n">
        <v>2.02876281</v>
      </c>
      <c r="I79" s="18" t="n">
        <v>0</v>
      </c>
      <c r="J79" s="20" t="n">
        <v>0</v>
      </c>
      <c r="K79" s="18" t="n">
        <v>1.00160643</v>
      </c>
      <c r="L79" s="20" t="n">
        <v>0.42308243</v>
      </c>
      <c r="M79" s="18" t="n">
        <v>0</v>
      </c>
      <c r="N79" s="20" t="n">
        <v>0</v>
      </c>
      <c r="O79" s="18" t="n">
        <v>0</v>
      </c>
      <c r="P79" s="20" t="n">
        <v>0</v>
      </c>
      <c r="Q79" s="18" t="n">
        <v>0.56767359</v>
      </c>
      <c r="R79" s="20" t="n">
        <v>0.23434013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(28352.0/B82*100)</f>
        <v/>
      </c>
      <c r="D82" s="19" t="n">
        <v>3978</v>
      </c>
      <c r="E82" s="18" t="n">
        <v>18.06473067</v>
      </c>
      <c r="F82" s="20" t="n">
        <v>1.00701902</v>
      </c>
      <c r="G82" s="18" t="n">
        <v>80.87836311</v>
      </c>
      <c r="H82" s="20" t="n">
        <v>1.06893067</v>
      </c>
      <c r="I82" s="18" t="n">
        <v>0</v>
      </c>
      <c r="J82" s="20" t="n">
        <v>0</v>
      </c>
      <c r="K82" s="18" t="n">
        <v>0.27791801</v>
      </c>
      <c r="L82" s="20" t="n">
        <v>0.10741178</v>
      </c>
      <c r="M82" s="18" t="n">
        <v>0</v>
      </c>
      <c r="N82" s="20" t="n">
        <v>0</v>
      </c>
      <c r="O82" s="18" t="n">
        <v>0</v>
      </c>
      <c r="P82" s="20" t="n">
        <v>0</v>
      </c>
      <c r="Q82" s="18" t="n">
        <v>0.77898821</v>
      </c>
      <c r="R82" s="20" t="n">
        <v>0.22806545</v>
      </c>
    </row>
    <row r="83" spans="1:18">
      <c r="A83" s="15" t="s">
        <v>507</v>
      </c>
      <c r="B83" s="17" t="n">
        <v>1652</v>
      </c>
      <c r="C83" s="18">
        <f>(1459.0/B83*100)</f>
        <v/>
      </c>
      <c r="D83" s="19" t="n">
        <v>193</v>
      </c>
      <c r="E83" s="18" t="n">
        <v>13.82788382</v>
      </c>
      <c r="F83" s="20" t="n">
        <v>2.6097991</v>
      </c>
      <c r="G83" s="18" t="n">
        <v>84.98834404999999</v>
      </c>
      <c r="H83" s="20" t="n">
        <v>2.54352189</v>
      </c>
      <c r="I83" s="18" t="n">
        <v>0</v>
      </c>
      <c r="J83" s="20" t="n">
        <v>0</v>
      </c>
      <c r="K83" s="18" t="n">
        <v>0</v>
      </c>
      <c r="L83" s="20" t="n">
        <v>0</v>
      </c>
      <c r="M83" s="18" t="n">
        <v>0</v>
      </c>
      <c r="N83" s="20" t="n">
        <v>0</v>
      </c>
      <c r="O83" s="18" t="n">
        <v>0</v>
      </c>
      <c r="P83" s="20" t="n">
        <v>0</v>
      </c>
      <c r="Q83" s="18" t="n">
        <v>1.18377213</v>
      </c>
      <c r="R83" s="20" t="n">
        <v>0.80706532</v>
      </c>
    </row>
    <row r="84" spans="1:18">
      <c r="A84" s="23" t="s">
        <v>508</v>
      </c>
      <c r="B84" s="24" t="n">
        <v>1887</v>
      </c>
      <c r="C84" s="25">
        <f>(1661.0/B84*100)</f>
        <v/>
      </c>
      <c r="D84" s="19" t="n">
        <v>226</v>
      </c>
      <c r="E84" s="18" t="n">
        <v>15.24187026</v>
      </c>
      <c r="F84" s="20" t="n">
        <v>2.39153926</v>
      </c>
      <c r="G84" s="18" t="n">
        <v>84.75812974</v>
      </c>
      <c r="H84" s="20" t="n">
        <v>2.39153926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(12818.0/B7*100)</f>
        <v/>
      </c>
      <c r="D7" s="19" t="n">
        <v>1712</v>
      </c>
      <c r="E7" s="18" t="n">
        <v>37.21640512</v>
      </c>
      <c r="F7" s="20" t="n">
        <v>1.60503657</v>
      </c>
      <c r="G7" s="18" t="n">
        <v>49.43304809</v>
      </c>
      <c r="H7" s="20" t="n">
        <v>1.65286168</v>
      </c>
      <c r="I7" s="18" t="n">
        <v>0</v>
      </c>
      <c r="J7" s="20" t="n">
        <v>0</v>
      </c>
      <c r="K7" s="18" t="n">
        <v>1.26341748</v>
      </c>
      <c r="L7" s="20" t="n">
        <v>0.33297995</v>
      </c>
      <c r="M7" s="18" t="n">
        <v>0.03350453</v>
      </c>
      <c r="N7" s="20" t="n">
        <v>0.02209831</v>
      </c>
      <c r="O7" s="18" t="n">
        <v>0</v>
      </c>
      <c r="P7" s="20" t="n">
        <v>0</v>
      </c>
      <c r="Q7" s="18" t="n">
        <v>12.05362478</v>
      </c>
      <c r="R7" s="20" t="n">
        <v>0.93382999</v>
      </c>
    </row>
    <row r="8" spans="1:18">
      <c r="A8" s="15" t="s">
        <v>430</v>
      </c>
      <c r="B8" s="17" t="n">
        <v>7007</v>
      </c>
      <c r="C8" s="18">
        <f>(6185.0/B8*100)</f>
        <v/>
      </c>
      <c r="D8" s="19" t="n">
        <v>822</v>
      </c>
      <c r="E8" s="18" t="n">
        <v>27.20366716</v>
      </c>
      <c r="F8" s="20" t="n">
        <v>1.54384723</v>
      </c>
      <c r="G8" s="18" t="n">
        <v>56.69056861</v>
      </c>
      <c r="H8" s="20" t="n">
        <v>1.72296882</v>
      </c>
      <c r="I8" s="18" t="n">
        <v>0</v>
      </c>
      <c r="J8" s="20" t="n">
        <v>0</v>
      </c>
      <c r="K8" s="18" t="n">
        <v>0.73092025</v>
      </c>
      <c r="L8" s="20" t="n">
        <v>0.2556872</v>
      </c>
      <c r="M8" s="18" t="n">
        <v>0</v>
      </c>
      <c r="N8" s="20" t="n">
        <v>0</v>
      </c>
      <c r="O8" s="18" t="n">
        <v>0</v>
      </c>
      <c r="P8" s="20" t="n">
        <v>0</v>
      </c>
      <c r="Q8" s="18" t="n">
        <v>15.37484397</v>
      </c>
      <c r="R8" s="20" t="n">
        <v>1.65654313</v>
      </c>
    </row>
    <row r="9" spans="1:18">
      <c r="A9" s="15" t="s">
        <v>431</v>
      </c>
      <c r="B9" s="17" t="n">
        <v>9651</v>
      </c>
      <c r="C9" s="18">
        <f>(8536.0/B9*100)</f>
        <v/>
      </c>
      <c r="D9" s="19" t="n">
        <v>1115</v>
      </c>
      <c r="E9" s="18" t="n">
        <v>36.38360021</v>
      </c>
      <c r="F9" s="20" t="n">
        <v>1.33633869</v>
      </c>
      <c r="G9" s="18" t="n">
        <v>47.75919691</v>
      </c>
      <c r="H9" s="20" t="n">
        <v>1.61864784</v>
      </c>
      <c r="I9" s="18" t="n">
        <v>0</v>
      </c>
      <c r="J9" s="20" t="n">
        <v>0</v>
      </c>
      <c r="K9" s="18" t="n">
        <v>1.01795961</v>
      </c>
      <c r="L9" s="20" t="n">
        <v>0.42294244</v>
      </c>
      <c r="M9" s="18" t="n">
        <v>0.15312878</v>
      </c>
      <c r="N9" s="20" t="n">
        <v>0.11030172</v>
      </c>
      <c r="O9" s="18" t="n">
        <v>0</v>
      </c>
      <c r="P9" s="20" t="n">
        <v>0</v>
      </c>
      <c r="Q9" s="18" t="n">
        <v>14.68611449</v>
      </c>
      <c r="R9" s="20" t="n">
        <v>1.12116907</v>
      </c>
    </row>
    <row r="10" spans="1:18">
      <c r="A10" s="15" t="s">
        <v>432</v>
      </c>
      <c r="B10" s="17" t="n">
        <v>20058</v>
      </c>
      <c r="C10" s="18">
        <f>(17626.0/B10*100)</f>
        <v/>
      </c>
      <c r="D10" s="19" t="n">
        <v>2432</v>
      </c>
      <c r="E10" s="18" t="n">
        <v>30.57731054</v>
      </c>
      <c r="F10" s="20" t="n">
        <v>1.01186959</v>
      </c>
      <c r="G10" s="18" t="n">
        <v>63.10228212</v>
      </c>
      <c r="H10" s="20" t="n">
        <v>1.25780187</v>
      </c>
      <c r="I10" s="18" t="n">
        <v>0</v>
      </c>
      <c r="J10" s="20" t="n">
        <v>0</v>
      </c>
      <c r="K10" s="18" t="n">
        <v>0.84361486</v>
      </c>
      <c r="L10" s="20" t="n">
        <v>0.27779042</v>
      </c>
      <c r="M10" s="18" t="n">
        <v>0.08303146</v>
      </c>
      <c r="N10" s="20" t="n">
        <v>0.08421984</v>
      </c>
      <c r="O10" s="18" t="n">
        <v>0</v>
      </c>
      <c r="P10" s="20" t="n">
        <v>0</v>
      </c>
      <c r="Q10" s="18" t="n">
        <v>5.39376103</v>
      </c>
      <c r="R10" s="20" t="n">
        <v>0.71972923</v>
      </c>
    </row>
    <row r="11" spans="1:18">
      <c r="A11" s="15" t="s">
        <v>433</v>
      </c>
      <c r="B11" s="17" t="n">
        <v>7053</v>
      </c>
      <c r="C11" s="18">
        <f>(6200.0/B11*100)</f>
        <v/>
      </c>
      <c r="D11" s="19" t="n">
        <v>853</v>
      </c>
      <c r="E11" s="18" t="n">
        <v>43.6546026</v>
      </c>
      <c r="F11" s="20" t="n">
        <v>1.72067819</v>
      </c>
      <c r="G11" s="18" t="n">
        <v>39.34232255</v>
      </c>
      <c r="H11" s="20" t="n">
        <v>1.80827705</v>
      </c>
      <c r="I11" s="18" t="n">
        <v>0</v>
      </c>
      <c r="J11" s="20" t="n">
        <v>0</v>
      </c>
      <c r="K11" s="18" t="n">
        <v>1.28683786</v>
      </c>
      <c r="L11" s="20" t="n">
        <v>0.54950402</v>
      </c>
      <c r="M11" s="18" t="n">
        <v>0.05180023</v>
      </c>
      <c r="N11" s="20" t="n">
        <v>0.05649994</v>
      </c>
      <c r="O11" s="18" t="n">
        <v>0</v>
      </c>
      <c r="P11" s="20" t="n">
        <v>0</v>
      </c>
      <c r="Q11" s="18" t="n">
        <v>15.66443676</v>
      </c>
      <c r="R11" s="20" t="n">
        <v>1.4390499</v>
      </c>
    </row>
    <row r="12" spans="1:18">
      <c r="A12" s="15" t="s">
        <v>434</v>
      </c>
      <c r="B12" s="17" t="n">
        <v>6894</v>
      </c>
      <c r="C12" s="18">
        <f>(6055.0/B12*100)</f>
        <v/>
      </c>
      <c r="D12" s="19" t="n">
        <v>839</v>
      </c>
      <c r="E12" s="18" t="n">
        <v>32.8041523</v>
      </c>
      <c r="F12" s="20" t="n">
        <v>1.87674198</v>
      </c>
      <c r="G12" s="18" t="n">
        <v>44.90321534</v>
      </c>
      <c r="H12" s="20" t="n">
        <v>1.82098377</v>
      </c>
      <c r="I12" s="18" t="n">
        <v>0</v>
      </c>
      <c r="J12" s="20" t="n">
        <v>0</v>
      </c>
      <c r="K12" s="18" t="n">
        <v>1.60838349</v>
      </c>
      <c r="L12" s="20" t="n">
        <v>0.59336517</v>
      </c>
      <c r="M12" s="18" t="n">
        <v>0.07126349999999999</v>
      </c>
      <c r="N12" s="20" t="n">
        <v>0.09517602</v>
      </c>
      <c r="O12" s="18" t="n">
        <v>0</v>
      </c>
      <c r="P12" s="20" t="n">
        <v>0</v>
      </c>
      <c r="Q12" s="18" t="n">
        <v>20.61298537</v>
      </c>
      <c r="R12" s="20" t="n">
        <v>1.72949716</v>
      </c>
    </row>
    <row r="13" spans="1:18">
      <c r="A13" s="15" t="s">
        <v>435</v>
      </c>
      <c r="B13" s="17" t="n">
        <v>7161</v>
      </c>
      <c r="C13" s="18">
        <f>(6339.0/B13*100)</f>
        <v/>
      </c>
      <c r="D13" s="19" t="n">
        <v>822</v>
      </c>
      <c r="E13" s="18" t="n">
        <v>25.64182913</v>
      </c>
      <c r="F13" s="20" t="n">
        <v>1.63216358</v>
      </c>
      <c r="G13" s="18" t="n">
        <v>61.75861216</v>
      </c>
      <c r="H13" s="20" t="n">
        <v>2.15282456</v>
      </c>
      <c r="I13" s="18" t="n">
        <v>0</v>
      </c>
      <c r="J13" s="20" t="n">
        <v>0</v>
      </c>
      <c r="K13" s="18" t="n">
        <v>1.15261708</v>
      </c>
      <c r="L13" s="20" t="n">
        <v>0.49494283</v>
      </c>
      <c r="M13" s="18" t="n">
        <v>0.03730304</v>
      </c>
      <c r="N13" s="20" t="n">
        <v>0.03729528</v>
      </c>
      <c r="O13" s="18" t="n">
        <v>0</v>
      </c>
      <c r="P13" s="20" t="n">
        <v>0</v>
      </c>
      <c r="Q13" s="18" t="n">
        <v>11.40963859</v>
      </c>
      <c r="R13" s="20" t="n">
        <v>1.35717038</v>
      </c>
    </row>
    <row r="14" spans="1:18">
      <c r="A14" s="15" t="s">
        <v>436</v>
      </c>
      <c r="B14" s="17" t="n">
        <v>5587</v>
      </c>
      <c r="C14" s="18">
        <f>(4922.0/B14*100)</f>
        <v/>
      </c>
      <c r="D14" s="19" t="n">
        <v>665</v>
      </c>
      <c r="E14" s="18" t="n">
        <v>33.0536461</v>
      </c>
      <c r="F14" s="20" t="n">
        <v>2.27687251</v>
      </c>
      <c r="G14" s="18" t="n">
        <v>56.62584157</v>
      </c>
      <c r="H14" s="20" t="n">
        <v>2.18964529</v>
      </c>
      <c r="I14" s="18" t="n">
        <v>0</v>
      </c>
      <c r="J14" s="20" t="n">
        <v>0</v>
      </c>
      <c r="K14" s="18" t="n">
        <v>0.38457131</v>
      </c>
      <c r="L14" s="20" t="n">
        <v>0.13050608</v>
      </c>
      <c r="M14" s="18" t="n">
        <v>0</v>
      </c>
      <c r="N14" s="20" t="n">
        <v>0</v>
      </c>
      <c r="O14" s="18" t="n">
        <v>0</v>
      </c>
      <c r="P14" s="20" t="n">
        <v>0</v>
      </c>
      <c r="Q14" s="18" t="n">
        <v>9.93594102</v>
      </c>
      <c r="R14" s="20" t="n">
        <v>1.29731817</v>
      </c>
    </row>
    <row r="15" spans="1:18">
      <c r="A15" s="15" t="s">
        <v>437</v>
      </c>
      <c r="B15" s="17" t="n">
        <v>5882</v>
      </c>
      <c r="C15" s="18">
        <f>(5149.0/B15*100)</f>
        <v/>
      </c>
      <c r="D15" s="19" t="n">
        <v>733</v>
      </c>
      <c r="E15" s="18" t="n">
        <v>28.40084606</v>
      </c>
      <c r="F15" s="20" t="n">
        <v>1.85698323</v>
      </c>
      <c r="G15" s="18" t="n">
        <v>58.20208203</v>
      </c>
      <c r="H15" s="20" t="n">
        <v>2.17159195</v>
      </c>
      <c r="I15" s="18" t="n">
        <v>0</v>
      </c>
      <c r="J15" s="20" t="n">
        <v>0</v>
      </c>
      <c r="K15" s="18" t="n">
        <v>1.65071679</v>
      </c>
      <c r="L15" s="20" t="n">
        <v>0.4655185</v>
      </c>
      <c r="M15" s="18" t="n">
        <v>0</v>
      </c>
      <c r="N15" s="20" t="n">
        <v>0</v>
      </c>
      <c r="O15" s="18" t="n">
        <v>0</v>
      </c>
      <c r="P15" s="20" t="n">
        <v>0</v>
      </c>
      <c r="Q15" s="18" t="n">
        <v>11.74635513</v>
      </c>
      <c r="R15" s="20" t="n">
        <v>1.18713385</v>
      </c>
    </row>
    <row r="16" spans="1:18">
      <c r="A16" s="15" t="s">
        <v>438</v>
      </c>
      <c r="B16" s="17" t="n">
        <v>6108</v>
      </c>
      <c r="C16" s="18">
        <f>(5344.0/B16*100)</f>
        <v/>
      </c>
      <c r="D16" s="19" t="n">
        <v>764</v>
      </c>
      <c r="E16" s="18" t="n">
        <v>24.08979031</v>
      </c>
      <c r="F16" s="20" t="n">
        <v>1.42608444</v>
      </c>
      <c r="G16" s="18" t="n">
        <v>53.97380411</v>
      </c>
      <c r="H16" s="20" t="n">
        <v>1.58418175</v>
      </c>
      <c r="I16" s="18" t="n">
        <v>0</v>
      </c>
      <c r="J16" s="20" t="n">
        <v>0</v>
      </c>
      <c r="K16" s="18" t="n">
        <v>2.34953381</v>
      </c>
      <c r="L16" s="20" t="n">
        <v>0.59584436</v>
      </c>
      <c r="M16" s="18" t="n">
        <v>0.14591803</v>
      </c>
      <c r="N16" s="20" t="n">
        <v>0.14539743</v>
      </c>
      <c r="O16" s="18" t="n">
        <v>0</v>
      </c>
      <c r="P16" s="20" t="n">
        <v>0</v>
      </c>
      <c r="Q16" s="18" t="n">
        <v>19.44095374</v>
      </c>
      <c r="R16" s="20" t="n">
        <v>1.22484652</v>
      </c>
    </row>
    <row r="17" spans="1:18">
      <c r="A17" s="15" t="s">
        <v>439</v>
      </c>
      <c r="B17" s="17" t="n">
        <v>6504</v>
      </c>
      <c r="C17" s="18">
        <f>(5727.0/B17*100)</f>
        <v/>
      </c>
      <c r="D17" s="19" t="n">
        <v>777</v>
      </c>
      <c r="E17" s="18" t="n">
        <v>30.14655717</v>
      </c>
      <c r="F17" s="20" t="n">
        <v>1.64625958</v>
      </c>
      <c r="G17" s="18" t="n">
        <v>57.10091592</v>
      </c>
      <c r="H17" s="20" t="n">
        <v>1.97815967</v>
      </c>
      <c r="I17" s="18" t="n">
        <v>0</v>
      </c>
      <c r="J17" s="20" t="n">
        <v>0</v>
      </c>
      <c r="K17" s="18" t="n">
        <v>1.32995869</v>
      </c>
      <c r="L17" s="20" t="n">
        <v>0.43887907</v>
      </c>
      <c r="M17" s="18" t="n">
        <v>0</v>
      </c>
      <c r="N17" s="20" t="n">
        <v>0</v>
      </c>
      <c r="O17" s="18" t="n">
        <v>0</v>
      </c>
      <c r="P17" s="20" t="n">
        <v>0</v>
      </c>
      <c r="Q17" s="18" t="n">
        <v>11.42256822</v>
      </c>
      <c r="R17" s="20" t="n">
        <v>1.21187572</v>
      </c>
    </row>
    <row r="18" spans="1:18">
      <c r="A18" s="15" t="s">
        <v>440</v>
      </c>
      <c r="B18" s="17" t="n">
        <v>5532</v>
      </c>
      <c r="C18" s="18">
        <f>(4848.0/B18*100)</f>
        <v/>
      </c>
      <c r="D18" s="19" t="n">
        <v>684</v>
      </c>
      <c r="E18" s="18" t="n">
        <v>37.49354041</v>
      </c>
      <c r="F18" s="20" t="n">
        <v>2.01557886</v>
      </c>
      <c r="G18" s="18" t="n">
        <v>44.46362049</v>
      </c>
      <c r="H18" s="20" t="n">
        <v>2.04140431</v>
      </c>
      <c r="I18" s="18" t="n">
        <v>0</v>
      </c>
      <c r="J18" s="20" t="n">
        <v>0</v>
      </c>
      <c r="K18" s="18" t="n">
        <v>2.50805515</v>
      </c>
      <c r="L18" s="20" t="n">
        <v>0.6777004</v>
      </c>
      <c r="M18" s="18" t="n">
        <v>0</v>
      </c>
      <c r="N18" s="20" t="n">
        <v>0</v>
      </c>
      <c r="O18" s="18" t="n">
        <v>0</v>
      </c>
      <c r="P18" s="20" t="n">
        <v>0</v>
      </c>
      <c r="Q18" s="18" t="n">
        <v>15.53478395</v>
      </c>
      <c r="R18" s="20" t="n">
        <v>1.57689451</v>
      </c>
    </row>
    <row r="19" spans="1:18">
      <c r="A19" s="15" t="s">
        <v>441</v>
      </c>
      <c r="B19" s="17" t="n">
        <v>5658</v>
      </c>
      <c r="C19" s="18">
        <f>(4952.0/B19*100)</f>
        <v/>
      </c>
      <c r="D19" s="19" t="n">
        <v>706</v>
      </c>
      <c r="E19" s="18" t="n">
        <v>34.7003752</v>
      </c>
      <c r="F19" s="20" t="n">
        <v>1.93876722</v>
      </c>
      <c r="G19" s="18" t="n">
        <v>41.82395709</v>
      </c>
      <c r="H19" s="20" t="n">
        <v>1.95460825</v>
      </c>
      <c r="I19" s="18" t="n">
        <v>0</v>
      </c>
      <c r="J19" s="20" t="n">
        <v>0</v>
      </c>
      <c r="K19" s="18" t="n">
        <v>1.94684793</v>
      </c>
      <c r="L19" s="20" t="n">
        <v>0.72211108</v>
      </c>
      <c r="M19" s="18" t="n">
        <v>0</v>
      </c>
      <c r="N19" s="20" t="n">
        <v>0</v>
      </c>
      <c r="O19" s="18" t="n">
        <v>0</v>
      </c>
      <c r="P19" s="20" t="n">
        <v>0</v>
      </c>
      <c r="Q19" s="18" t="n">
        <v>21.52881978</v>
      </c>
      <c r="R19" s="20" t="n">
        <v>1.82468574</v>
      </c>
    </row>
    <row r="20" spans="1:18">
      <c r="A20" s="15" t="s">
        <v>442</v>
      </c>
      <c r="B20" s="17" t="n">
        <v>3371</v>
      </c>
      <c r="C20" s="18">
        <f>(2961.0/B20*100)</f>
        <v/>
      </c>
      <c r="D20" s="19" t="n">
        <v>410</v>
      </c>
      <c r="E20" s="18" t="n">
        <v>48.57704036</v>
      </c>
      <c r="F20" s="20" t="n">
        <v>2.40190685</v>
      </c>
      <c r="G20" s="18" t="n">
        <v>37.59411338</v>
      </c>
      <c r="H20" s="20" t="n">
        <v>2.2456161</v>
      </c>
      <c r="I20" s="18" t="n">
        <v>0</v>
      </c>
      <c r="J20" s="20" t="n">
        <v>0</v>
      </c>
      <c r="K20" s="18" t="n">
        <v>1.72753164</v>
      </c>
      <c r="L20" s="20" t="n">
        <v>0.53690088</v>
      </c>
      <c r="M20" s="18" t="n">
        <v>0.58467359</v>
      </c>
      <c r="N20" s="20" t="n">
        <v>0.33562838</v>
      </c>
      <c r="O20" s="18" t="n">
        <v>0</v>
      </c>
      <c r="P20" s="20" t="n">
        <v>0</v>
      </c>
      <c r="Q20" s="18" t="n">
        <v>11.51664103</v>
      </c>
      <c r="R20" s="20" t="n">
        <v>1.44597709</v>
      </c>
    </row>
    <row r="21" spans="1:18">
      <c r="A21" s="15" t="s">
        <v>443</v>
      </c>
      <c r="B21" s="17" t="n">
        <v>5741</v>
      </c>
      <c r="C21" s="18">
        <f>(4808.0/B21*100)</f>
        <v/>
      </c>
      <c r="D21" s="19" t="n">
        <v>933</v>
      </c>
      <c r="E21" s="18" t="n">
        <v>36.3410881</v>
      </c>
      <c r="F21" s="20" t="n">
        <v>1.56478892</v>
      </c>
      <c r="G21" s="18" t="n">
        <v>56.32398654</v>
      </c>
      <c r="H21" s="20" t="n">
        <v>1.57262244</v>
      </c>
      <c r="I21" s="18" t="n">
        <v>0</v>
      </c>
      <c r="J21" s="20" t="n">
        <v>0</v>
      </c>
      <c r="K21" s="18" t="n">
        <v>0.52043298</v>
      </c>
      <c r="L21" s="20" t="n">
        <v>0.22924574</v>
      </c>
      <c r="M21" s="18" t="n">
        <v>0.08197525999999999</v>
      </c>
      <c r="N21" s="20" t="n">
        <v>0.08197408</v>
      </c>
      <c r="O21" s="18" t="n">
        <v>0</v>
      </c>
      <c r="P21" s="20" t="n">
        <v>0</v>
      </c>
      <c r="Q21" s="18" t="n">
        <v>6.73251713</v>
      </c>
      <c r="R21" s="20" t="n">
        <v>0.72037557</v>
      </c>
    </row>
    <row r="22" spans="1:18">
      <c r="A22" s="15" t="s">
        <v>444</v>
      </c>
      <c r="B22" s="17" t="n">
        <v>6598</v>
      </c>
      <c r="C22" s="18">
        <f>(5799.0/B22*100)</f>
        <v/>
      </c>
      <c r="D22" s="19" t="n">
        <v>799</v>
      </c>
      <c r="E22" s="18" t="n">
        <v>37.74422485</v>
      </c>
      <c r="F22" s="20" t="n">
        <v>2.02831891</v>
      </c>
      <c r="G22" s="18" t="n">
        <v>42.4020866</v>
      </c>
      <c r="H22" s="20" t="n">
        <v>1.80773246</v>
      </c>
      <c r="I22" s="18" t="n">
        <v>0</v>
      </c>
      <c r="J22" s="20" t="n">
        <v>0</v>
      </c>
      <c r="K22" s="18" t="n">
        <v>1.07185618</v>
      </c>
      <c r="L22" s="20" t="n">
        <v>0.33718056</v>
      </c>
      <c r="M22" s="18" t="n">
        <v>0</v>
      </c>
      <c r="N22" s="20" t="n">
        <v>0</v>
      </c>
      <c r="O22" s="18" t="n">
        <v>0</v>
      </c>
      <c r="P22" s="20" t="n">
        <v>0</v>
      </c>
      <c r="Q22" s="18" t="n">
        <v>18.78183238</v>
      </c>
      <c r="R22" s="20" t="n">
        <v>1.43863022</v>
      </c>
    </row>
    <row r="23" spans="1:18">
      <c r="A23" s="15" t="s">
        <v>445</v>
      </c>
      <c r="B23" s="17" t="n">
        <v>11583</v>
      </c>
      <c r="C23" s="18">
        <f>(10178.0/B23*100)</f>
        <v/>
      </c>
      <c r="D23" s="19" t="n">
        <v>1405</v>
      </c>
      <c r="E23" s="18" t="n">
        <v>36.41388439</v>
      </c>
      <c r="F23" s="20" t="n">
        <v>1.60968263</v>
      </c>
      <c r="G23" s="18" t="n">
        <v>42.0440718</v>
      </c>
      <c r="H23" s="20" t="n">
        <v>1.8251893</v>
      </c>
      <c r="I23" s="18" t="n">
        <v>0</v>
      </c>
      <c r="J23" s="20" t="n">
        <v>0</v>
      </c>
      <c r="K23" s="18" t="n">
        <v>1.0305294</v>
      </c>
      <c r="L23" s="20" t="n">
        <v>0.54216485</v>
      </c>
      <c r="M23" s="18" t="n">
        <v>1.62855451</v>
      </c>
      <c r="N23" s="20" t="n">
        <v>0.80870443</v>
      </c>
      <c r="O23" s="18" t="n">
        <v>0</v>
      </c>
      <c r="P23" s="20" t="n">
        <v>0</v>
      </c>
      <c r="Q23" s="18" t="n">
        <v>18.8829599</v>
      </c>
      <c r="R23" s="20" t="n">
        <v>1.84771185</v>
      </c>
    </row>
    <row r="24" spans="1:18">
      <c r="A24" s="15" t="s">
        <v>446</v>
      </c>
      <c r="B24" s="17" t="n">
        <v>6647</v>
      </c>
      <c r="C24" s="18">
        <f>(5865.0/B24*100)</f>
        <v/>
      </c>
      <c r="D24" s="19" t="n">
        <v>782</v>
      </c>
      <c r="E24" s="18" t="n">
        <v>21.03799301</v>
      </c>
      <c r="F24" s="20" t="n">
        <v>1.42867793</v>
      </c>
      <c r="G24" s="18" t="n">
        <v>50.44375918</v>
      </c>
      <c r="H24" s="20" t="n">
        <v>1.88872147</v>
      </c>
      <c r="I24" s="18" t="n">
        <v>0</v>
      </c>
      <c r="J24" s="20" t="n">
        <v>0</v>
      </c>
      <c r="K24" s="18" t="n">
        <v>1.51898485</v>
      </c>
      <c r="L24" s="20" t="n">
        <v>0.48915236</v>
      </c>
      <c r="M24" s="18" t="n">
        <v>0</v>
      </c>
      <c r="N24" s="20" t="n">
        <v>0</v>
      </c>
      <c r="O24" s="18" t="n">
        <v>0</v>
      </c>
      <c r="P24" s="20" t="n">
        <v>0</v>
      </c>
      <c r="Q24" s="18" t="n">
        <v>26.99926295</v>
      </c>
      <c r="R24" s="20" t="n">
        <v>1.6955012</v>
      </c>
    </row>
    <row r="25" spans="1:18">
      <c r="A25" s="15" t="s">
        <v>447</v>
      </c>
      <c r="B25" s="17" t="n">
        <v>5581</v>
      </c>
      <c r="C25" s="18">
        <f>(4896.0/B25*100)</f>
        <v/>
      </c>
      <c r="D25" s="19" t="n">
        <v>685</v>
      </c>
      <c r="E25" s="18" t="n">
        <v>30.40883571</v>
      </c>
      <c r="F25" s="20" t="n">
        <v>1.75718036</v>
      </c>
      <c r="G25" s="18" t="n">
        <v>56.17021396</v>
      </c>
      <c r="H25" s="20" t="n">
        <v>1.83453299</v>
      </c>
      <c r="I25" s="18" t="n">
        <v>0</v>
      </c>
      <c r="J25" s="20" t="n">
        <v>0</v>
      </c>
      <c r="K25" s="18" t="n">
        <v>1.23431672</v>
      </c>
      <c r="L25" s="20" t="n">
        <v>0.41433467</v>
      </c>
      <c r="M25" s="18" t="n">
        <v>0</v>
      </c>
      <c r="N25" s="20" t="n">
        <v>0</v>
      </c>
      <c r="O25" s="18" t="n">
        <v>0</v>
      </c>
      <c r="P25" s="20" t="n">
        <v>0</v>
      </c>
      <c r="Q25" s="18" t="n">
        <v>12.18663361</v>
      </c>
      <c r="R25" s="20" t="n">
        <v>1.3081712</v>
      </c>
    </row>
    <row r="26" spans="1:18">
      <c r="A26" s="15" t="s">
        <v>448</v>
      </c>
      <c r="B26" s="17" t="n">
        <v>4869</v>
      </c>
      <c r="C26" s="18">
        <f>(4286.0/B26*100)</f>
        <v/>
      </c>
      <c r="D26" s="19" t="n">
        <v>583</v>
      </c>
      <c r="E26" s="18" t="n">
        <v>46.5318129</v>
      </c>
      <c r="F26" s="20" t="n">
        <v>2.16756589</v>
      </c>
      <c r="G26" s="18" t="n">
        <v>38.99165311</v>
      </c>
      <c r="H26" s="20" t="n">
        <v>1.87060477</v>
      </c>
      <c r="I26" s="18" t="n">
        <v>0</v>
      </c>
      <c r="J26" s="20" t="n">
        <v>0</v>
      </c>
      <c r="K26" s="18" t="n">
        <v>0.15598961</v>
      </c>
      <c r="L26" s="20" t="n">
        <v>0.1540687</v>
      </c>
      <c r="M26" s="18" t="n">
        <v>0.63390589</v>
      </c>
      <c r="N26" s="20" t="n">
        <v>0.40747578</v>
      </c>
      <c r="O26" s="18" t="n">
        <v>0</v>
      </c>
      <c r="P26" s="20" t="n">
        <v>0</v>
      </c>
      <c r="Q26" s="18" t="n">
        <v>13.68663848</v>
      </c>
      <c r="R26" s="20" t="n">
        <v>1.38436297</v>
      </c>
    </row>
    <row r="27" spans="1:18">
      <c r="A27" s="15" t="s">
        <v>449</v>
      </c>
      <c r="B27" s="17" t="n">
        <v>5299</v>
      </c>
      <c r="C27" s="18">
        <f>(4674.0/B27*100)</f>
        <v/>
      </c>
      <c r="D27" s="19" t="n">
        <v>625</v>
      </c>
      <c r="E27" s="18" t="n">
        <v>30.55542158</v>
      </c>
      <c r="F27" s="20" t="n">
        <v>1.90147657</v>
      </c>
      <c r="G27" s="18" t="n">
        <v>51.76230773</v>
      </c>
      <c r="H27" s="20" t="n">
        <v>1.96682038</v>
      </c>
      <c r="I27" s="18" t="n">
        <v>0</v>
      </c>
      <c r="J27" s="20" t="n">
        <v>0</v>
      </c>
      <c r="K27" s="18" t="n">
        <v>1.14100866</v>
      </c>
      <c r="L27" s="20" t="n">
        <v>0.43754306</v>
      </c>
      <c r="M27" s="18" t="n">
        <v>0</v>
      </c>
      <c r="N27" s="20" t="n">
        <v>0</v>
      </c>
      <c r="O27" s="18" t="n">
        <v>0</v>
      </c>
      <c r="P27" s="20" t="n">
        <v>0</v>
      </c>
      <c r="Q27" s="18" t="n">
        <v>16.54126203</v>
      </c>
      <c r="R27" s="20" t="n">
        <v>1.457146</v>
      </c>
    </row>
    <row r="28" spans="1:18">
      <c r="A28" s="15" t="s">
        <v>450</v>
      </c>
      <c r="B28" s="17" t="n">
        <v>7568</v>
      </c>
      <c r="C28" s="18">
        <f>(6714.0/B28*100)</f>
        <v/>
      </c>
      <c r="D28" s="19" t="n">
        <v>854</v>
      </c>
      <c r="E28" s="18" t="n">
        <v>55.4498965</v>
      </c>
      <c r="F28" s="20" t="n">
        <v>1.8909166</v>
      </c>
      <c r="G28" s="18" t="n">
        <v>40.40307223</v>
      </c>
      <c r="H28" s="20" t="n">
        <v>1.95245357</v>
      </c>
      <c r="I28" s="18" t="n">
        <v>0</v>
      </c>
      <c r="J28" s="20" t="n">
        <v>0</v>
      </c>
      <c r="K28" s="18" t="n">
        <v>0.37170459</v>
      </c>
      <c r="L28" s="20" t="n">
        <v>0.19914779</v>
      </c>
      <c r="M28" s="18" t="n">
        <v>0.10469333</v>
      </c>
      <c r="N28" s="20" t="n">
        <v>0.10733425</v>
      </c>
      <c r="O28" s="18" t="n">
        <v>0</v>
      </c>
      <c r="P28" s="20" t="n">
        <v>0</v>
      </c>
      <c r="Q28" s="18" t="n">
        <v>3.67063336</v>
      </c>
      <c r="R28" s="20" t="n">
        <v>0.70880647</v>
      </c>
    </row>
    <row r="29" spans="1:18">
      <c r="A29" s="15" t="s">
        <v>451</v>
      </c>
      <c r="B29" s="17" t="n">
        <v>5385</v>
      </c>
      <c r="C29" s="18">
        <f>(4742.0/B29*100)</f>
        <v/>
      </c>
      <c r="D29" s="19" t="n">
        <v>643</v>
      </c>
      <c r="E29" s="18" t="n">
        <v>45.75570401</v>
      </c>
      <c r="F29" s="20" t="n">
        <v>2.29932878</v>
      </c>
      <c r="G29" s="18" t="n">
        <v>48.43260033</v>
      </c>
      <c r="H29" s="20" t="n">
        <v>2.15583812</v>
      </c>
      <c r="I29" s="18" t="n">
        <v>0</v>
      </c>
      <c r="J29" s="20" t="n">
        <v>0</v>
      </c>
      <c r="K29" s="18" t="n">
        <v>0.37354951</v>
      </c>
      <c r="L29" s="20" t="n">
        <v>0.21182371</v>
      </c>
      <c r="M29" s="18" t="n">
        <v>0.1633203</v>
      </c>
      <c r="N29" s="20" t="n">
        <v>0.17057189</v>
      </c>
      <c r="O29" s="18" t="n">
        <v>0</v>
      </c>
      <c r="P29" s="20" t="n">
        <v>0</v>
      </c>
      <c r="Q29" s="18" t="n">
        <v>5.27482585</v>
      </c>
      <c r="R29" s="20" t="n">
        <v>1.01035433</v>
      </c>
    </row>
    <row r="30" spans="1:18">
      <c r="A30" s="15" t="s">
        <v>452</v>
      </c>
      <c r="B30" s="17" t="n">
        <v>4520</v>
      </c>
      <c r="C30" s="18">
        <f>(3964.0/B30*100)</f>
        <v/>
      </c>
      <c r="D30" s="19" t="n">
        <v>556</v>
      </c>
      <c r="E30" s="18" t="n">
        <v>30.31202139</v>
      </c>
      <c r="F30" s="20" t="n">
        <v>2.07911551</v>
      </c>
      <c r="G30" s="18" t="n">
        <v>53.09866543</v>
      </c>
      <c r="H30" s="20" t="n">
        <v>2.29303581</v>
      </c>
      <c r="I30" s="18" t="n">
        <v>0</v>
      </c>
      <c r="J30" s="20" t="n">
        <v>0</v>
      </c>
      <c r="K30" s="18" t="n">
        <v>1.3174015</v>
      </c>
      <c r="L30" s="20" t="n">
        <v>0.46603165</v>
      </c>
      <c r="M30" s="18" t="n">
        <v>0.5583993900000001</v>
      </c>
      <c r="N30" s="20" t="n">
        <v>0.39826965</v>
      </c>
      <c r="O30" s="18" t="n">
        <v>0</v>
      </c>
      <c r="P30" s="20" t="n">
        <v>0</v>
      </c>
      <c r="Q30" s="18" t="n">
        <v>14.71351228</v>
      </c>
      <c r="R30" s="20" t="n">
        <v>1.44319645</v>
      </c>
    </row>
    <row r="31" spans="1:18">
      <c r="A31" s="15" t="s">
        <v>453</v>
      </c>
      <c r="B31" s="17" t="n">
        <v>5456</v>
      </c>
      <c r="C31" s="18">
        <f>(4798.0/B31*100)</f>
        <v/>
      </c>
      <c r="D31" s="19" t="n">
        <v>658</v>
      </c>
      <c r="E31" s="18" t="n">
        <v>35.72186901</v>
      </c>
      <c r="F31" s="20" t="n">
        <v>1.74413672</v>
      </c>
      <c r="G31" s="18" t="n">
        <v>48.28947813</v>
      </c>
      <c r="H31" s="20" t="n">
        <v>1.79934375</v>
      </c>
      <c r="I31" s="18" t="n">
        <v>0</v>
      </c>
      <c r="J31" s="20" t="n">
        <v>0</v>
      </c>
      <c r="K31" s="18" t="n">
        <v>2.24918624</v>
      </c>
      <c r="L31" s="20" t="n">
        <v>0.5413755099999999</v>
      </c>
      <c r="M31" s="18" t="n">
        <v>0.15362166</v>
      </c>
      <c r="N31" s="20" t="n">
        <v>0.14579959</v>
      </c>
      <c r="O31" s="18" t="n">
        <v>0</v>
      </c>
      <c r="P31" s="20" t="n">
        <v>0</v>
      </c>
      <c r="Q31" s="18" t="n">
        <v>13.58584496</v>
      </c>
      <c r="R31" s="20" t="n">
        <v>1.29327385</v>
      </c>
    </row>
    <row r="32" spans="1:18">
      <c r="A32" s="15" t="s">
        <v>454</v>
      </c>
      <c r="B32" s="17" t="n">
        <v>4478</v>
      </c>
      <c r="C32" s="18">
        <f>(3776.0/B32*100)</f>
        <v/>
      </c>
      <c r="D32" s="19" t="n">
        <v>702</v>
      </c>
      <c r="E32" s="18" t="n">
        <v>27.21500681</v>
      </c>
      <c r="F32" s="20" t="n">
        <v>1.66575295</v>
      </c>
      <c r="G32" s="18" t="n">
        <v>59.18605968</v>
      </c>
      <c r="H32" s="20" t="n">
        <v>1.87413642</v>
      </c>
      <c r="I32" s="18" t="n">
        <v>0</v>
      </c>
      <c r="J32" s="20" t="n">
        <v>0</v>
      </c>
      <c r="K32" s="18" t="n">
        <v>0.9480254299999999</v>
      </c>
      <c r="L32" s="20" t="n">
        <v>0.37639075</v>
      </c>
      <c r="M32" s="18" t="n">
        <v>0.13421574</v>
      </c>
      <c r="N32" s="20" t="n">
        <v>0.13369742</v>
      </c>
      <c r="O32" s="18" t="n">
        <v>0</v>
      </c>
      <c r="P32" s="20" t="n">
        <v>0</v>
      </c>
      <c r="Q32" s="18" t="n">
        <v>12.51669234</v>
      </c>
      <c r="R32" s="20" t="n">
        <v>1.36934282</v>
      </c>
    </row>
    <row r="33" spans="1:18">
      <c r="A33" s="15" t="s">
        <v>455</v>
      </c>
      <c r="B33" s="17" t="n">
        <v>7325</v>
      </c>
      <c r="C33" s="18">
        <f>(6440.0/B33*100)</f>
        <v/>
      </c>
      <c r="D33" s="19" t="n">
        <v>885</v>
      </c>
      <c r="E33" s="18" t="n">
        <v>29.36683243</v>
      </c>
      <c r="F33" s="20" t="n">
        <v>1.81891583</v>
      </c>
      <c r="G33" s="18" t="n">
        <v>54.61068221</v>
      </c>
      <c r="H33" s="20" t="n">
        <v>2.13537897</v>
      </c>
      <c r="I33" s="18" t="n">
        <v>0</v>
      </c>
      <c r="J33" s="20" t="n">
        <v>0</v>
      </c>
      <c r="K33" s="18" t="n">
        <v>0.1632279</v>
      </c>
      <c r="L33" s="20" t="n">
        <v>0.14255581</v>
      </c>
      <c r="M33" s="18" t="n">
        <v>0.12611021</v>
      </c>
      <c r="N33" s="20" t="n">
        <v>0.12153503</v>
      </c>
      <c r="O33" s="18" t="n">
        <v>0</v>
      </c>
      <c r="P33" s="20" t="n">
        <v>0</v>
      </c>
      <c r="Q33" s="18" t="n">
        <v>15.73314726</v>
      </c>
      <c r="R33" s="20" t="n">
        <v>1.49747375</v>
      </c>
    </row>
    <row r="34" spans="1:18">
      <c r="A34" s="15" t="s">
        <v>456</v>
      </c>
      <c r="B34" s="17" t="n">
        <v>6350</v>
      </c>
      <c r="C34" s="18">
        <f>(5586.0/B34*100)</f>
        <v/>
      </c>
      <c r="D34" s="19" t="n">
        <v>764</v>
      </c>
      <c r="E34" s="18" t="n">
        <v>41.06316251</v>
      </c>
      <c r="F34" s="20" t="n">
        <v>2.11631413</v>
      </c>
      <c r="G34" s="18" t="n">
        <v>36.29213306</v>
      </c>
      <c r="H34" s="20" t="n">
        <v>1.76715362</v>
      </c>
      <c r="I34" s="18" t="n">
        <v>0</v>
      </c>
      <c r="J34" s="20" t="n">
        <v>0</v>
      </c>
      <c r="K34" s="18" t="n">
        <v>1.22574807</v>
      </c>
      <c r="L34" s="20" t="n">
        <v>0.40729731</v>
      </c>
      <c r="M34" s="18" t="n">
        <v>0</v>
      </c>
      <c r="N34" s="20" t="n">
        <v>0</v>
      </c>
      <c r="O34" s="18" t="n">
        <v>0</v>
      </c>
      <c r="P34" s="20" t="n">
        <v>0</v>
      </c>
      <c r="Q34" s="18" t="n">
        <v>21.41895636</v>
      </c>
      <c r="R34" s="20" t="n">
        <v>1.79228238</v>
      </c>
    </row>
    <row r="35" spans="1:18">
      <c r="A35" s="15" t="s">
        <v>457</v>
      </c>
      <c r="B35" s="17" t="n">
        <v>6406</v>
      </c>
      <c r="C35" s="18">
        <f>(5645.0/B35*100)</f>
        <v/>
      </c>
      <c r="D35" s="19" t="n">
        <v>761</v>
      </c>
      <c r="E35" s="18" t="n">
        <v>40.15903091</v>
      </c>
      <c r="F35" s="20" t="n">
        <v>2.13846854</v>
      </c>
      <c r="G35" s="18" t="n">
        <v>46.40379615</v>
      </c>
      <c r="H35" s="20" t="n">
        <v>2.39246163</v>
      </c>
      <c r="I35" s="18" t="n">
        <v>0</v>
      </c>
      <c r="J35" s="20" t="n">
        <v>0</v>
      </c>
      <c r="K35" s="18" t="n">
        <v>0.13160145</v>
      </c>
      <c r="L35" s="20" t="n">
        <v>0.09280856</v>
      </c>
      <c r="M35" s="18" t="n">
        <v>0</v>
      </c>
      <c r="N35" s="20" t="n">
        <v>0</v>
      </c>
      <c r="O35" s="18" t="n">
        <v>0</v>
      </c>
      <c r="P35" s="20" t="n">
        <v>0</v>
      </c>
      <c r="Q35" s="18" t="n">
        <v>13.30557148</v>
      </c>
      <c r="R35" s="20" t="n">
        <v>1.38964417</v>
      </c>
    </row>
    <row r="36" spans="1:18">
      <c r="A36" s="15" t="s">
        <v>458</v>
      </c>
      <c r="B36" s="17" t="n">
        <v>6736</v>
      </c>
      <c r="C36" s="18">
        <f>(5919.0/B36*100)</f>
        <v/>
      </c>
      <c r="D36" s="19" t="n">
        <v>817</v>
      </c>
      <c r="E36" s="18" t="n">
        <v>47.33958574</v>
      </c>
      <c r="F36" s="20" t="n">
        <v>1.91668119</v>
      </c>
      <c r="G36" s="18" t="n">
        <v>39.82220293</v>
      </c>
      <c r="H36" s="20" t="n">
        <v>1.84787583</v>
      </c>
      <c r="I36" s="18" t="n">
        <v>0</v>
      </c>
      <c r="J36" s="20" t="n">
        <v>0</v>
      </c>
      <c r="K36" s="18" t="n">
        <v>0.75802654</v>
      </c>
      <c r="L36" s="20" t="n">
        <v>0.29535203</v>
      </c>
      <c r="M36" s="18" t="n">
        <v>0.37221254</v>
      </c>
      <c r="N36" s="20" t="n">
        <v>0.27441307</v>
      </c>
      <c r="O36" s="18" t="n">
        <v>0</v>
      </c>
      <c r="P36" s="20" t="n">
        <v>0</v>
      </c>
      <c r="Q36" s="18" t="n">
        <v>11.70797224</v>
      </c>
      <c r="R36" s="20" t="n">
        <v>1.15831329</v>
      </c>
    </row>
    <row r="37" spans="1:18">
      <c r="A37" s="15" t="s">
        <v>459</v>
      </c>
      <c r="B37" s="17" t="n">
        <v>5458</v>
      </c>
      <c r="C37" s="18">
        <f>(4784.0/B37*100)</f>
        <v/>
      </c>
      <c r="D37" s="19" t="n">
        <v>674</v>
      </c>
      <c r="E37" s="18" t="n">
        <v>28.08075752</v>
      </c>
      <c r="F37" s="20" t="n">
        <v>2.05727347</v>
      </c>
      <c r="G37" s="18" t="n">
        <v>50.60014473</v>
      </c>
      <c r="H37" s="20" t="n">
        <v>2.17808011</v>
      </c>
      <c r="I37" s="18" t="n">
        <v>0</v>
      </c>
      <c r="J37" s="20" t="n">
        <v>0</v>
      </c>
      <c r="K37" s="18" t="n">
        <v>3.22419007</v>
      </c>
      <c r="L37" s="20" t="n">
        <v>0.66750289</v>
      </c>
      <c r="M37" s="18" t="n">
        <v>0</v>
      </c>
      <c r="N37" s="20" t="n">
        <v>0</v>
      </c>
      <c r="O37" s="18" t="n">
        <v>0</v>
      </c>
      <c r="P37" s="20" t="n">
        <v>0</v>
      </c>
      <c r="Q37" s="18" t="n">
        <v>18.09490768</v>
      </c>
      <c r="R37" s="20" t="n">
        <v>1.63918715</v>
      </c>
    </row>
    <row r="38" spans="1:18">
      <c r="A38" s="15" t="s">
        <v>460</v>
      </c>
      <c r="B38" s="17" t="n">
        <v>5860</v>
      </c>
      <c r="C38" s="18">
        <f>(4956.0/B38*100)</f>
        <v/>
      </c>
      <c r="D38" s="19" t="n">
        <v>904</v>
      </c>
      <c r="E38" s="18" t="n">
        <v>33.4748817</v>
      </c>
      <c r="F38" s="20" t="n">
        <v>1.63602369</v>
      </c>
      <c r="G38" s="18" t="n">
        <v>55.18150275</v>
      </c>
      <c r="H38" s="20" t="n">
        <v>1.87870209</v>
      </c>
      <c r="I38" s="18" t="n">
        <v>0</v>
      </c>
      <c r="J38" s="20" t="n">
        <v>0</v>
      </c>
      <c r="K38" s="18" t="n">
        <v>0.65398236</v>
      </c>
      <c r="L38" s="20" t="n">
        <v>0.267984</v>
      </c>
      <c r="M38" s="18" t="n">
        <v>0.21642838</v>
      </c>
      <c r="N38" s="20" t="n">
        <v>0.21545094</v>
      </c>
      <c r="O38" s="18" t="n">
        <v>0</v>
      </c>
      <c r="P38" s="20" t="n">
        <v>0</v>
      </c>
      <c r="Q38" s="18" t="n">
        <v>10.47320479</v>
      </c>
      <c r="R38" s="20" t="n">
        <v>1.04605663</v>
      </c>
    </row>
    <row r="39" spans="1:18">
      <c r="A39" s="15" t="s">
        <v>461</v>
      </c>
      <c r="B39" s="17" t="n">
        <v>5895</v>
      </c>
      <c r="C39" s="18">
        <f>(5178.0/B39*100)</f>
        <v/>
      </c>
      <c r="D39" s="19" t="n">
        <v>717</v>
      </c>
      <c r="E39" s="18" t="n">
        <v>50.39429826</v>
      </c>
      <c r="F39" s="20" t="n">
        <v>2.0007685</v>
      </c>
      <c r="G39" s="18" t="n">
        <v>30.83482653</v>
      </c>
      <c r="H39" s="20" t="n">
        <v>2.06526275</v>
      </c>
      <c r="I39" s="18" t="n">
        <v>0</v>
      </c>
      <c r="J39" s="20" t="n">
        <v>0</v>
      </c>
      <c r="K39" s="18" t="n">
        <v>1.34270006</v>
      </c>
      <c r="L39" s="20" t="n">
        <v>0.41957411</v>
      </c>
      <c r="M39" s="18" t="n">
        <v>0.1215447</v>
      </c>
      <c r="N39" s="20" t="n">
        <v>0.12530486</v>
      </c>
      <c r="O39" s="18" t="n">
        <v>0</v>
      </c>
      <c r="P39" s="20" t="n">
        <v>0</v>
      </c>
      <c r="Q39" s="18" t="n">
        <v>17.30663046</v>
      </c>
      <c r="R39" s="20" t="n">
        <v>1.5667114</v>
      </c>
    </row>
    <row r="40" spans="1:18">
      <c r="A40" s="15" t="s">
        <v>462</v>
      </c>
      <c r="B40" s="17" t="n">
        <v>14157</v>
      </c>
      <c r="C40" s="18">
        <f>(12463.0/B40*100)</f>
        <v/>
      </c>
      <c r="D40" s="19" t="n">
        <v>1694</v>
      </c>
      <c r="E40" s="18" t="n">
        <v>33.07939405</v>
      </c>
      <c r="F40" s="20" t="n">
        <v>1.69105839</v>
      </c>
      <c r="G40" s="18" t="n">
        <v>51.86862847</v>
      </c>
      <c r="H40" s="20" t="n">
        <v>1.89434168</v>
      </c>
      <c r="I40" s="18" t="n">
        <v>0</v>
      </c>
      <c r="J40" s="20" t="n">
        <v>0</v>
      </c>
      <c r="K40" s="18" t="n">
        <v>0.63290633</v>
      </c>
      <c r="L40" s="20" t="n">
        <v>0.25182679</v>
      </c>
      <c r="M40" s="18" t="n">
        <v>0.30534938</v>
      </c>
      <c r="N40" s="20" t="n">
        <v>0.22015958</v>
      </c>
      <c r="O40" s="18" t="n">
        <v>0</v>
      </c>
      <c r="P40" s="20" t="n">
        <v>0</v>
      </c>
      <c r="Q40" s="18" t="n">
        <v>14.11372177</v>
      </c>
      <c r="R40" s="20" t="n">
        <v>1.40626655</v>
      </c>
    </row>
    <row r="41" spans="1:18">
      <c r="A41" s="15" t="s">
        <v>463</v>
      </c>
      <c r="B41" s="17" t="n">
        <v>5712</v>
      </c>
      <c r="C41" s="18">
        <f>(5059.0/B41*100)</f>
        <v/>
      </c>
      <c r="D41" s="19" t="n">
        <v>653</v>
      </c>
      <c r="E41" s="18" t="n">
        <v>49.00715985</v>
      </c>
      <c r="F41" s="20" t="n">
        <v>1.85743553</v>
      </c>
      <c r="G41" s="18" t="n">
        <v>45.77614306</v>
      </c>
      <c r="H41" s="20" t="n">
        <v>1.89893202</v>
      </c>
      <c r="I41" s="18" t="n">
        <v>0</v>
      </c>
      <c r="J41" s="20" t="n">
        <v>0</v>
      </c>
      <c r="K41" s="18" t="n">
        <v>0.65098345</v>
      </c>
      <c r="L41" s="20" t="n">
        <v>0.32460284</v>
      </c>
      <c r="M41" s="18" t="n">
        <v>0</v>
      </c>
      <c r="N41" s="20" t="n">
        <v>0</v>
      </c>
      <c r="O41" s="18" t="n">
        <v>0</v>
      </c>
      <c r="P41" s="20" t="n">
        <v>0</v>
      </c>
      <c r="Q41" s="18" t="n">
        <v>4.56571365</v>
      </c>
      <c r="R41" s="20" t="n">
        <v>0.97873052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(20974.0/B46*100)</f>
        <v/>
      </c>
      <c r="D46" s="19" t="n">
        <v>2167</v>
      </c>
      <c r="E46" s="18" t="n">
        <v>52.14876498</v>
      </c>
      <c r="F46" s="20" t="n">
        <v>1.68468616</v>
      </c>
      <c r="G46" s="18" t="n">
        <v>25.57707259</v>
      </c>
      <c r="H46" s="20" t="n">
        <v>1.27838428</v>
      </c>
      <c r="I46" s="18" t="n">
        <v>0</v>
      </c>
      <c r="J46" s="20" t="n">
        <v>0</v>
      </c>
      <c r="K46" s="18" t="n">
        <v>3.17158321</v>
      </c>
      <c r="L46" s="20" t="n">
        <v>0.45371447</v>
      </c>
      <c r="M46" s="18" t="n">
        <v>0.57071792</v>
      </c>
      <c r="N46" s="20" t="n">
        <v>0.19858654</v>
      </c>
      <c r="O46" s="18" t="n">
        <v>0</v>
      </c>
      <c r="P46" s="20" t="n">
        <v>0</v>
      </c>
      <c r="Q46" s="18" t="n">
        <v>18.53186129</v>
      </c>
      <c r="R46" s="20" t="n">
        <v>1.26724301</v>
      </c>
    </row>
    <row r="47" spans="1:18">
      <c r="A47" s="15" t="s">
        <v>470</v>
      </c>
      <c r="B47" s="17" t="n">
        <v>5928</v>
      </c>
      <c r="C47" s="18">
        <f>(5219.0/B47*100)</f>
        <v/>
      </c>
      <c r="D47" s="19" t="n">
        <v>709</v>
      </c>
      <c r="E47" s="18" t="n">
        <v>34.05304928</v>
      </c>
      <c r="F47" s="20" t="n">
        <v>1.95335279</v>
      </c>
      <c r="G47" s="18" t="n">
        <v>30.61721445</v>
      </c>
      <c r="H47" s="20" t="n">
        <v>2.15770012</v>
      </c>
      <c r="I47" s="18" t="n">
        <v>0</v>
      </c>
      <c r="J47" s="20" t="n">
        <v>0</v>
      </c>
      <c r="K47" s="18" t="n">
        <v>3.25415676</v>
      </c>
      <c r="L47" s="20" t="n">
        <v>0.69921455</v>
      </c>
      <c r="M47" s="18" t="n">
        <v>0</v>
      </c>
      <c r="N47" s="20" t="n">
        <v>0</v>
      </c>
      <c r="O47" s="18" t="n">
        <v>0</v>
      </c>
      <c r="P47" s="20" t="n">
        <v>0</v>
      </c>
      <c r="Q47" s="18" t="n">
        <v>32.07557951</v>
      </c>
      <c r="R47" s="20" t="n">
        <v>1.72900032</v>
      </c>
    </row>
    <row r="48" spans="1:18">
      <c r="A48" s="15" t="s">
        <v>471</v>
      </c>
      <c r="B48" s="17" t="n">
        <v>9841</v>
      </c>
      <c r="C48" s="18">
        <f>(8635.0/B48*100)</f>
        <v/>
      </c>
      <c r="D48" s="19" t="n">
        <v>1206</v>
      </c>
      <c r="E48" s="18" t="n">
        <v>54.77534531</v>
      </c>
      <c r="F48" s="20" t="n">
        <v>2.0899686</v>
      </c>
      <c r="G48" s="18" t="n">
        <v>31.97628757</v>
      </c>
      <c r="H48" s="20" t="n">
        <v>2.01776069</v>
      </c>
      <c r="I48" s="18" t="n">
        <v>0</v>
      </c>
      <c r="J48" s="20" t="n">
        <v>0</v>
      </c>
      <c r="K48" s="18" t="n">
        <v>1.25036076</v>
      </c>
      <c r="L48" s="20" t="n">
        <v>0.36792372</v>
      </c>
      <c r="M48" s="18" t="n">
        <v>0.00464999</v>
      </c>
      <c r="N48" s="20" t="n">
        <v>0.00466122</v>
      </c>
      <c r="O48" s="18" t="n">
        <v>0</v>
      </c>
      <c r="P48" s="20" t="n">
        <v>0</v>
      </c>
      <c r="Q48" s="18" t="n">
        <v>11.99335637</v>
      </c>
      <c r="R48" s="20" t="n">
        <v>1.33959555</v>
      </c>
    </row>
    <row r="49" spans="1:18">
      <c r="A49" s="15" t="s">
        <v>472</v>
      </c>
      <c r="B49" s="17" t="n">
        <v>11795</v>
      </c>
      <c r="C49" s="18">
        <f>(10365.0/B49*100)</f>
        <v/>
      </c>
      <c r="D49" s="19" t="n">
        <v>1430</v>
      </c>
      <c r="E49" s="18" t="n">
        <v>66.86363734</v>
      </c>
      <c r="F49" s="20" t="n">
        <v>1.55214757</v>
      </c>
      <c r="G49" s="18" t="n">
        <v>22.25496061</v>
      </c>
      <c r="H49" s="20" t="n">
        <v>1.51216191</v>
      </c>
      <c r="I49" s="18" t="n">
        <v>0</v>
      </c>
      <c r="J49" s="20" t="n">
        <v>0</v>
      </c>
      <c r="K49" s="18" t="n">
        <v>2.36095482</v>
      </c>
      <c r="L49" s="20" t="n">
        <v>0.65307388</v>
      </c>
      <c r="M49" s="18" t="n">
        <v>0.0211983</v>
      </c>
      <c r="N49" s="20" t="n">
        <v>0.02115247</v>
      </c>
      <c r="O49" s="18" t="n">
        <v>0</v>
      </c>
      <c r="P49" s="20" t="n">
        <v>0</v>
      </c>
      <c r="Q49" s="18" t="n">
        <v>8.499248919999999</v>
      </c>
      <c r="R49" s="20" t="n">
        <v>1.07917806</v>
      </c>
    </row>
    <row r="50" spans="1:18">
      <c r="A50" s="15" t="s">
        <v>473</v>
      </c>
      <c r="B50" s="17" t="n">
        <v>6866</v>
      </c>
      <c r="C50" s="18">
        <f>(6142.0/B50*100)</f>
        <v/>
      </c>
      <c r="D50" s="19" t="n">
        <v>724</v>
      </c>
      <c r="E50" s="18" t="n">
        <v>53.28881917</v>
      </c>
      <c r="F50" s="20" t="n">
        <v>2.0546275</v>
      </c>
      <c r="G50" s="18" t="n">
        <v>33.6623141</v>
      </c>
      <c r="H50" s="20" t="n">
        <v>2.1640241</v>
      </c>
      <c r="I50" s="18" t="n">
        <v>0</v>
      </c>
      <c r="J50" s="20" t="n">
        <v>0</v>
      </c>
      <c r="K50" s="18" t="n">
        <v>1.39018848</v>
      </c>
      <c r="L50" s="20" t="n">
        <v>0.53607536</v>
      </c>
      <c r="M50" s="18" t="n">
        <v>0</v>
      </c>
      <c r="N50" s="20" t="n">
        <v>0</v>
      </c>
      <c r="O50" s="18" t="n">
        <v>0</v>
      </c>
      <c r="P50" s="20" t="n">
        <v>0</v>
      </c>
      <c r="Q50" s="18" t="n">
        <v>11.65867825</v>
      </c>
      <c r="R50" s="20" t="n">
        <v>1.0855449</v>
      </c>
    </row>
    <row r="51" spans="1:18">
      <c r="A51" s="15" t="s">
        <v>474</v>
      </c>
      <c r="B51" s="17" t="n">
        <v>5809</v>
      </c>
      <c r="C51" s="18">
        <f>(5098.0/B51*100)</f>
        <v/>
      </c>
      <c r="D51" s="19" t="n">
        <v>711</v>
      </c>
      <c r="E51" s="18" t="n">
        <v>31.25780446</v>
      </c>
      <c r="F51" s="20" t="n">
        <v>1.88959064</v>
      </c>
      <c r="G51" s="18" t="n">
        <v>45.04177391</v>
      </c>
      <c r="H51" s="20" t="n">
        <v>1.75798918</v>
      </c>
      <c r="I51" s="18" t="n">
        <v>0</v>
      </c>
      <c r="J51" s="20" t="n">
        <v>0</v>
      </c>
      <c r="K51" s="18" t="n">
        <v>0.71560135</v>
      </c>
      <c r="L51" s="20" t="n">
        <v>0.32910092</v>
      </c>
      <c r="M51" s="18" t="n">
        <v>0</v>
      </c>
      <c r="N51" s="20" t="n">
        <v>0</v>
      </c>
      <c r="O51" s="18" t="n">
        <v>0</v>
      </c>
      <c r="P51" s="20" t="n">
        <v>0</v>
      </c>
      <c r="Q51" s="18" t="n">
        <v>22.98482029</v>
      </c>
      <c r="R51" s="20" t="n">
        <v>1.63245249</v>
      </c>
    </row>
    <row r="52" spans="1:18">
      <c r="A52" s="15" t="s">
        <v>475</v>
      </c>
      <c r="B52" s="17" t="n">
        <v>5571</v>
      </c>
      <c r="C52" s="18">
        <f>(4900.0/B52*100)</f>
        <v/>
      </c>
      <c r="D52" s="19" t="n">
        <v>671</v>
      </c>
      <c r="E52" s="18" t="n">
        <v>43.56418264</v>
      </c>
      <c r="F52" s="20" t="n">
        <v>2.0445059</v>
      </c>
      <c r="G52" s="18" t="n">
        <v>30.78064619</v>
      </c>
      <c r="H52" s="20" t="n">
        <v>1.71866154</v>
      </c>
      <c r="I52" s="18" t="n">
        <v>0</v>
      </c>
      <c r="J52" s="20" t="n">
        <v>0</v>
      </c>
      <c r="K52" s="18" t="n">
        <v>2.66909749</v>
      </c>
      <c r="L52" s="20" t="n">
        <v>0.62350639</v>
      </c>
      <c r="M52" s="18" t="n">
        <v>0</v>
      </c>
      <c r="N52" s="20" t="n">
        <v>0</v>
      </c>
      <c r="O52" s="18" t="n">
        <v>0</v>
      </c>
      <c r="P52" s="20" t="n">
        <v>0</v>
      </c>
      <c r="Q52" s="18" t="n">
        <v>22.98607368</v>
      </c>
      <c r="R52" s="20" t="n">
        <v>1.57326682</v>
      </c>
    </row>
    <row r="53" spans="1:18">
      <c r="A53" s="15" t="s">
        <v>476</v>
      </c>
      <c r="B53" s="17" t="n">
        <v>4740</v>
      </c>
      <c r="C53" s="18">
        <f>(3979.0/B53*100)</f>
        <v/>
      </c>
      <c r="D53" s="19" t="n">
        <v>761</v>
      </c>
      <c r="E53" s="18" t="n">
        <v>50.89949902</v>
      </c>
      <c r="F53" s="20" t="n">
        <v>1.99892135</v>
      </c>
      <c r="G53" s="18" t="n">
        <v>15.6816779</v>
      </c>
      <c r="H53" s="20" t="n">
        <v>1.54784024</v>
      </c>
      <c r="I53" s="18" t="n">
        <v>0</v>
      </c>
      <c r="J53" s="20" t="n">
        <v>0</v>
      </c>
      <c r="K53" s="18" t="n">
        <v>14.20655757</v>
      </c>
      <c r="L53" s="20" t="n">
        <v>1.08809974</v>
      </c>
      <c r="M53" s="18" t="n">
        <v>0.532385</v>
      </c>
      <c r="N53" s="20" t="n">
        <v>0.41407528</v>
      </c>
      <c r="O53" s="18" t="n">
        <v>0</v>
      </c>
      <c r="P53" s="20" t="n">
        <v>0</v>
      </c>
      <c r="Q53" s="18" t="n">
        <v>18.67988051</v>
      </c>
      <c r="R53" s="20" t="n">
        <v>1.46864087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(4703.0/B55*100)</f>
        <v/>
      </c>
      <c r="D55" s="19" t="n">
        <v>656</v>
      </c>
      <c r="E55" s="18" t="n">
        <v>44.92242421</v>
      </c>
      <c r="F55" s="20" t="n">
        <v>1.91790376</v>
      </c>
      <c r="G55" s="18" t="n">
        <v>46.93850613</v>
      </c>
      <c r="H55" s="20" t="n">
        <v>1.93859258</v>
      </c>
      <c r="I55" s="18" t="n">
        <v>0</v>
      </c>
      <c r="J55" s="20" t="n">
        <v>0</v>
      </c>
      <c r="K55" s="18" t="n">
        <v>0.52000455</v>
      </c>
      <c r="L55" s="20" t="n">
        <v>0.30395723</v>
      </c>
      <c r="M55" s="18" t="n">
        <v>0.11920166</v>
      </c>
      <c r="N55" s="20" t="n">
        <v>0.11897178</v>
      </c>
      <c r="O55" s="18" t="n">
        <v>0</v>
      </c>
      <c r="P55" s="20" t="n">
        <v>0</v>
      </c>
      <c r="Q55" s="18" t="n">
        <v>7.49986345</v>
      </c>
      <c r="R55" s="20" t="n">
        <v>1.21208692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(5712.0/B61*100)</f>
        <v/>
      </c>
      <c r="D61" s="19" t="n">
        <v>813</v>
      </c>
      <c r="E61" s="18" t="n">
        <v>38.41037618</v>
      </c>
      <c r="F61" s="20" t="n">
        <v>2.1073284</v>
      </c>
      <c r="G61" s="18" t="n">
        <v>45.0238086</v>
      </c>
      <c r="H61" s="20" t="n">
        <v>2.17490847</v>
      </c>
      <c r="I61" s="18" t="n">
        <v>0</v>
      </c>
      <c r="J61" s="20" t="n">
        <v>0</v>
      </c>
      <c r="K61" s="18" t="n">
        <v>1.26541177</v>
      </c>
      <c r="L61" s="20" t="n">
        <v>0.40733658</v>
      </c>
      <c r="M61" s="18" t="n">
        <v>0</v>
      </c>
      <c r="N61" s="20" t="n">
        <v>0</v>
      </c>
      <c r="O61" s="18" t="n">
        <v>0</v>
      </c>
      <c r="P61" s="20" t="n">
        <v>0</v>
      </c>
      <c r="Q61" s="18" t="n">
        <v>15.30040345</v>
      </c>
      <c r="R61" s="20" t="n">
        <v>1.55126893</v>
      </c>
    </row>
    <row r="62" spans="1:18">
      <c r="A62" s="15" t="s">
        <v>486</v>
      </c>
      <c r="B62" s="17" t="n">
        <v>4476</v>
      </c>
      <c r="C62" s="18">
        <f>(3954.0/B62*100)</f>
        <v/>
      </c>
      <c r="D62" s="19" t="n">
        <v>522</v>
      </c>
      <c r="E62" s="18" t="n">
        <v>60.27515582</v>
      </c>
      <c r="F62" s="20" t="n">
        <v>2.02506753</v>
      </c>
      <c r="G62" s="18" t="n">
        <v>36.2442857</v>
      </c>
      <c r="H62" s="20" t="n">
        <v>2.03232886</v>
      </c>
      <c r="I62" s="18" t="n">
        <v>0</v>
      </c>
      <c r="J62" s="20" t="n">
        <v>0</v>
      </c>
      <c r="K62" s="18" t="n">
        <v>0.19023967</v>
      </c>
      <c r="L62" s="20" t="n">
        <v>0.19187757</v>
      </c>
      <c r="M62" s="18" t="n">
        <v>0.19023967</v>
      </c>
      <c r="N62" s="20" t="n">
        <v>0.19205358</v>
      </c>
      <c r="O62" s="18" t="n">
        <v>0</v>
      </c>
      <c r="P62" s="20" t="n">
        <v>0</v>
      </c>
      <c r="Q62" s="18" t="n">
        <v>3.10007914</v>
      </c>
      <c r="R62" s="20" t="n">
        <v>0.70415792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(4997.0/B67*100)</f>
        <v/>
      </c>
      <c r="D67" s="19" t="n">
        <v>668</v>
      </c>
      <c r="E67" s="18" t="n">
        <v>25.51675939</v>
      </c>
      <c r="F67" s="20" t="n">
        <v>1.63024499</v>
      </c>
      <c r="G67" s="18" t="n">
        <v>30.64387659</v>
      </c>
      <c r="H67" s="20" t="n">
        <v>2.15660672</v>
      </c>
      <c r="I67" s="18" t="n">
        <v>0</v>
      </c>
      <c r="J67" s="20" t="n">
        <v>0</v>
      </c>
      <c r="K67" s="18" t="n">
        <v>3.17915521</v>
      </c>
      <c r="L67" s="20" t="n">
        <v>0.67661191</v>
      </c>
      <c r="M67" s="18" t="n">
        <v>0.90954552</v>
      </c>
      <c r="N67" s="20" t="n">
        <v>0.35864222</v>
      </c>
      <c r="O67" s="18" t="n">
        <v>0</v>
      </c>
      <c r="P67" s="20" t="n">
        <v>0</v>
      </c>
      <c r="Q67" s="18" t="n">
        <v>39.75066329</v>
      </c>
      <c r="R67" s="20" t="n">
        <v>2.11443074</v>
      </c>
    </row>
    <row r="68" spans="1:18">
      <c r="A68" s="15" t="s">
        <v>492</v>
      </c>
      <c r="B68" s="17" t="n">
        <v>6971</v>
      </c>
      <c r="C68" s="18">
        <f>(6257.0/B68*100)</f>
        <v/>
      </c>
      <c r="D68" s="19" t="n">
        <v>714</v>
      </c>
      <c r="E68" s="18" t="n">
        <v>63.68614977</v>
      </c>
      <c r="F68" s="20" t="n">
        <v>1.98120672</v>
      </c>
      <c r="G68" s="18" t="n">
        <v>24.75038128</v>
      </c>
      <c r="H68" s="20" t="n">
        <v>1.76326119</v>
      </c>
      <c r="I68" s="18" t="n">
        <v>0</v>
      </c>
      <c r="J68" s="20" t="n">
        <v>0</v>
      </c>
      <c r="K68" s="18" t="n">
        <v>1.04214117</v>
      </c>
      <c r="L68" s="20" t="n">
        <v>0.34102989</v>
      </c>
      <c r="M68" s="18" t="n">
        <v>0.14114307</v>
      </c>
      <c r="N68" s="20" t="n">
        <v>0.14166462</v>
      </c>
      <c r="O68" s="18" t="n">
        <v>0</v>
      </c>
      <c r="P68" s="20" t="n">
        <v>0</v>
      </c>
      <c r="Q68" s="18" t="n">
        <v>10.38018471</v>
      </c>
      <c r="R68" s="20" t="n">
        <v>1.22321377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(10073.0/B70*100)</f>
        <v/>
      </c>
      <c r="D70" s="19" t="n">
        <v>2010</v>
      </c>
      <c r="E70" s="18" t="n">
        <v>47.67542197</v>
      </c>
      <c r="F70" s="20" t="n">
        <v>1.21015077</v>
      </c>
      <c r="G70" s="18" t="n">
        <v>32.18871123</v>
      </c>
      <c r="H70" s="20" t="n">
        <v>1.02098299</v>
      </c>
      <c r="I70" s="18" t="n">
        <v>0</v>
      </c>
      <c r="J70" s="20" t="n">
        <v>0</v>
      </c>
      <c r="K70" s="18" t="n">
        <v>5.41947352</v>
      </c>
      <c r="L70" s="20" t="n">
        <v>0.57594541</v>
      </c>
      <c r="M70" s="18" t="n">
        <v>0.04923449</v>
      </c>
      <c r="N70" s="20" t="n">
        <v>0.04922936</v>
      </c>
      <c r="O70" s="18" t="n">
        <v>0</v>
      </c>
      <c r="P70" s="20" t="n">
        <v>0</v>
      </c>
      <c r="Q70" s="18" t="n">
        <v>14.66715878</v>
      </c>
      <c r="R70" s="20" t="n">
        <v>0.67687156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(5341.0/B72*100)</f>
        <v/>
      </c>
      <c r="D72" s="19" t="n">
        <v>695</v>
      </c>
      <c r="E72" s="18" t="n">
        <v>30.89898862</v>
      </c>
      <c r="F72" s="20" t="n">
        <v>1.94234628</v>
      </c>
      <c r="G72" s="18" t="n">
        <v>53.13499756</v>
      </c>
      <c r="H72" s="20" t="n">
        <v>2.23463654</v>
      </c>
      <c r="I72" s="18" t="n">
        <v>0</v>
      </c>
      <c r="J72" s="20" t="n">
        <v>0</v>
      </c>
      <c r="K72" s="18" t="n">
        <v>0.95994251</v>
      </c>
      <c r="L72" s="20" t="n">
        <v>0.39829602</v>
      </c>
      <c r="M72" s="18" t="n">
        <v>0.06231645</v>
      </c>
      <c r="N72" s="20" t="n">
        <v>0.06249713</v>
      </c>
      <c r="O72" s="18" t="n">
        <v>0</v>
      </c>
      <c r="P72" s="20" t="n">
        <v>0</v>
      </c>
      <c r="Q72" s="18" t="n">
        <v>14.94375486</v>
      </c>
      <c r="R72" s="20" t="n">
        <v>1.26568573</v>
      </c>
    </row>
    <row r="73" spans="1:18">
      <c r="A73" s="15" t="s">
        <v>497</v>
      </c>
      <c r="B73" s="17" t="n">
        <v>6115</v>
      </c>
      <c r="C73" s="18">
        <f>(5377.0/B73*100)</f>
        <v/>
      </c>
      <c r="D73" s="19" t="n">
        <v>738</v>
      </c>
      <c r="E73" s="18" t="n">
        <v>31.11204817</v>
      </c>
      <c r="F73" s="20" t="n">
        <v>1.80039759</v>
      </c>
      <c r="G73" s="18" t="n">
        <v>64.2861924</v>
      </c>
      <c r="H73" s="20" t="n">
        <v>2.00130287</v>
      </c>
      <c r="I73" s="18" t="n">
        <v>0</v>
      </c>
      <c r="J73" s="20" t="n">
        <v>0</v>
      </c>
      <c r="K73" s="18" t="n">
        <v>0.74675789</v>
      </c>
      <c r="L73" s="20" t="n">
        <v>0.24791572</v>
      </c>
      <c r="M73" s="18" t="n">
        <v>0.07104884</v>
      </c>
      <c r="N73" s="20" t="n">
        <v>0.07214258</v>
      </c>
      <c r="O73" s="18" t="n">
        <v>0</v>
      </c>
      <c r="P73" s="20" t="n">
        <v>0</v>
      </c>
      <c r="Q73" s="18" t="n">
        <v>3.78395271</v>
      </c>
      <c r="R73" s="20" t="n">
        <v>0.7621974500000001</v>
      </c>
    </row>
    <row r="74" spans="1:18">
      <c r="A74" s="15" t="s">
        <v>498</v>
      </c>
      <c r="B74" s="17" t="n">
        <v>7708</v>
      </c>
      <c r="C74" s="18">
        <f>(6748.0/B74*100)</f>
        <v/>
      </c>
      <c r="D74" s="19" t="n">
        <v>960</v>
      </c>
      <c r="E74" s="18" t="n">
        <v>47.45649647</v>
      </c>
      <c r="F74" s="20" t="n">
        <v>1.63625398</v>
      </c>
      <c r="G74" s="18" t="n">
        <v>43.98596223</v>
      </c>
      <c r="H74" s="20" t="n">
        <v>1.67441546</v>
      </c>
      <c r="I74" s="18" t="n">
        <v>0</v>
      </c>
      <c r="J74" s="20" t="n">
        <v>0</v>
      </c>
      <c r="K74" s="18" t="n">
        <v>0.74099806</v>
      </c>
      <c r="L74" s="20" t="n">
        <v>0.24903386</v>
      </c>
      <c r="M74" s="18" t="n">
        <v>0</v>
      </c>
      <c r="N74" s="20" t="n">
        <v>0</v>
      </c>
      <c r="O74" s="18" t="n">
        <v>0</v>
      </c>
      <c r="P74" s="20" t="n">
        <v>0</v>
      </c>
      <c r="Q74" s="18" t="n">
        <v>7.81654324</v>
      </c>
      <c r="R74" s="20" t="n">
        <v>0.83361354</v>
      </c>
    </row>
    <row r="75" spans="1:18">
      <c r="A75" s="15" t="s">
        <v>499</v>
      </c>
      <c r="B75" s="17" t="n">
        <v>8249</v>
      </c>
      <c r="C75" s="18">
        <f>(7273.0/B75*100)</f>
        <v/>
      </c>
      <c r="D75" s="19" t="n">
        <v>976</v>
      </c>
      <c r="E75" s="18" t="n">
        <v>77.16444919</v>
      </c>
      <c r="F75" s="20" t="n">
        <v>1.76160932</v>
      </c>
      <c r="G75" s="18" t="n">
        <v>17.03486857</v>
      </c>
      <c r="H75" s="20" t="n">
        <v>1.43493052</v>
      </c>
      <c r="I75" s="18" t="n">
        <v>0</v>
      </c>
      <c r="J75" s="20" t="n">
        <v>0</v>
      </c>
      <c r="K75" s="18" t="n">
        <v>0.21034468</v>
      </c>
      <c r="L75" s="20" t="n">
        <v>0.17452914</v>
      </c>
      <c r="M75" s="18" t="n">
        <v>0</v>
      </c>
      <c r="N75" s="20" t="n">
        <v>0</v>
      </c>
      <c r="O75" s="18" t="n">
        <v>0</v>
      </c>
      <c r="P75" s="20" t="n">
        <v>0</v>
      </c>
      <c r="Q75" s="18" t="n">
        <v>5.59033755</v>
      </c>
      <c r="R75" s="20" t="n">
        <v>0.86048802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(4805.0/B77*100)</f>
        <v/>
      </c>
      <c r="D77" s="19" t="n">
        <v>570</v>
      </c>
      <c r="E77" s="18" t="n">
        <v>42.5933687</v>
      </c>
      <c r="F77" s="20" t="n">
        <v>2.15533774</v>
      </c>
      <c r="G77" s="18" t="n">
        <v>21.87771576</v>
      </c>
      <c r="H77" s="20" t="n">
        <v>1.74245385</v>
      </c>
      <c r="I77" s="18" t="n">
        <v>0</v>
      </c>
      <c r="J77" s="20" t="n">
        <v>0</v>
      </c>
      <c r="K77" s="18" t="n">
        <v>6.02080697</v>
      </c>
      <c r="L77" s="20" t="n">
        <v>1.02109218</v>
      </c>
      <c r="M77" s="18" t="n">
        <v>0.87149737</v>
      </c>
      <c r="N77" s="20" t="n">
        <v>0.44294867</v>
      </c>
      <c r="O77" s="18" t="n">
        <v>0</v>
      </c>
      <c r="P77" s="20" t="n">
        <v>0</v>
      </c>
      <c r="Q77" s="18" t="n">
        <v>28.63661121</v>
      </c>
      <c r="R77" s="20" t="n">
        <v>2.0542869</v>
      </c>
    </row>
    <row r="78" spans="1:18">
      <c r="A78" s="15" t="s">
        <v>502</v>
      </c>
      <c r="B78" s="17" t="n">
        <v>14167</v>
      </c>
      <c r="C78" s="18">
        <f>(12482.0/B78*100)</f>
        <v/>
      </c>
      <c r="D78" s="19" t="n">
        <v>1685</v>
      </c>
      <c r="E78" s="18" t="n">
        <v>54.19405451</v>
      </c>
      <c r="F78" s="20" t="n">
        <v>1.86169293</v>
      </c>
      <c r="G78" s="18" t="n">
        <v>33.919943</v>
      </c>
      <c r="H78" s="20" t="n">
        <v>1.69659642</v>
      </c>
      <c r="I78" s="18" t="n">
        <v>0</v>
      </c>
      <c r="J78" s="20" t="n">
        <v>0</v>
      </c>
      <c r="K78" s="18" t="n">
        <v>1.61537307</v>
      </c>
      <c r="L78" s="20" t="n">
        <v>0.37928673</v>
      </c>
      <c r="M78" s="18" t="n">
        <v>0.22625675</v>
      </c>
      <c r="N78" s="20" t="n">
        <v>0.11797742</v>
      </c>
      <c r="O78" s="18" t="n">
        <v>0</v>
      </c>
      <c r="P78" s="20" t="n">
        <v>0</v>
      </c>
      <c r="Q78" s="18" t="n">
        <v>10.04437267</v>
      </c>
      <c r="R78" s="20" t="n">
        <v>1.0143973</v>
      </c>
    </row>
    <row r="79" spans="1:18">
      <c r="A79" s="15" t="s">
        <v>503</v>
      </c>
      <c r="B79" s="17" t="n">
        <v>6062</v>
      </c>
      <c r="C79" s="18">
        <f>(5346.0/B79*100)</f>
        <v/>
      </c>
      <c r="D79" s="19" t="n">
        <v>716</v>
      </c>
      <c r="E79" s="18" t="n">
        <v>41.59473442</v>
      </c>
      <c r="F79" s="20" t="n">
        <v>1.64299303</v>
      </c>
      <c r="G79" s="18" t="n">
        <v>30.26475676</v>
      </c>
      <c r="H79" s="20" t="n">
        <v>1.86303051</v>
      </c>
      <c r="I79" s="18" t="n">
        <v>0</v>
      </c>
      <c r="J79" s="20" t="n">
        <v>0</v>
      </c>
      <c r="K79" s="18" t="n">
        <v>3.28592482</v>
      </c>
      <c r="L79" s="20" t="n">
        <v>0.69484839</v>
      </c>
      <c r="M79" s="18" t="n">
        <v>0.15122989</v>
      </c>
      <c r="N79" s="20" t="n">
        <v>0.15739868</v>
      </c>
      <c r="O79" s="18" t="n">
        <v>0</v>
      </c>
      <c r="P79" s="20" t="n">
        <v>0</v>
      </c>
      <c r="Q79" s="18" t="n">
        <v>24.70335412</v>
      </c>
      <c r="R79" s="20" t="n">
        <v>1.68688227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(28411.0/B82*100)</f>
        <v/>
      </c>
      <c r="D82" s="19" t="n">
        <v>3919</v>
      </c>
      <c r="E82" s="18" t="n">
        <v>44.91798033</v>
      </c>
      <c r="F82" s="20" t="n">
        <v>1.26083997</v>
      </c>
      <c r="G82" s="18" t="n">
        <v>42.85616151</v>
      </c>
      <c r="H82" s="20" t="n">
        <v>1.12845216</v>
      </c>
      <c r="I82" s="18" t="n">
        <v>0</v>
      </c>
      <c r="J82" s="20" t="n">
        <v>0</v>
      </c>
      <c r="K82" s="18" t="n">
        <v>0.88703619</v>
      </c>
      <c r="L82" s="20" t="n">
        <v>0.17683522</v>
      </c>
      <c r="M82" s="18" t="n">
        <v>0.27954565</v>
      </c>
      <c r="N82" s="20" t="n">
        <v>0.20164335</v>
      </c>
      <c r="O82" s="18" t="n">
        <v>0</v>
      </c>
      <c r="P82" s="20" t="n">
        <v>0</v>
      </c>
      <c r="Q82" s="18" t="n">
        <v>11.05927634</v>
      </c>
      <c r="R82" s="20" t="n">
        <v>0.78321924</v>
      </c>
    </row>
    <row r="83" spans="1:18">
      <c r="A83" s="15" t="s">
        <v>507</v>
      </c>
      <c r="B83" s="17" t="n">
        <v>1652</v>
      </c>
      <c r="C83" s="18">
        <f>(1462.0/B83*100)</f>
        <v/>
      </c>
      <c r="D83" s="19" t="n">
        <v>190</v>
      </c>
      <c r="E83" s="18" t="n">
        <v>38.19838845</v>
      </c>
      <c r="F83" s="20" t="n">
        <v>4.05089293</v>
      </c>
      <c r="G83" s="18" t="n">
        <v>60.83680126</v>
      </c>
      <c r="H83" s="20" t="n">
        <v>4.25991138</v>
      </c>
      <c r="I83" s="18" t="n">
        <v>0</v>
      </c>
      <c r="J83" s="20" t="n">
        <v>0</v>
      </c>
      <c r="K83" s="18" t="n">
        <v>0.43780062</v>
      </c>
      <c r="L83" s="20" t="n">
        <v>0.41277904</v>
      </c>
      <c r="M83" s="18" t="n">
        <v>0</v>
      </c>
      <c r="N83" s="20" t="n">
        <v>0</v>
      </c>
      <c r="O83" s="18" t="n">
        <v>0</v>
      </c>
      <c r="P83" s="20" t="n">
        <v>0</v>
      </c>
      <c r="Q83" s="18" t="n">
        <v>0.52700967</v>
      </c>
      <c r="R83" s="20" t="n">
        <v>0.54900154</v>
      </c>
    </row>
    <row r="84" spans="1:18">
      <c r="A84" s="23" t="s">
        <v>508</v>
      </c>
      <c r="B84" s="24" t="n">
        <v>1887</v>
      </c>
      <c r="C84" s="25">
        <f>(1661.0/B84*100)</f>
        <v/>
      </c>
      <c r="D84" s="19" t="n">
        <v>226</v>
      </c>
      <c r="E84" s="18" t="n">
        <v>48.07732859</v>
      </c>
      <c r="F84" s="20" t="n">
        <v>3.70786951</v>
      </c>
      <c r="G84" s="18" t="n">
        <v>47.90956983</v>
      </c>
      <c r="H84" s="20" t="n">
        <v>3.81640351</v>
      </c>
      <c r="I84" s="18" t="n">
        <v>0</v>
      </c>
      <c r="J84" s="20" t="n">
        <v>0</v>
      </c>
      <c r="K84" s="18" t="n">
        <v>0.35158328</v>
      </c>
      <c r="L84" s="20" t="n">
        <v>0.32695038</v>
      </c>
      <c r="M84" s="18" t="n">
        <v>0</v>
      </c>
      <c r="N84" s="20" t="n">
        <v>0</v>
      </c>
      <c r="O84" s="18" t="n">
        <v>0</v>
      </c>
      <c r="P84" s="20" t="n">
        <v>0</v>
      </c>
      <c r="Q84" s="18" t="n">
        <v>3.66151829</v>
      </c>
      <c r="R84" s="20" t="n">
        <v>1.76695971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545</v>
      </c>
    </row>
    <row customHeight="1" ht="30" r="4" spans="1:20">
      <c r="A4" s="6" t="n"/>
      <c r="B4" s="7" t="s">
        <v>415</v>
      </c>
      <c r="C4" s="7" t="s">
        <v>416</v>
      </c>
      <c r="D4" s="8" t="s">
        <v>415</v>
      </c>
      <c r="E4" s="9" t="s">
        <v>417</v>
      </c>
      <c r="F4" s="10" t="n"/>
      <c r="G4" s="9" t="s">
        <v>546</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(12819.0/B7*100)</f>
        <v/>
      </c>
      <c r="D7" s="19" t="n">
        <v>1711</v>
      </c>
      <c r="E7" s="18" t="n">
        <v>25.67062708</v>
      </c>
      <c r="F7" s="20" t="n">
        <v>1.16867445</v>
      </c>
      <c r="G7" s="18" t="n">
        <v>14.33068193</v>
      </c>
      <c r="H7" s="20" t="n">
        <v>0.93327215</v>
      </c>
      <c r="I7" s="18" t="n">
        <v>52.30054826</v>
      </c>
      <c r="J7" s="20" t="n">
        <v>1.45311131</v>
      </c>
      <c r="K7" s="18" t="n">
        <v>0</v>
      </c>
      <c r="L7" s="20" t="n">
        <v>0</v>
      </c>
      <c r="M7" s="18" t="n">
        <v>1.47825596</v>
      </c>
      <c r="N7" s="20" t="n">
        <v>0.35188671</v>
      </c>
      <c r="O7" s="18" t="n">
        <v>0.03350222</v>
      </c>
      <c r="P7" s="20" t="n">
        <v>0.02209759</v>
      </c>
      <c r="Q7" s="18" t="n">
        <v>0</v>
      </c>
      <c r="R7" s="20" t="n">
        <v>0</v>
      </c>
      <c r="S7" s="18" t="n">
        <v>6.18638455</v>
      </c>
      <c r="T7" s="20" t="n">
        <v>0.67465676</v>
      </c>
    </row>
    <row r="8" spans="1:20">
      <c r="A8" s="15" t="s">
        <v>430</v>
      </c>
      <c r="B8" s="17" t="n">
        <v>7007</v>
      </c>
      <c r="C8" s="18">
        <f>(6185.0/B8*100)</f>
        <v/>
      </c>
      <c r="D8" s="19" t="n">
        <v>822</v>
      </c>
      <c r="E8" s="18" t="n">
        <v>28.03828046</v>
      </c>
      <c r="F8" s="20" t="n">
        <v>1.89190228</v>
      </c>
      <c r="G8" s="18" t="n">
        <v>30.02577378</v>
      </c>
      <c r="H8" s="20" t="n">
        <v>2.24785227</v>
      </c>
      <c r="I8" s="18" t="n">
        <v>34.54512367</v>
      </c>
      <c r="J8" s="20" t="n">
        <v>1.98112212</v>
      </c>
      <c r="K8" s="18" t="n">
        <v>0</v>
      </c>
      <c r="L8" s="20" t="n">
        <v>0</v>
      </c>
      <c r="M8" s="18" t="n">
        <v>0.73092025</v>
      </c>
      <c r="N8" s="20" t="n">
        <v>0.2556872</v>
      </c>
      <c r="O8" s="18" t="n">
        <v>0</v>
      </c>
      <c r="P8" s="20" t="n">
        <v>0</v>
      </c>
      <c r="Q8" s="18" t="n">
        <v>0</v>
      </c>
      <c r="R8" s="20" t="n">
        <v>0</v>
      </c>
      <c r="S8" s="18" t="n">
        <v>6.65990183</v>
      </c>
      <c r="T8" s="20" t="n">
        <v>0.86490963</v>
      </c>
    </row>
    <row r="9" spans="1:20">
      <c r="A9" s="15" t="s">
        <v>431</v>
      </c>
      <c r="B9" s="17" t="n">
        <v>9651</v>
      </c>
      <c r="C9" s="18">
        <f>(8536.0/B9*100)</f>
        <v/>
      </c>
      <c r="D9" s="19" t="n">
        <v>1115</v>
      </c>
      <c r="E9" s="18" t="n">
        <v>29.50423693</v>
      </c>
      <c r="F9" s="20" t="n">
        <v>1.46857729</v>
      </c>
      <c r="G9" s="18" t="n">
        <v>16.7156627</v>
      </c>
      <c r="H9" s="20" t="n">
        <v>1.29474844</v>
      </c>
      <c r="I9" s="18" t="n">
        <v>48.72278475</v>
      </c>
      <c r="J9" s="20" t="n">
        <v>1.44663433</v>
      </c>
      <c r="K9" s="18" t="n">
        <v>0</v>
      </c>
      <c r="L9" s="20" t="n">
        <v>0</v>
      </c>
      <c r="M9" s="18" t="n">
        <v>1.0988535</v>
      </c>
      <c r="N9" s="20" t="n">
        <v>0.44376967</v>
      </c>
      <c r="O9" s="18" t="n">
        <v>0.15312878</v>
      </c>
      <c r="P9" s="20" t="n">
        <v>0.11030172</v>
      </c>
      <c r="Q9" s="18" t="n">
        <v>0</v>
      </c>
      <c r="R9" s="20" t="n">
        <v>0</v>
      </c>
      <c r="S9" s="18" t="n">
        <v>3.80533333</v>
      </c>
      <c r="T9" s="20" t="n">
        <v>0.76215745</v>
      </c>
    </row>
    <row r="10" spans="1:20">
      <c r="A10" s="15" t="s">
        <v>432</v>
      </c>
      <c r="B10" s="17" t="n">
        <v>20058</v>
      </c>
      <c r="C10" s="18">
        <f>(17626.0/B10*100)</f>
        <v/>
      </c>
      <c r="D10" s="19" t="n">
        <v>2432</v>
      </c>
      <c r="E10" s="18" t="n">
        <v>23.49157809</v>
      </c>
      <c r="F10" s="20" t="n">
        <v>0.99392216</v>
      </c>
      <c r="G10" s="18" t="n">
        <v>11.20517076</v>
      </c>
      <c r="H10" s="20" t="n">
        <v>0.88249981</v>
      </c>
      <c r="I10" s="18" t="n">
        <v>62.18496773</v>
      </c>
      <c r="J10" s="20" t="n">
        <v>1.26706378</v>
      </c>
      <c r="K10" s="18" t="n">
        <v>0</v>
      </c>
      <c r="L10" s="20" t="n">
        <v>0</v>
      </c>
      <c r="M10" s="18" t="n">
        <v>0.9867924</v>
      </c>
      <c r="N10" s="20" t="n">
        <v>0.28472988</v>
      </c>
      <c r="O10" s="18" t="n">
        <v>0.08303146</v>
      </c>
      <c r="P10" s="20" t="n">
        <v>0.08421984</v>
      </c>
      <c r="Q10" s="18" t="n">
        <v>0</v>
      </c>
      <c r="R10" s="20" t="n">
        <v>0</v>
      </c>
      <c r="S10" s="18" t="n">
        <v>2.04845958</v>
      </c>
      <c r="T10" s="20" t="n">
        <v>0.41645961</v>
      </c>
    </row>
    <row r="11" spans="1:20">
      <c r="A11" s="15" t="s">
        <v>433</v>
      </c>
      <c r="B11" s="17" t="n">
        <v>7053</v>
      </c>
      <c r="C11" s="18">
        <f>(6201.0/B11*100)</f>
        <v/>
      </c>
      <c r="D11" s="19" t="n">
        <v>852</v>
      </c>
      <c r="E11" s="18" t="n">
        <v>23.69139877</v>
      </c>
      <c r="F11" s="20" t="n">
        <v>1.9375518</v>
      </c>
      <c r="G11" s="18" t="n">
        <v>11.84084275</v>
      </c>
      <c r="H11" s="20" t="n">
        <v>1.20986532</v>
      </c>
      <c r="I11" s="18" t="n">
        <v>56.7768708</v>
      </c>
      <c r="J11" s="20" t="n">
        <v>2.19937688</v>
      </c>
      <c r="K11" s="18" t="n">
        <v>0</v>
      </c>
      <c r="L11" s="20" t="n">
        <v>0</v>
      </c>
      <c r="M11" s="18" t="n">
        <v>1.5152778</v>
      </c>
      <c r="N11" s="20" t="n">
        <v>0.5753707</v>
      </c>
      <c r="O11" s="18" t="n">
        <v>0.0518839</v>
      </c>
      <c r="P11" s="20" t="n">
        <v>0.05659252</v>
      </c>
      <c r="Q11" s="18" t="n">
        <v>0</v>
      </c>
      <c r="R11" s="20" t="n">
        <v>0</v>
      </c>
      <c r="S11" s="18" t="n">
        <v>6.12372599</v>
      </c>
      <c r="T11" s="20" t="n">
        <v>0.8222446</v>
      </c>
    </row>
    <row r="12" spans="1:20">
      <c r="A12" s="15" t="s">
        <v>434</v>
      </c>
      <c r="B12" s="17" t="n">
        <v>6894</v>
      </c>
      <c r="C12" s="18">
        <f>(6055.0/B12*100)</f>
        <v/>
      </c>
      <c r="D12" s="19" t="n">
        <v>839</v>
      </c>
      <c r="E12" s="18" t="n">
        <v>19.50010238</v>
      </c>
      <c r="F12" s="20" t="n">
        <v>1.3964955</v>
      </c>
      <c r="G12" s="18" t="n">
        <v>27.36464855</v>
      </c>
      <c r="H12" s="20" t="n">
        <v>1.66176898</v>
      </c>
      <c r="I12" s="18" t="n">
        <v>43.96303983</v>
      </c>
      <c r="J12" s="20" t="n">
        <v>1.76341478</v>
      </c>
      <c r="K12" s="18" t="n">
        <v>0</v>
      </c>
      <c r="L12" s="20" t="n">
        <v>0</v>
      </c>
      <c r="M12" s="18" t="n">
        <v>1.60838349</v>
      </c>
      <c r="N12" s="20" t="n">
        <v>0.59336517</v>
      </c>
      <c r="O12" s="18" t="n">
        <v>0.07126349999999999</v>
      </c>
      <c r="P12" s="20" t="n">
        <v>0.09517602</v>
      </c>
      <c r="Q12" s="18" t="n">
        <v>0</v>
      </c>
      <c r="R12" s="20" t="n">
        <v>0</v>
      </c>
      <c r="S12" s="18" t="n">
        <v>7.49256224</v>
      </c>
      <c r="T12" s="20" t="n">
        <v>1.18795831</v>
      </c>
    </row>
    <row r="13" spans="1:20">
      <c r="A13" s="15" t="s">
        <v>435</v>
      </c>
      <c r="B13" s="17" t="n">
        <v>7161</v>
      </c>
      <c r="C13" s="18">
        <f>(6339.0/B13*100)</f>
        <v/>
      </c>
      <c r="D13" s="19" t="n">
        <v>822</v>
      </c>
      <c r="E13" s="18" t="n">
        <v>34.34861281</v>
      </c>
      <c r="F13" s="20" t="n">
        <v>2.17339006</v>
      </c>
      <c r="G13" s="18" t="n">
        <v>9.724207959999999</v>
      </c>
      <c r="H13" s="20" t="n">
        <v>1.02955803</v>
      </c>
      <c r="I13" s="18" t="n">
        <v>48.90624425</v>
      </c>
      <c r="J13" s="20" t="n">
        <v>2.25681108</v>
      </c>
      <c r="K13" s="18" t="n">
        <v>0</v>
      </c>
      <c r="L13" s="20" t="n">
        <v>0</v>
      </c>
      <c r="M13" s="18" t="n">
        <v>1.18280679</v>
      </c>
      <c r="N13" s="20" t="n">
        <v>0.49164247</v>
      </c>
      <c r="O13" s="18" t="n">
        <v>0.03730304</v>
      </c>
      <c r="P13" s="20" t="n">
        <v>0.03729528</v>
      </c>
      <c r="Q13" s="18" t="n">
        <v>0</v>
      </c>
      <c r="R13" s="20" t="n">
        <v>0</v>
      </c>
      <c r="S13" s="18" t="n">
        <v>5.80082514</v>
      </c>
      <c r="T13" s="20" t="n">
        <v>0.8893561</v>
      </c>
    </row>
    <row r="14" spans="1:20">
      <c r="A14" s="15" t="s">
        <v>436</v>
      </c>
      <c r="B14" s="17" t="n">
        <v>5587</v>
      </c>
      <c r="C14" s="18">
        <f>(4922.0/B14*100)</f>
        <v/>
      </c>
      <c r="D14" s="19" t="n">
        <v>665</v>
      </c>
      <c r="E14" s="18" t="n">
        <v>17.96825009</v>
      </c>
      <c r="F14" s="20" t="n">
        <v>1.76557111</v>
      </c>
      <c r="G14" s="18" t="n">
        <v>17.01637286</v>
      </c>
      <c r="H14" s="20" t="n">
        <v>1.52282816</v>
      </c>
      <c r="I14" s="18" t="n">
        <v>62.15994825</v>
      </c>
      <c r="J14" s="20" t="n">
        <v>2.31205702</v>
      </c>
      <c r="K14" s="18" t="n">
        <v>0</v>
      </c>
      <c r="L14" s="20" t="n">
        <v>0</v>
      </c>
      <c r="M14" s="18" t="n">
        <v>0.50529097</v>
      </c>
      <c r="N14" s="20" t="n">
        <v>0.17753015</v>
      </c>
      <c r="O14" s="18" t="n">
        <v>0</v>
      </c>
      <c r="P14" s="20" t="n">
        <v>0</v>
      </c>
      <c r="Q14" s="18" t="n">
        <v>0</v>
      </c>
      <c r="R14" s="20" t="n">
        <v>0</v>
      </c>
      <c r="S14" s="18" t="n">
        <v>2.35013782</v>
      </c>
      <c r="T14" s="20" t="n">
        <v>0.61810546</v>
      </c>
    </row>
    <row r="15" spans="1:20">
      <c r="A15" s="15" t="s">
        <v>437</v>
      </c>
      <c r="B15" s="17" t="n">
        <v>5882</v>
      </c>
      <c r="C15" s="18">
        <f>(5149.0/B15*100)</f>
        <v/>
      </c>
      <c r="D15" s="19" t="n">
        <v>733</v>
      </c>
      <c r="E15" s="18" t="n">
        <v>26.01792685</v>
      </c>
      <c r="F15" s="20" t="n">
        <v>1.73324149</v>
      </c>
      <c r="G15" s="18" t="n">
        <v>14.55995306</v>
      </c>
      <c r="H15" s="20" t="n">
        <v>1.40854217</v>
      </c>
      <c r="I15" s="18" t="n">
        <v>54.1946025</v>
      </c>
      <c r="J15" s="20" t="n">
        <v>2.24838279</v>
      </c>
      <c r="K15" s="18" t="n">
        <v>0</v>
      </c>
      <c r="L15" s="20" t="n">
        <v>0</v>
      </c>
      <c r="M15" s="18" t="n">
        <v>1.65071679</v>
      </c>
      <c r="N15" s="20" t="n">
        <v>0.4655185</v>
      </c>
      <c r="O15" s="18" t="n">
        <v>0</v>
      </c>
      <c r="P15" s="20" t="n">
        <v>0</v>
      </c>
      <c r="Q15" s="18" t="n">
        <v>0</v>
      </c>
      <c r="R15" s="20" t="n">
        <v>0</v>
      </c>
      <c r="S15" s="18" t="n">
        <v>3.5768008</v>
      </c>
      <c r="T15" s="20" t="n">
        <v>0.68248489</v>
      </c>
    </row>
    <row r="16" spans="1:20">
      <c r="A16" s="15" t="s">
        <v>438</v>
      </c>
      <c r="B16" s="17" t="n">
        <v>6108</v>
      </c>
      <c r="C16" s="18">
        <f>(5345.0/B16*100)</f>
        <v/>
      </c>
      <c r="D16" s="19" t="n">
        <v>763</v>
      </c>
      <c r="E16" s="18" t="n">
        <v>24.41523522</v>
      </c>
      <c r="F16" s="20" t="n">
        <v>1.5346606</v>
      </c>
      <c r="G16" s="18" t="n">
        <v>11.22610481</v>
      </c>
      <c r="H16" s="20" t="n">
        <v>1.28608703</v>
      </c>
      <c r="I16" s="18" t="n">
        <v>49.67967942</v>
      </c>
      <c r="J16" s="20" t="n">
        <v>1.93229681</v>
      </c>
      <c r="K16" s="18" t="n">
        <v>0</v>
      </c>
      <c r="L16" s="20" t="n">
        <v>0</v>
      </c>
      <c r="M16" s="18" t="n">
        <v>2.64931511</v>
      </c>
      <c r="N16" s="20" t="n">
        <v>0.70569223</v>
      </c>
      <c r="O16" s="18" t="n">
        <v>0.14625438</v>
      </c>
      <c r="P16" s="20" t="n">
        <v>0.14577276</v>
      </c>
      <c r="Q16" s="18" t="n">
        <v>0</v>
      </c>
      <c r="R16" s="20" t="n">
        <v>0</v>
      </c>
      <c r="S16" s="18" t="n">
        <v>11.88341106</v>
      </c>
      <c r="T16" s="20" t="n">
        <v>1.05374483</v>
      </c>
    </row>
    <row r="17" spans="1:20">
      <c r="A17" s="15" t="s">
        <v>439</v>
      </c>
      <c r="B17" s="17" t="n">
        <v>6504</v>
      </c>
      <c r="C17" s="18">
        <f>(5727.0/B17*100)</f>
        <v/>
      </c>
      <c r="D17" s="19" t="n">
        <v>777</v>
      </c>
      <c r="E17" s="18" t="n">
        <v>31.12862557</v>
      </c>
      <c r="F17" s="20" t="n">
        <v>1.57786656</v>
      </c>
      <c r="G17" s="18" t="n">
        <v>20.96580604</v>
      </c>
      <c r="H17" s="20" t="n">
        <v>1.77986456</v>
      </c>
      <c r="I17" s="18" t="n">
        <v>41.51199805</v>
      </c>
      <c r="J17" s="20" t="n">
        <v>1.82336756</v>
      </c>
      <c r="K17" s="18" t="n">
        <v>0</v>
      </c>
      <c r="L17" s="20" t="n">
        <v>0</v>
      </c>
      <c r="M17" s="18" t="n">
        <v>1.5405352</v>
      </c>
      <c r="N17" s="20" t="n">
        <v>0.46386609</v>
      </c>
      <c r="O17" s="18" t="n">
        <v>0</v>
      </c>
      <c r="P17" s="20" t="n">
        <v>0</v>
      </c>
      <c r="Q17" s="18" t="n">
        <v>0</v>
      </c>
      <c r="R17" s="20" t="n">
        <v>0</v>
      </c>
      <c r="S17" s="18" t="n">
        <v>4.85303514</v>
      </c>
      <c r="T17" s="20" t="n">
        <v>0.88686047</v>
      </c>
    </row>
    <row r="18" spans="1:20">
      <c r="A18" s="15" t="s">
        <v>440</v>
      </c>
      <c r="B18" s="17" t="n">
        <v>5532</v>
      </c>
      <c r="C18" s="18">
        <f>(4848.0/B18*100)</f>
        <v/>
      </c>
      <c r="D18" s="19" t="n">
        <v>684</v>
      </c>
      <c r="E18" s="18" t="n">
        <v>35.21958054</v>
      </c>
      <c r="F18" s="20" t="n">
        <v>1.81680986</v>
      </c>
      <c r="G18" s="18" t="n">
        <v>13.03778407</v>
      </c>
      <c r="H18" s="20" t="n">
        <v>1.41364922</v>
      </c>
      <c r="I18" s="18" t="n">
        <v>41.55479105</v>
      </c>
      <c r="J18" s="20" t="n">
        <v>2.02158264</v>
      </c>
      <c r="K18" s="18" t="n">
        <v>0</v>
      </c>
      <c r="L18" s="20" t="n">
        <v>0</v>
      </c>
      <c r="M18" s="18" t="n">
        <v>2.75119498</v>
      </c>
      <c r="N18" s="20" t="n">
        <v>0.69974936</v>
      </c>
      <c r="O18" s="18" t="n">
        <v>0</v>
      </c>
      <c r="P18" s="20" t="n">
        <v>0</v>
      </c>
      <c r="Q18" s="18" t="n">
        <v>0</v>
      </c>
      <c r="R18" s="20" t="n">
        <v>0</v>
      </c>
      <c r="S18" s="18" t="n">
        <v>7.43664936</v>
      </c>
      <c r="T18" s="20" t="n">
        <v>1.04237786</v>
      </c>
    </row>
    <row r="19" spans="1:20">
      <c r="A19" s="15" t="s">
        <v>441</v>
      </c>
      <c r="B19" s="17" t="n">
        <v>5658</v>
      </c>
      <c r="C19" s="18">
        <f>(4952.0/B19*100)</f>
        <v/>
      </c>
      <c r="D19" s="19" t="n">
        <v>706</v>
      </c>
      <c r="E19" s="18" t="n">
        <v>28.88055689</v>
      </c>
      <c r="F19" s="20" t="n">
        <v>1.734317</v>
      </c>
      <c r="G19" s="18" t="n">
        <v>12.95407511</v>
      </c>
      <c r="H19" s="20" t="n">
        <v>1.29970285</v>
      </c>
      <c r="I19" s="18" t="n">
        <v>46.59945894</v>
      </c>
      <c r="J19" s="20" t="n">
        <v>1.88938519</v>
      </c>
      <c r="K19" s="18" t="n">
        <v>0</v>
      </c>
      <c r="L19" s="20" t="n">
        <v>0</v>
      </c>
      <c r="M19" s="18" t="n">
        <v>1.94684793</v>
      </c>
      <c r="N19" s="20" t="n">
        <v>0.72211108</v>
      </c>
      <c r="O19" s="18" t="n">
        <v>0</v>
      </c>
      <c r="P19" s="20" t="n">
        <v>0</v>
      </c>
      <c r="Q19" s="18" t="n">
        <v>0</v>
      </c>
      <c r="R19" s="20" t="n">
        <v>0</v>
      </c>
      <c r="S19" s="18" t="n">
        <v>9.61906113</v>
      </c>
      <c r="T19" s="20" t="n">
        <v>1.12568986</v>
      </c>
    </row>
    <row r="20" spans="1:20">
      <c r="A20" s="15" t="s">
        <v>442</v>
      </c>
      <c r="B20" s="17" t="n">
        <v>3371</v>
      </c>
      <c r="C20" s="18">
        <f>(2961.0/B20*100)</f>
        <v/>
      </c>
      <c r="D20" s="19" t="n">
        <v>410</v>
      </c>
      <c r="E20" s="18" t="n">
        <v>49.73196295</v>
      </c>
      <c r="F20" s="20" t="n">
        <v>2.3700409</v>
      </c>
      <c r="G20" s="18" t="n">
        <v>10.58035995</v>
      </c>
      <c r="H20" s="20" t="n">
        <v>1.51337727</v>
      </c>
      <c r="I20" s="18" t="n">
        <v>28.57951778</v>
      </c>
      <c r="J20" s="20" t="n">
        <v>2.26067611</v>
      </c>
      <c r="K20" s="18" t="n">
        <v>0</v>
      </c>
      <c r="L20" s="20" t="n">
        <v>0</v>
      </c>
      <c r="M20" s="18" t="n">
        <v>1.72753164</v>
      </c>
      <c r="N20" s="20" t="n">
        <v>0.53690088</v>
      </c>
      <c r="O20" s="18" t="n">
        <v>0.58467359</v>
      </c>
      <c r="P20" s="20" t="n">
        <v>0.33562838</v>
      </c>
      <c r="Q20" s="18" t="n">
        <v>0</v>
      </c>
      <c r="R20" s="20" t="n">
        <v>0</v>
      </c>
      <c r="S20" s="18" t="n">
        <v>8.79595409</v>
      </c>
      <c r="T20" s="20" t="n">
        <v>1.43025069</v>
      </c>
    </row>
    <row r="21" spans="1:20">
      <c r="A21" s="15" t="s">
        <v>443</v>
      </c>
      <c r="B21" s="17" t="n">
        <v>5741</v>
      </c>
      <c r="C21" s="18">
        <f>(4808.0/B21*100)</f>
        <v/>
      </c>
      <c r="D21" s="19" t="n">
        <v>933</v>
      </c>
      <c r="E21" s="18" t="n">
        <v>25.30393249</v>
      </c>
      <c r="F21" s="20" t="n">
        <v>1.4810183</v>
      </c>
      <c r="G21" s="18" t="n">
        <v>16.74478884</v>
      </c>
      <c r="H21" s="20" t="n">
        <v>1.07607202</v>
      </c>
      <c r="I21" s="18" t="n">
        <v>55.05192125</v>
      </c>
      <c r="J21" s="20" t="n">
        <v>1.74830648</v>
      </c>
      <c r="K21" s="18" t="n">
        <v>0</v>
      </c>
      <c r="L21" s="20" t="n">
        <v>0</v>
      </c>
      <c r="M21" s="18" t="n">
        <v>0.85130112</v>
      </c>
      <c r="N21" s="20" t="n">
        <v>0.30449286</v>
      </c>
      <c r="O21" s="18" t="n">
        <v>0.08197525999999999</v>
      </c>
      <c r="P21" s="20" t="n">
        <v>0.08197408</v>
      </c>
      <c r="Q21" s="18" t="n">
        <v>0</v>
      </c>
      <c r="R21" s="20" t="n">
        <v>0</v>
      </c>
      <c r="S21" s="18" t="n">
        <v>1.96608105</v>
      </c>
      <c r="T21" s="20" t="n">
        <v>0.32173612</v>
      </c>
    </row>
    <row r="22" spans="1:20">
      <c r="A22" s="15" t="s">
        <v>444</v>
      </c>
      <c r="B22" s="17" t="n">
        <v>6598</v>
      </c>
      <c r="C22" s="18">
        <f>(5799.0/B22*100)</f>
        <v/>
      </c>
      <c r="D22" s="19" t="n">
        <v>799</v>
      </c>
      <c r="E22" s="18" t="n">
        <v>34.56791957</v>
      </c>
      <c r="F22" s="20" t="n">
        <v>1.55425779</v>
      </c>
      <c r="G22" s="18" t="n">
        <v>9.180496509999999</v>
      </c>
      <c r="H22" s="20" t="n">
        <v>1.26581546</v>
      </c>
      <c r="I22" s="18" t="n">
        <v>43.09640394</v>
      </c>
      <c r="J22" s="20" t="n">
        <v>1.87606912</v>
      </c>
      <c r="K22" s="18" t="n">
        <v>0</v>
      </c>
      <c r="L22" s="20" t="n">
        <v>0</v>
      </c>
      <c r="M22" s="18" t="n">
        <v>1.2227196</v>
      </c>
      <c r="N22" s="20" t="n">
        <v>0.37639041</v>
      </c>
      <c r="O22" s="18" t="n">
        <v>0</v>
      </c>
      <c r="P22" s="20" t="n">
        <v>0</v>
      </c>
      <c r="Q22" s="18" t="n">
        <v>0</v>
      </c>
      <c r="R22" s="20" t="n">
        <v>0</v>
      </c>
      <c r="S22" s="18" t="n">
        <v>11.93246037</v>
      </c>
      <c r="T22" s="20" t="n">
        <v>1.12294371</v>
      </c>
    </row>
    <row r="23" spans="1:20">
      <c r="A23" s="15" t="s">
        <v>445</v>
      </c>
      <c r="B23" s="17" t="n">
        <v>11583</v>
      </c>
      <c r="C23" s="18">
        <f>(10178.0/B23*100)</f>
        <v/>
      </c>
      <c r="D23" s="19" t="n">
        <v>1405</v>
      </c>
      <c r="E23" s="18" t="n">
        <v>19.78930036</v>
      </c>
      <c r="F23" s="20" t="n">
        <v>1.34904646</v>
      </c>
      <c r="G23" s="18" t="n">
        <v>18.04575537</v>
      </c>
      <c r="H23" s="20" t="n">
        <v>1.4059555</v>
      </c>
      <c r="I23" s="18" t="n">
        <v>52.53356247</v>
      </c>
      <c r="J23" s="20" t="n">
        <v>1.7247312</v>
      </c>
      <c r="K23" s="18" t="n">
        <v>0</v>
      </c>
      <c r="L23" s="20" t="n">
        <v>0</v>
      </c>
      <c r="M23" s="18" t="n">
        <v>1.11699086</v>
      </c>
      <c r="N23" s="20" t="n">
        <v>0.54908199</v>
      </c>
      <c r="O23" s="18" t="n">
        <v>1.62855451</v>
      </c>
      <c r="P23" s="20" t="n">
        <v>0.80870443</v>
      </c>
      <c r="Q23" s="18" t="n">
        <v>0</v>
      </c>
      <c r="R23" s="20" t="n">
        <v>0</v>
      </c>
      <c r="S23" s="18" t="n">
        <v>6.88583644</v>
      </c>
      <c r="T23" s="20" t="n">
        <v>1.32543995</v>
      </c>
    </row>
    <row r="24" spans="1:20">
      <c r="A24" s="15" t="s">
        <v>446</v>
      </c>
      <c r="B24" s="17" t="n">
        <v>6647</v>
      </c>
      <c r="C24" s="18">
        <f>(5865.0/B24*100)</f>
        <v/>
      </c>
      <c r="D24" s="19" t="n">
        <v>782</v>
      </c>
      <c r="E24" s="18" t="n">
        <v>26.95437331</v>
      </c>
      <c r="F24" s="20" t="n">
        <v>1.72311457</v>
      </c>
      <c r="G24" s="18" t="n">
        <v>6.91985838</v>
      </c>
      <c r="H24" s="20" t="n">
        <v>0.96015019</v>
      </c>
      <c r="I24" s="18" t="n">
        <v>48.62577495</v>
      </c>
      <c r="J24" s="20" t="n">
        <v>2.02556269</v>
      </c>
      <c r="K24" s="18" t="n">
        <v>0</v>
      </c>
      <c r="L24" s="20" t="n">
        <v>0</v>
      </c>
      <c r="M24" s="18" t="n">
        <v>1.51898485</v>
      </c>
      <c r="N24" s="20" t="n">
        <v>0.48915236</v>
      </c>
      <c r="O24" s="18" t="n">
        <v>0</v>
      </c>
      <c r="P24" s="20" t="n">
        <v>0</v>
      </c>
      <c r="Q24" s="18" t="n">
        <v>0</v>
      </c>
      <c r="R24" s="20" t="n">
        <v>0</v>
      </c>
      <c r="S24" s="18" t="n">
        <v>15.98100851</v>
      </c>
      <c r="T24" s="20" t="n">
        <v>1.3514528</v>
      </c>
    </row>
    <row r="25" spans="1:20">
      <c r="A25" s="15" t="s">
        <v>447</v>
      </c>
      <c r="B25" s="17" t="n">
        <v>5581</v>
      </c>
      <c r="C25" s="18">
        <f>(4896.0/B25*100)</f>
        <v/>
      </c>
      <c r="D25" s="19" t="n">
        <v>685</v>
      </c>
      <c r="E25" s="18" t="n">
        <v>24.60426316</v>
      </c>
      <c r="F25" s="20" t="n">
        <v>1.72442408</v>
      </c>
      <c r="G25" s="18" t="n">
        <v>12.26319754</v>
      </c>
      <c r="H25" s="20" t="n">
        <v>1.33749862</v>
      </c>
      <c r="I25" s="18" t="n">
        <v>56.32740571</v>
      </c>
      <c r="J25" s="20" t="n">
        <v>2.02886173</v>
      </c>
      <c r="K25" s="18" t="n">
        <v>0</v>
      </c>
      <c r="L25" s="20" t="n">
        <v>0</v>
      </c>
      <c r="M25" s="18" t="n">
        <v>1.23431672</v>
      </c>
      <c r="N25" s="20" t="n">
        <v>0.41433467</v>
      </c>
      <c r="O25" s="18" t="n">
        <v>0</v>
      </c>
      <c r="P25" s="20" t="n">
        <v>0</v>
      </c>
      <c r="Q25" s="18" t="n">
        <v>0</v>
      </c>
      <c r="R25" s="20" t="n">
        <v>0</v>
      </c>
      <c r="S25" s="18" t="n">
        <v>5.57081687</v>
      </c>
      <c r="T25" s="20" t="n">
        <v>0.75710707</v>
      </c>
    </row>
    <row r="26" spans="1:20">
      <c r="A26" s="15" t="s">
        <v>448</v>
      </c>
      <c r="B26" s="17" t="n">
        <v>4869</v>
      </c>
      <c r="C26" s="18">
        <f>(4286.0/B26*100)</f>
        <v/>
      </c>
      <c r="D26" s="19" t="n">
        <v>583</v>
      </c>
      <c r="E26" s="18" t="n">
        <v>40.49821597</v>
      </c>
      <c r="F26" s="20" t="n">
        <v>2.16496054</v>
      </c>
      <c r="G26" s="18" t="n">
        <v>10.98741226</v>
      </c>
      <c r="H26" s="20" t="n">
        <v>1.27158846</v>
      </c>
      <c r="I26" s="18" t="n">
        <v>42.85352975</v>
      </c>
      <c r="J26" s="20" t="n">
        <v>2.09053535</v>
      </c>
      <c r="K26" s="18" t="n">
        <v>0</v>
      </c>
      <c r="L26" s="20" t="n">
        <v>0</v>
      </c>
      <c r="M26" s="18" t="n">
        <v>0.28475134</v>
      </c>
      <c r="N26" s="20" t="n">
        <v>0.20134262</v>
      </c>
      <c r="O26" s="18" t="n">
        <v>0.63390589</v>
      </c>
      <c r="P26" s="20" t="n">
        <v>0.40747578</v>
      </c>
      <c r="Q26" s="18" t="n">
        <v>0</v>
      </c>
      <c r="R26" s="20" t="n">
        <v>0</v>
      </c>
      <c r="S26" s="18" t="n">
        <v>4.74218478</v>
      </c>
      <c r="T26" s="20" t="n">
        <v>1.02657073</v>
      </c>
    </row>
    <row r="27" spans="1:20">
      <c r="A27" s="15" t="s">
        <v>449</v>
      </c>
      <c r="B27" s="17" t="n">
        <v>5299</v>
      </c>
      <c r="C27" s="18">
        <f>(4674.0/B27*100)</f>
        <v/>
      </c>
      <c r="D27" s="19" t="n">
        <v>625</v>
      </c>
      <c r="E27" s="18" t="n">
        <v>28.81173042</v>
      </c>
      <c r="F27" s="20" t="n">
        <v>2.05279988</v>
      </c>
      <c r="G27" s="18" t="n">
        <v>22.16014335</v>
      </c>
      <c r="H27" s="20" t="n">
        <v>1.73020247</v>
      </c>
      <c r="I27" s="18" t="n">
        <v>37.15699609</v>
      </c>
      <c r="J27" s="20" t="n">
        <v>1.95149332</v>
      </c>
      <c r="K27" s="18" t="n">
        <v>0</v>
      </c>
      <c r="L27" s="20" t="n">
        <v>0</v>
      </c>
      <c r="M27" s="18" t="n">
        <v>1.46569237</v>
      </c>
      <c r="N27" s="20" t="n">
        <v>0.49039357</v>
      </c>
      <c r="O27" s="18" t="n">
        <v>0</v>
      </c>
      <c r="P27" s="20" t="n">
        <v>0</v>
      </c>
      <c r="Q27" s="18" t="n">
        <v>0</v>
      </c>
      <c r="R27" s="20" t="n">
        <v>0</v>
      </c>
      <c r="S27" s="18" t="n">
        <v>10.40543776</v>
      </c>
      <c r="T27" s="20" t="n">
        <v>1.15777113</v>
      </c>
    </row>
    <row r="28" spans="1:20">
      <c r="A28" s="15" t="s">
        <v>450</v>
      </c>
      <c r="B28" s="17" t="n">
        <v>7568</v>
      </c>
      <c r="C28" s="18">
        <f>(6714.0/B28*100)</f>
        <v/>
      </c>
      <c r="D28" s="19" t="n">
        <v>854</v>
      </c>
      <c r="E28" s="18" t="n">
        <v>42.85918691</v>
      </c>
      <c r="F28" s="20" t="n">
        <v>2.19377455</v>
      </c>
      <c r="G28" s="18" t="n">
        <v>26.27640272</v>
      </c>
      <c r="H28" s="20" t="n">
        <v>1.82655941</v>
      </c>
      <c r="I28" s="18" t="n">
        <v>27.91726845</v>
      </c>
      <c r="J28" s="20" t="n">
        <v>2.2836401</v>
      </c>
      <c r="K28" s="18" t="n">
        <v>0</v>
      </c>
      <c r="L28" s="20" t="n">
        <v>0</v>
      </c>
      <c r="M28" s="18" t="n">
        <v>0.37170459</v>
      </c>
      <c r="N28" s="20" t="n">
        <v>0.19914779</v>
      </c>
      <c r="O28" s="18" t="n">
        <v>0.10469333</v>
      </c>
      <c r="P28" s="20" t="n">
        <v>0.10733425</v>
      </c>
      <c r="Q28" s="18" t="n">
        <v>0</v>
      </c>
      <c r="R28" s="20" t="n">
        <v>0</v>
      </c>
      <c r="S28" s="18" t="n">
        <v>2.47074401</v>
      </c>
      <c r="T28" s="20" t="n">
        <v>0.72000111</v>
      </c>
    </row>
    <row r="29" spans="1:20">
      <c r="A29" s="15" t="s">
        <v>451</v>
      </c>
      <c r="B29" s="17" t="n">
        <v>5385</v>
      </c>
      <c r="C29" s="18">
        <f>(4742.0/B29*100)</f>
        <v/>
      </c>
      <c r="D29" s="19" t="n">
        <v>643</v>
      </c>
      <c r="E29" s="18" t="n">
        <v>28.29205329</v>
      </c>
      <c r="F29" s="20" t="n">
        <v>1.88068146</v>
      </c>
      <c r="G29" s="18" t="n">
        <v>12.7134566</v>
      </c>
      <c r="H29" s="20" t="n">
        <v>1.42558959</v>
      </c>
      <c r="I29" s="18" t="n">
        <v>54.52859145</v>
      </c>
      <c r="J29" s="20" t="n">
        <v>1.97185541</v>
      </c>
      <c r="K29" s="18" t="n">
        <v>0</v>
      </c>
      <c r="L29" s="20" t="n">
        <v>0</v>
      </c>
      <c r="M29" s="18" t="n">
        <v>0.37354951</v>
      </c>
      <c r="N29" s="20" t="n">
        <v>0.21182371</v>
      </c>
      <c r="O29" s="18" t="n">
        <v>0.1633203</v>
      </c>
      <c r="P29" s="20" t="n">
        <v>0.17057189</v>
      </c>
      <c r="Q29" s="18" t="n">
        <v>0</v>
      </c>
      <c r="R29" s="20" t="n">
        <v>0</v>
      </c>
      <c r="S29" s="18" t="n">
        <v>3.92902886</v>
      </c>
      <c r="T29" s="20" t="n">
        <v>0.97516422</v>
      </c>
    </row>
    <row r="30" spans="1:20">
      <c r="A30" s="15" t="s">
        <v>452</v>
      </c>
      <c r="B30" s="17" t="n">
        <v>4520</v>
      </c>
      <c r="C30" s="18">
        <f>(3964.0/B30*100)</f>
        <v/>
      </c>
      <c r="D30" s="19" t="n">
        <v>556</v>
      </c>
      <c r="E30" s="18" t="n">
        <v>25.13046129</v>
      </c>
      <c r="F30" s="20" t="n">
        <v>1.93112945</v>
      </c>
      <c r="G30" s="18" t="n">
        <v>10.65796629</v>
      </c>
      <c r="H30" s="20" t="n">
        <v>1.25042413</v>
      </c>
      <c r="I30" s="18" t="n">
        <v>54.52474441</v>
      </c>
      <c r="J30" s="20" t="n">
        <v>2.08928388</v>
      </c>
      <c r="K30" s="18" t="n">
        <v>0</v>
      </c>
      <c r="L30" s="20" t="n">
        <v>0</v>
      </c>
      <c r="M30" s="18" t="n">
        <v>1.3174015</v>
      </c>
      <c r="N30" s="20" t="n">
        <v>0.46603165</v>
      </c>
      <c r="O30" s="18" t="n">
        <v>0.5583993900000001</v>
      </c>
      <c r="P30" s="20" t="n">
        <v>0.39826965</v>
      </c>
      <c r="Q30" s="18" t="n">
        <v>0</v>
      </c>
      <c r="R30" s="20" t="n">
        <v>0</v>
      </c>
      <c r="S30" s="18" t="n">
        <v>7.81102713</v>
      </c>
      <c r="T30" s="20" t="n">
        <v>1.23250282</v>
      </c>
    </row>
    <row r="31" spans="1:20">
      <c r="A31" s="15" t="s">
        <v>453</v>
      </c>
      <c r="B31" s="17" t="n">
        <v>5456</v>
      </c>
      <c r="C31" s="18">
        <f>(4798.0/B31*100)</f>
        <v/>
      </c>
      <c r="D31" s="19" t="n">
        <v>658</v>
      </c>
      <c r="E31" s="18" t="n">
        <v>34.76706172</v>
      </c>
      <c r="F31" s="20" t="n">
        <v>1.82097622</v>
      </c>
      <c r="G31" s="18" t="n">
        <v>16.84890388</v>
      </c>
      <c r="H31" s="20" t="n">
        <v>1.56856206</v>
      </c>
      <c r="I31" s="18" t="n">
        <v>37.37864863</v>
      </c>
      <c r="J31" s="20" t="n">
        <v>1.5118987</v>
      </c>
      <c r="K31" s="18" t="n">
        <v>0</v>
      </c>
      <c r="L31" s="20" t="n">
        <v>0</v>
      </c>
      <c r="M31" s="18" t="n">
        <v>2.38529557</v>
      </c>
      <c r="N31" s="20" t="n">
        <v>0.56342964</v>
      </c>
      <c r="O31" s="18" t="n">
        <v>0.15362166</v>
      </c>
      <c r="P31" s="20" t="n">
        <v>0.14579959</v>
      </c>
      <c r="Q31" s="18" t="n">
        <v>0</v>
      </c>
      <c r="R31" s="20" t="n">
        <v>0</v>
      </c>
      <c r="S31" s="18" t="n">
        <v>8.46646855</v>
      </c>
      <c r="T31" s="20" t="n">
        <v>1.10864576</v>
      </c>
    </row>
    <row r="32" spans="1:20">
      <c r="A32" s="15" t="s">
        <v>454</v>
      </c>
      <c r="B32" s="17" t="n">
        <v>4478</v>
      </c>
      <c r="C32" s="18">
        <f>(3777.0/B32*100)</f>
        <v/>
      </c>
      <c r="D32" s="19" t="n">
        <v>701</v>
      </c>
      <c r="E32" s="18" t="n">
        <v>13.10720577</v>
      </c>
      <c r="F32" s="20" t="n">
        <v>1.36008225</v>
      </c>
      <c r="G32" s="18" t="n">
        <v>13.5584022</v>
      </c>
      <c r="H32" s="20" t="n">
        <v>1.69326752</v>
      </c>
      <c r="I32" s="18" t="n">
        <v>67.21591071</v>
      </c>
      <c r="J32" s="20" t="n">
        <v>1.83283706</v>
      </c>
      <c r="K32" s="18" t="n">
        <v>0</v>
      </c>
      <c r="L32" s="20" t="n">
        <v>0</v>
      </c>
      <c r="M32" s="18" t="n">
        <v>0.94931996</v>
      </c>
      <c r="N32" s="20" t="n">
        <v>0.37701068</v>
      </c>
      <c r="O32" s="18" t="n">
        <v>0.13439901</v>
      </c>
      <c r="P32" s="20" t="n">
        <v>0.13388029</v>
      </c>
      <c r="Q32" s="18" t="n">
        <v>0</v>
      </c>
      <c r="R32" s="20" t="n">
        <v>0</v>
      </c>
      <c r="S32" s="18" t="n">
        <v>5.03476234</v>
      </c>
      <c r="T32" s="20" t="n">
        <v>0.89424047</v>
      </c>
    </row>
    <row r="33" spans="1:20">
      <c r="A33" s="15" t="s">
        <v>455</v>
      </c>
      <c r="B33" s="17" t="n">
        <v>7325</v>
      </c>
      <c r="C33" s="18">
        <f>(6440.0/B33*100)</f>
        <v/>
      </c>
      <c r="D33" s="19" t="n">
        <v>885</v>
      </c>
      <c r="E33" s="18" t="n">
        <v>22.66272752</v>
      </c>
      <c r="F33" s="20" t="n">
        <v>1.69667778</v>
      </c>
      <c r="G33" s="18" t="n">
        <v>13.77793168</v>
      </c>
      <c r="H33" s="20" t="n">
        <v>1.29720987</v>
      </c>
      <c r="I33" s="18" t="n">
        <v>58.3059936</v>
      </c>
      <c r="J33" s="20" t="n">
        <v>2.05174122</v>
      </c>
      <c r="K33" s="18" t="n">
        <v>0</v>
      </c>
      <c r="L33" s="20" t="n">
        <v>0</v>
      </c>
      <c r="M33" s="18" t="n">
        <v>0.27238134</v>
      </c>
      <c r="N33" s="20" t="n">
        <v>0.17519588</v>
      </c>
      <c r="O33" s="18" t="n">
        <v>0.12611021</v>
      </c>
      <c r="P33" s="20" t="n">
        <v>0.12153503</v>
      </c>
      <c r="Q33" s="18" t="n">
        <v>0</v>
      </c>
      <c r="R33" s="20" t="n">
        <v>0</v>
      </c>
      <c r="S33" s="18" t="n">
        <v>4.85485566</v>
      </c>
      <c r="T33" s="20" t="n">
        <v>0.74749773</v>
      </c>
    </row>
    <row r="34" spans="1:20">
      <c r="A34" s="15" t="s">
        <v>456</v>
      </c>
      <c r="B34" s="17" t="n">
        <v>6350</v>
      </c>
      <c r="C34" s="18">
        <f>(5586.0/B34*100)</f>
        <v/>
      </c>
      <c r="D34" s="19" t="n">
        <v>764</v>
      </c>
      <c r="E34" s="18" t="n">
        <v>30.06677481</v>
      </c>
      <c r="F34" s="20" t="n">
        <v>1.74780384</v>
      </c>
      <c r="G34" s="18" t="n">
        <v>26.06328778</v>
      </c>
      <c r="H34" s="20" t="n">
        <v>1.35140253</v>
      </c>
      <c r="I34" s="18" t="n">
        <v>35.98046022</v>
      </c>
      <c r="J34" s="20" t="n">
        <v>1.83023365</v>
      </c>
      <c r="K34" s="18" t="n">
        <v>0</v>
      </c>
      <c r="L34" s="20" t="n">
        <v>0</v>
      </c>
      <c r="M34" s="18" t="n">
        <v>1.22574807</v>
      </c>
      <c r="N34" s="20" t="n">
        <v>0.40729731</v>
      </c>
      <c r="O34" s="18" t="n">
        <v>0</v>
      </c>
      <c r="P34" s="20" t="n">
        <v>0</v>
      </c>
      <c r="Q34" s="18" t="n">
        <v>0</v>
      </c>
      <c r="R34" s="20" t="n">
        <v>0</v>
      </c>
      <c r="S34" s="18" t="n">
        <v>6.66372913</v>
      </c>
      <c r="T34" s="20" t="n">
        <v>0.85211532</v>
      </c>
    </row>
    <row r="35" spans="1:20">
      <c r="A35" s="15" t="s">
        <v>457</v>
      </c>
      <c r="B35" s="17" t="n">
        <v>6406</v>
      </c>
      <c r="C35" s="18">
        <f>(5645.0/B35*100)</f>
        <v/>
      </c>
      <c r="D35" s="19" t="n">
        <v>761</v>
      </c>
      <c r="E35" s="18" t="n">
        <v>16.05462391</v>
      </c>
      <c r="F35" s="20" t="n">
        <v>1.71355594</v>
      </c>
      <c r="G35" s="18" t="n">
        <v>24.33361483</v>
      </c>
      <c r="H35" s="20" t="n">
        <v>1.66732063</v>
      </c>
      <c r="I35" s="18" t="n">
        <v>55.66427913</v>
      </c>
      <c r="J35" s="20" t="n">
        <v>1.94782245</v>
      </c>
      <c r="K35" s="18" t="n">
        <v>0</v>
      </c>
      <c r="L35" s="20" t="n">
        <v>0</v>
      </c>
      <c r="M35" s="18" t="n">
        <v>0.28258839</v>
      </c>
      <c r="N35" s="20" t="n">
        <v>0.17687513</v>
      </c>
      <c r="O35" s="18" t="n">
        <v>0</v>
      </c>
      <c r="P35" s="20" t="n">
        <v>0</v>
      </c>
      <c r="Q35" s="18" t="n">
        <v>0</v>
      </c>
      <c r="R35" s="20" t="n">
        <v>0</v>
      </c>
      <c r="S35" s="18" t="n">
        <v>3.66489375</v>
      </c>
      <c r="T35" s="20" t="n">
        <v>0.6426669699999999</v>
      </c>
    </row>
    <row r="36" spans="1:20">
      <c r="A36" s="15" t="s">
        <v>458</v>
      </c>
      <c r="B36" s="17" t="n">
        <v>6736</v>
      </c>
      <c r="C36" s="18">
        <f>(5919.0/B36*100)</f>
        <v/>
      </c>
      <c r="D36" s="19" t="n">
        <v>817</v>
      </c>
      <c r="E36" s="18" t="n">
        <v>24.93842293</v>
      </c>
      <c r="F36" s="20" t="n">
        <v>1.6814146</v>
      </c>
      <c r="G36" s="18" t="n">
        <v>22.33727989</v>
      </c>
      <c r="H36" s="20" t="n">
        <v>1.40305166</v>
      </c>
      <c r="I36" s="18" t="n">
        <v>46.62190326</v>
      </c>
      <c r="J36" s="20" t="n">
        <v>1.8280654</v>
      </c>
      <c r="K36" s="18" t="n">
        <v>0</v>
      </c>
      <c r="L36" s="20" t="n">
        <v>0</v>
      </c>
      <c r="M36" s="18" t="n">
        <v>0.75802654</v>
      </c>
      <c r="N36" s="20" t="n">
        <v>0.29535203</v>
      </c>
      <c r="O36" s="18" t="n">
        <v>0.37221254</v>
      </c>
      <c r="P36" s="20" t="n">
        <v>0.27441307</v>
      </c>
      <c r="Q36" s="18" t="n">
        <v>0</v>
      </c>
      <c r="R36" s="20" t="n">
        <v>0</v>
      </c>
      <c r="S36" s="18" t="n">
        <v>4.97215483</v>
      </c>
      <c r="T36" s="20" t="n">
        <v>0.74755724</v>
      </c>
    </row>
    <row r="37" spans="1:20">
      <c r="A37" s="15" t="s">
        <v>459</v>
      </c>
      <c r="B37" s="17" t="n">
        <v>5458</v>
      </c>
      <c r="C37" s="18">
        <f>(4784.0/B37*100)</f>
        <v/>
      </c>
      <c r="D37" s="19" t="n">
        <v>674</v>
      </c>
      <c r="E37" s="18" t="n">
        <v>29.08720347</v>
      </c>
      <c r="F37" s="20" t="n">
        <v>1.67842715</v>
      </c>
      <c r="G37" s="18" t="n">
        <v>17.71619359</v>
      </c>
      <c r="H37" s="20" t="n">
        <v>1.36400929</v>
      </c>
      <c r="I37" s="18" t="n">
        <v>43.66753151</v>
      </c>
      <c r="J37" s="20" t="n">
        <v>2.05426576</v>
      </c>
      <c r="K37" s="18" t="n">
        <v>0</v>
      </c>
      <c r="L37" s="20" t="n">
        <v>0</v>
      </c>
      <c r="M37" s="18" t="n">
        <v>3.22419007</v>
      </c>
      <c r="N37" s="20" t="n">
        <v>0.66750289</v>
      </c>
      <c r="O37" s="18" t="n">
        <v>0</v>
      </c>
      <c r="P37" s="20" t="n">
        <v>0</v>
      </c>
      <c r="Q37" s="18" t="n">
        <v>0</v>
      </c>
      <c r="R37" s="20" t="n">
        <v>0</v>
      </c>
      <c r="S37" s="18" t="n">
        <v>6.30488136</v>
      </c>
      <c r="T37" s="20" t="n">
        <v>1.07545883</v>
      </c>
    </row>
    <row r="38" spans="1:20">
      <c r="A38" s="15" t="s">
        <v>460</v>
      </c>
      <c r="B38" s="17" t="n">
        <v>5860</v>
      </c>
      <c r="C38" s="18">
        <f>(4956.0/B38*100)</f>
        <v/>
      </c>
      <c r="D38" s="19" t="n">
        <v>904</v>
      </c>
      <c r="E38" s="18" t="n">
        <v>28.37793384</v>
      </c>
      <c r="F38" s="20" t="n">
        <v>1.69236342</v>
      </c>
      <c r="G38" s="18" t="n">
        <v>17.04905873</v>
      </c>
      <c r="H38" s="20" t="n">
        <v>1.70817245</v>
      </c>
      <c r="I38" s="18" t="n">
        <v>48.90078695</v>
      </c>
      <c r="J38" s="20" t="n">
        <v>1.82500934</v>
      </c>
      <c r="K38" s="18" t="n">
        <v>0</v>
      </c>
      <c r="L38" s="20" t="n">
        <v>0</v>
      </c>
      <c r="M38" s="18" t="n">
        <v>0.90291798</v>
      </c>
      <c r="N38" s="20" t="n">
        <v>0.3263858</v>
      </c>
      <c r="O38" s="18" t="n">
        <v>0.21642838</v>
      </c>
      <c r="P38" s="20" t="n">
        <v>0.21545094</v>
      </c>
      <c r="Q38" s="18" t="n">
        <v>0</v>
      </c>
      <c r="R38" s="20" t="n">
        <v>0</v>
      </c>
      <c r="S38" s="18" t="n">
        <v>4.55287412</v>
      </c>
      <c r="T38" s="20" t="n">
        <v>0.7483645799999999</v>
      </c>
    </row>
    <row r="39" spans="1:20">
      <c r="A39" s="15" t="s">
        <v>461</v>
      </c>
      <c r="B39" s="17" t="n">
        <v>5895</v>
      </c>
      <c r="C39" s="18">
        <f>(5178.0/B39*100)</f>
        <v/>
      </c>
      <c r="D39" s="19" t="n">
        <v>717</v>
      </c>
      <c r="E39" s="18" t="n">
        <v>52.2501925</v>
      </c>
      <c r="F39" s="20" t="n">
        <v>1.93178395</v>
      </c>
      <c r="G39" s="18" t="n">
        <v>9.047449139999999</v>
      </c>
      <c r="H39" s="20" t="n">
        <v>1.17190817</v>
      </c>
      <c r="I39" s="18" t="n">
        <v>19.03298283</v>
      </c>
      <c r="J39" s="20" t="n">
        <v>1.44051247</v>
      </c>
      <c r="K39" s="18" t="n">
        <v>0</v>
      </c>
      <c r="L39" s="20" t="n">
        <v>0</v>
      </c>
      <c r="M39" s="18" t="n">
        <v>1.6806016</v>
      </c>
      <c r="N39" s="20" t="n">
        <v>0.48346793</v>
      </c>
      <c r="O39" s="18" t="n">
        <v>0.1215447</v>
      </c>
      <c r="P39" s="20" t="n">
        <v>0.12530486</v>
      </c>
      <c r="Q39" s="18" t="n">
        <v>0</v>
      </c>
      <c r="R39" s="20" t="n">
        <v>0</v>
      </c>
      <c r="S39" s="18" t="n">
        <v>17.86722924</v>
      </c>
      <c r="T39" s="20" t="n">
        <v>1.55089003</v>
      </c>
    </row>
    <row r="40" spans="1:20">
      <c r="A40" s="15" t="s">
        <v>462</v>
      </c>
      <c r="B40" s="17" t="n">
        <v>14157</v>
      </c>
      <c r="C40" s="18">
        <f>(12463.0/B40*100)</f>
        <v/>
      </c>
      <c r="D40" s="19" t="n">
        <v>1694</v>
      </c>
      <c r="E40" s="18" t="n">
        <v>26.68747486</v>
      </c>
      <c r="F40" s="20" t="n">
        <v>1.75858248</v>
      </c>
      <c r="G40" s="18" t="n">
        <v>12.8393053</v>
      </c>
      <c r="H40" s="20" t="n">
        <v>1.24934504</v>
      </c>
      <c r="I40" s="18" t="n">
        <v>53.35511603</v>
      </c>
      <c r="J40" s="20" t="n">
        <v>1.99606702</v>
      </c>
      <c r="K40" s="18" t="n">
        <v>0</v>
      </c>
      <c r="L40" s="20" t="n">
        <v>0</v>
      </c>
      <c r="M40" s="18" t="n">
        <v>0.64507198</v>
      </c>
      <c r="N40" s="20" t="n">
        <v>0.25195045</v>
      </c>
      <c r="O40" s="18" t="n">
        <v>0.30534938</v>
      </c>
      <c r="P40" s="20" t="n">
        <v>0.22015958</v>
      </c>
      <c r="Q40" s="18" t="n">
        <v>0</v>
      </c>
      <c r="R40" s="20" t="n">
        <v>0</v>
      </c>
      <c r="S40" s="18" t="n">
        <v>6.16768246</v>
      </c>
      <c r="T40" s="20" t="n">
        <v>0.79603482</v>
      </c>
    </row>
    <row r="41" spans="1:20">
      <c r="A41" s="15" t="s">
        <v>463</v>
      </c>
      <c r="B41" s="17" t="n">
        <v>5712</v>
      </c>
      <c r="C41" s="18">
        <f>(5059.0/B41*100)</f>
        <v/>
      </c>
      <c r="D41" s="19" t="n">
        <v>653</v>
      </c>
      <c r="E41" s="18" t="n">
        <v>25.55504914</v>
      </c>
      <c r="F41" s="20" t="n">
        <v>2.07307855</v>
      </c>
      <c r="G41" s="18" t="n">
        <v>14.00197727</v>
      </c>
      <c r="H41" s="20" t="n">
        <v>1.52332621</v>
      </c>
      <c r="I41" s="18" t="n">
        <v>56.4697025</v>
      </c>
      <c r="J41" s="20" t="n">
        <v>2.14180642</v>
      </c>
      <c r="K41" s="18" t="n">
        <v>0</v>
      </c>
      <c r="L41" s="20" t="n">
        <v>0</v>
      </c>
      <c r="M41" s="18" t="n">
        <v>0.65098345</v>
      </c>
      <c r="N41" s="20" t="n">
        <v>0.32460284</v>
      </c>
      <c r="O41" s="18" t="n">
        <v>0</v>
      </c>
      <c r="P41" s="20" t="n">
        <v>0</v>
      </c>
      <c r="Q41" s="18" t="n">
        <v>0</v>
      </c>
      <c r="R41" s="20" t="n">
        <v>0</v>
      </c>
      <c r="S41" s="18" t="n">
        <v>3.32228764</v>
      </c>
      <c r="T41" s="20" t="n">
        <v>0.7813160300000001</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(20973.0/B46*100)</f>
        <v/>
      </c>
      <c r="D46" s="19" t="n">
        <v>2168</v>
      </c>
      <c r="E46" s="18" t="n">
        <v>38.32782727</v>
      </c>
      <c r="F46" s="20" t="n">
        <v>1.44719394</v>
      </c>
      <c r="G46" s="18" t="n">
        <v>18.97742947</v>
      </c>
      <c r="H46" s="20" t="n">
        <v>1.16140418</v>
      </c>
      <c r="I46" s="18" t="n">
        <v>28.38591403</v>
      </c>
      <c r="J46" s="20" t="n">
        <v>1.30954186</v>
      </c>
      <c r="K46" s="18" t="n">
        <v>0</v>
      </c>
      <c r="L46" s="20" t="n">
        <v>0</v>
      </c>
      <c r="M46" s="18" t="n">
        <v>3.51532851</v>
      </c>
      <c r="N46" s="20" t="n">
        <v>0.4680179</v>
      </c>
      <c r="O46" s="18" t="n">
        <v>0.57047291</v>
      </c>
      <c r="P46" s="20" t="n">
        <v>0.19850121</v>
      </c>
      <c r="Q46" s="18" t="n">
        <v>0</v>
      </c>
      <c r="R46" s="20" t="n">
        <v>0</v>
      </c>
      <c r="S46" s="18" t="n">
        <v>10.22302781</v>
      </c>
      <c r="T46" s="20" t="n">
        <v>0.85271138</v>
      </c>
    </row>
    <row r="47" spans="1:20">
      <c r="A47" s="15" t="s">
        <v>470</v>
      </c>
      <c r="B47" s="17" t="n">
        <v>5928</v>
      </c>
      <c r="C47" s="18">
        <f>(5219.0/B47*100)</f>
        <v/>
      </c>
      <c r="D47" s="19" t="n">
        <v>709</v>
      </c>
      <c r="E47" s="18" t="n">
        <v>37.53380023</v>
      </c>
      <c r="F47" s="20" t="n">
        <v>1.68302692</v>
      </c>
      <c r="G47" s="18" t="n">
        <v>13.78005262</v>
      </c>
      <c r="H47" s="20" t="n">
        <v>1.31879561</v>
      </c>
      <c r="I47" s="18" t="n">
        <v>29.63600226</v>
      </c>
      <c r="J47" s="20" t="n">
        <v>2.07835714</v>
      </c>
      <c r="K47" s="18" t="n">
        <v>0</v>
      </c>
      <c r="L47" s="20" t="n">
        <v>0</v>
      </c>
      <c r="M47" s="18" t="n">
        <v>3.25415676</v>
      </c>
      <c r="N47" s="20" t="n">
        <v>0.69921455</v>
      </c>
      <c r="O47" s="18" t="n">
        <v>0</v>
      </c>
      <c r="P47" s="20" t="n">
        <v>0</v>
      </c>
      <c r="Q47" s="18" t="n">
        <v>0</v>
      </c>
      <c r="R47" s="20" t="n">
        <v>0</v>
      </c>
      <c r="S47" s="18" t="n">
        <v>15.79598813</v>
      </c>
      <c r="T47" s="20" t="n">
        <v>1.53889912</v>
      </c>
    </row>
    <row r="48" spans="1:20">
      <c r="A48" s="15" t="s">
        <v>471</v>
      </c>
      <c r="B48" s="17" t="n">
        <v>9841</v>
      </c>
      <c r="C48" s="18">
        <f>(8635.0/B48*100)</f>
        <v/>
      </c>
      <c r="D48" s="19" t="n">
        <v>1206</v>
      </c>
      <c r="E48" s="18" t="n">
        <v>26.30479776</v>
      </c>
      <c r="F48" s="20" t="n">
        <v>1.77640263</v>
      </c>
      <c r="G48" s="18" t="n">
        <v>9.62184965</v>
      </c>
      <c r="H48" s="20" t="n">
        <v>1.31936985</v>
      </c>
      <c r="I48" s="18" t="n">
        <v>56.41616586</v>
      </c>
      <c r="J48" s="20" t="n">
        <v>2.28807045</v>
      </c>
      <c r="K48" s="18" t="n">
        <v>0</v>
      </c>
      <c r="L48" s="20" t="n">
        <v>0</v>
      </c>
      <c r="M48" s="18" t="n">
        <v>1.56543001</v>
      </c>
      <c r="N48" s="20" t="n">
        <v>0.43539493</v>
      </c>
      <c r="O48" s="18" t="n">
        <v>0.00464999</v>
      </c>
      <c r="P48" s="20" t="n">
        <v>0.00466122</v>
      </c>
      <c r="Q48" s="18" t="n">
        <v>0</v>
      </c>
      <c r="R48" s="20" t="n">
        <v>0</v>
      </c>
      <c r="S48" s="18" t="n">
        <v>6.08710672</v>
      </c>
      <c r="T48" s="20" t="n">
        <v>0.92511318</v>
      </c>
    </row>
    <row r="49" spans="1:20">
      <c r="A49" s="15" t="s">
        <v>472</v>
      </c>
      <c r="B49" s="17" t="n">
        <v>11795</v>
      </c>
      <c r="C49" s="18">
        <f>(10365.0/B49*100)</f>
        <v/>
      </c>
      <c r="D49" s="19" t="n">
        <v>1430</v>
      </c>
      <c r="E49" s="18" t="n">
        <v>48.91733302</v>
      </c>
      <c r="F49" s="20" t="n">
        <v>1.564887</v>
      </c>
      <c r="G49" s="18" t="n">
        <v>14.03137539</v>
      </c>
      <c r="H49" s="20" t="n">
        <v>1.28053921</v>
      </c>
      <c r="I49" s="18" t="n">
        <v>27.97197236</v>
      </c>
      <c r="J49" s="20" t="n">
        <v>1.59399115</v>
      </c>
      <c r="K49" s="18" t="n">
        <v>0</v>
      </c>
      <c r="L49" s="20" t="n">
        <v>0</v>
      </c>
      <c r="M49" s="18" t="n">
        <v>3.20881683</v>
      </c>
      <c r="N49" s="20" t="n">
        <v>0.69573152</v>
      </c>
      <c r="O49" s="18" t="n">
        <v>0.35727624</v>
      </c>
      <c r="P49" s="20" t="n">
        <v>0.19252706</v>
      </c>
      <c r="Q49" s="18" t="n">
        <v>0</v>
      </c>
      <c r="R49" s="20" t="n">
        <v>0</v>
      </c>
      <c r="S49" s="18" t="n">
        <v>5.51322616</v>
      </c>
      <c r="T49" s="20" t="n">
        <v>0.87231388</v>
      </c>
    </row>
    <row r="50" spans="1:20">
      <c r="A50" s="15" t="s">
        <v>473</v>
      </c>
      <c r="B50" s="17" t="n">
        <v>6866</v>
      </c>
      <c r="C50" s="18">
        <f>(6142.0/B50*100)</f>
        <v/>
      </c>
      <c r="D50" s="19" t="n">
        <v>724</v>
      </c>
      <c r="E50" s="18" t="n">
        <v>49.02140979</v>
      </c>
      <c r="F50" s="20" t="n">
        <v>1.95257266</v>
      </c>
      <c r="G50" s="18" t="n">
        <v>13.77121222</v>
      </c>
      <c r="H50" s="20" t="n">
        <v>1.18144393</v>
      </c>
      <c r="I50" s="18" t="n">
        <v>30.88384598</v>
      </c>
      <c r="J50" s="20" t="n">
        <v>1.87717001</v>
      </c>
      <c r="K50" s="18" t="n">
        <v>0</v>
      </c>
      <c r="L50" s="20" t="n">
        <v>0</v>
      </c>
      <c r="M50" s="18" t="n">
        <v>1.44657542</v>
      </c>
      <c r="N50" s="20" t="n">
        <v>0.53991258</v>
      </c>
      <c r="O50" s="18" t="n">
        <v>0</v>
      </c>
      <c r="P50" s="20" t="n">
        <v>0</v>
      </c>
      <c r="Q50" s="18" t="n">
        <v>0</v>
      </c>
      <c r="R50" s="20" t="n">
        <v>0</v>
      </c>
      <c r="S50" s="18" t="n">
        <v>4.87695659</v>
      </c>
      <c r="T50" s="20" t="n">
        <v>0.74209893</v>
      </c>
    </row>
    <row r="51" spans="1:20">
      <c r="A51" s="15" t="s">
        <v>474</v>
      </c>
      <c r="B51" s="17" t="n">
        <v>5809</v>
      </c>
      <c r="C51" s="18">
        <f>(5098.0/B51*100)</f>
        <v/>
      </c>
      <c r="D51" s="19" t="n">
        <v>711</v>
      </c>
      <c r="E51" s="18" t="n">
        <v>58.01903518</v>
      </c>
      <c r="F51" s="20" t="n">
        <v>1.90513993</v>
      </c>
      <c r="G51" s="18" t="n">
        <v>9.088631299999999</v>
      </c>
      <c r="H51" s="20" t="n">
        <v>1.24030255</v>
      </c>
      <c r="I51" s="18" t="n">
        <v>20.1939894</v>
      </c>
      <c r="J51" s="20" t="n">
        <v>1.62396723</v>
      </c>
      <c r="K51" s="18" t="n">
        <v>0</v>
      </c>
      <c r="L51" s="20" t="n">
        <v>0</v>
      </c>
      <c r="M51" s="18" t="n">
        <v>1.07824272</v>
      </c>
      <c r="N51" s="20" t="n">
        <v>0.41698423</v>
      </c>
      <c r="O51" s="18" t="n">
        <v>0</v>
      </c>
      <c r="P51" s="20" t="n">
        <v>0</v>
      </c>
      <c r="Q51" s="18" t="n">
        <v>0</v>
      </c>
      <c r="R51" s="20" t="n">
        <v>0</v>
      </c>
      <c r="S51" s="18" t="n">
        <v>11.62010141</v>
      </c>
      <c r="T51" s="20" t="n">
        <v>1.16007184</v>
      </c>
    </row>
    <row r="52" spans="1:20">
      <c r="A52" s="15" t="s">
        <v>475</v>
      </c>
      <c r="B52" s="17" t="n">
        <v>5571</v>
      </c>
      <c r="C52" s="18">
        <f>(4900.0/B52*100)</f>
        <v/>
      </c>
      <c r="D52" s="19" t="n">
        <v>671</v>
      </c>
      <c r="E52" s="18" t="n">
        <v>42.47079947</v>
      </c>
      <c r="F52" s="20" t="n">
        <v>1.94226519</v>
      </c>
      <c r="G52" s="18" t="n">
        <v>12.04677572</v>
      </c>
      <c r="H52" s="20" t="n">
        <v>1.49959582</v>
      </c>
      <c r="I52" s="18" t="n">
        <v>29.55716285</v>
      </c>
      <c r="J52" s="20" t="n">
        <v>1.6775626</v>
      </c>
      <c r="K52" s="18" t="n">
        <v>0</v>
      </c>
      <c r="L52" s="20" t="n">
        <v>0</v>
      </c>
      <c r="M52" s="18" t="n">
        <v>2.85035208</v>
      </c>
      <c r="N52" s="20" t="n">
        <v>0.64610397</v>
      </c>
      <c r="O52" s="18" t="n">
        <v>0</v>
      </c>
      <c r="P52" s="20" t="n">
        <v>0</v>
      </c>
      <c r="Q52" s="18" t="n">
        <v>0</v>
      </c>
      <c r="R52" s="20" t="n">
        <v>0</v>
      </c>
      <c r="S52" s="18" t="n">
        <v>13.07490988</v>
      </c>
      <c r="T52" s="20" t="n">
        <v>1.29227636</v>
      </c>
    </row>
    <row r="53" spans="1:20">
      <c r="A53" s="15" t="s">
        <v>476</v>
      </c>
      <c r="B53" s="17" t="n">
        <v>4740</v>
      </c>
      <c r="C53" s="18">
        <f>(3979.0/B53*100)</f>
        <v/>
      </c>
      <c r="D53" s="19" t="n">
        <v>761</v>
      </c>
      <c r="E53" s="18" t="n">
        <v>39.04296441</v>
      </c>
      <c r="F53" s="20" t="n">
        <v>1.90141264</v>
      </c>
      <c r="G53" s="18" t="n">
        <v>23.01905526</v>
      </c>
      <c r="H53" s="20" t="n">
        <v>1.72341531</v>
      </c>
      <c r="I53" s="18" t="n">
        <v>12.20897944</v>
      </c>
      <c r="J53" s="20" t="n">
        <v>1.13802087</v>
      </c>
      <c r="K53" s="18" t="n">
        <v>0</v>
      </c>
      <c r="L53" s="20" t="n">
        <v>0</v>
      </c>
      <c r="M53" s="18" t="n">
        <v>15.55823585</v>
      </c>
      <c r="N53" s="20" t="n">
        <v>1.2249591</v>
      </c>
      <c r="O53" s="18" t="n">
        <v>0.532385</v>
      </c>
      <c r="P53" s="20" t="n">
        <v>0.41407528</v>
      </c>
      <c r="Q53" s="18" t="n">
        <v>0</v>
      </c>
      <c r="R53" s="20" t="n">
        <v>0</v>
      </c>
      <c r="S53" s="18" t="n">
        <v>9.638380039999999</v>
      </c>
      <c r="T53" s="20" t="n">
        <v>1.28637085</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(4703.0/B55*100)</f>
        <v/>
      </c>
      <c r="D55" s="19" t="n">
        <v>656</v>
      </c>
      <c r="E55" s="18" t="n">
        <v>26.61939973</v>
      </c>
      <c r="F55" s="20" t="n">
        <v>1.93328643</v>
      </c>
      <c r="G55" s="18" t="n">
        <v>14.80990693</v>
      </c>
      <c r="H55" s="20" t="n">
        <v>1.49692766</v>
      </c>
      <c r="I55" s="18" t="n">
        <v>55.06583122</v>
      </c>
      <c r="J55" s="20" t="n">
        <v>2.08723928</v>
      </c>
      <c r="K55" s="18" t="n">
        <v>0</v>
      </c>
      <c r="L55" s="20" t="n">
        <v>0</v>
      </c>
      <c r="M55" s="18" t="n">
        <v>0.52000455</v>
      </c>
      <c r="N55" s="20" t="n">
        <v>0.30395723</v>
      </c>
      <c r="O55" s="18" t="n">
        <v>0.11920166</v>
      </c>
      <c r="P55" s="20" t="n">
        <v>0.11897178</v>
      </c>
      <c r="Q55" s="18" t="n">
        <v>0</v>
      </c>
      <c r="R55" s="20" t="n">
        <v>0</v>
      </c>
      <c r="S55" s="18" t="n">
        <v>2.86565593</v>
      </c>
      <c r="T55" s="20" t="n">
        <v>0.610504</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(5712.0/B61*100)</f>
        <v/>
      </c>
      <c r="D61" s="19" t="n">
        <v>813</v>
      </c>
      <c r="E61" s="18" t="n">
        <v>26.91881487</v>
      </c>
      <c r="F61" s="20" t="n">
        <v>1.6069373</v>
      </c>
      <c r="G61" s="18" t="n">
        <v>18.79571536</v>
      </c>
      <c r="H61" s="20" t="n">
        <v>1.45718827</v>
      </c>
      <c r="I61" s="18" t="n">
        <v>47.24326076</v>
      </c>
      <c r="J61" s="20" t="n">
        <v>2.10186631</v>
      </c>
      <c r="K61" s="18" t="n">
        <v>0</v>
      </c>
      <c r="L61" s="20" t="n">
        <v>0</v>
      </c>
      <c r="M61" s="18" t="n">
        <v>1.4470012</v>
      </c>
      <c r="N61" s="20" t="n">
        <v>0.43985004</v>
      </c>
      <c r="O61" s="18" t="n">
        <v>0</v>
      </c>
      <c r="P61" s="20" t="n">
        <v>0</v>
      </c>
      <c r="Q61" s="18" t="n">
        <v>0</v>
      </c>
      <c r="R61" s="20" t="n">
        <v>0</v>
      </c>
      <c r="S61" s="18" t="n">
        <v>5.59520782</v>
      </c>
      <c r="T61" s="20" t="n">
        <v>0.95423181</v>
      </c>
    </row>
    <row r="62" spans="1:20">
      <c r="A62" s="15" t="s">
        <v>486</v>
      </c>
      <c r="B62" s="17" t="n">
        <v>4476</v>
      </c>
      <c r="C62" s="18">
        <f>(3954.0/B62*100)</f>
        <v/>
      </c>
      <c r="D62" s="19" t="n">
        <v>522</v>
      </c>
      <c r="E62" s="18" t="n">
        <v>26.78418038</v>
      </c>
      <c r="F62" s="20" t="n">
        <v>1.93219233</v>
      </c>
      <c r="G62" s="18" t="n">
        <v>11.1043297</v>
      </c>
      <c r="H62" s="20" t="n">
        <v>1.39681279</v>
      </c>
      <c r="I62" s="18" t="n">
        <v>59.81783296</v>
      </c>
      <c r="J62" s="20" t="n">
        <v>2.09611877</v>
      </c>
      <c r="K62" s="18" t="n">
        <v>0</v>
      </c>
      <c r="L62" s="20" t="n">
        <v>0</v>
      </c>
      <c r="M62" s="18" t="n">
        <v>0.19023967</v>
      </c>
      <c r="N62" s="20" t="n">
        <v>0.19187757</v>
      </c>
      <c r="O62" s="18" t="n">
        <v>0.19023967</v>
      </c>
      <c r="P62" s="20" t="n">
        <v>0.19205358</v>
      </c>
      <c r="Q62" s="18" t="n">
        <v>0</v>
      </c>
      <c r="R62" s="20" t="n">
        <v>0</v>
      </c>
      <c r="S62" s="18" t="n">
        <v>1.91317762</v>
      </c>
      <c r="T62" s="20" t="n">
        <v>0.58796468</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(4997.0/B67*100)</f>
        <v/>
      </c>
      <c r="D67" s="19" t="n">
        <v>668</v>
      </c>
      <c r="E67" s="18" t="n">
        <v>50.05056834</v>
      </c>
      <c r="F67" s="20" t="n">
        <v>1.94489565</v>
      </c>
      <c r="G67" s="18" t="n">
        <v>9.07583835</v>
      </c>
      <c r="H67" s="20" t="n">
        <v>1.29587268</v>
      </c>
      <c r="I67" s="18" t="n">
        <v>17.11586561</v>
      </c>
      <c r="J67" s="20" t="n">
        <v>1.60137993</v>
      </c>
      <c r="K67" s="18" t="n">
        <v>0</v>
      </c>
      <c r="L67" s="20" t="n">
        <v>0</v>
      </c>
      <c r="M67" s="18" t="n">
        <v>3.32572106</v>
      </c>
      <c r="N67" s="20" t="n">
        <v>0.71957572</v>
      </c>
      <c r="O67" s="18" t="n">
        <v>1.06135076</v>
      </c>
      <c r="P67" s="20" t="n">
        <v>0.38869962</v>
      </c>
      <c r="Q67" s="18" t="n">
        <v>0</v>
      </c>
      <c r="R67" s="20" t="n">
        <v>0</v>
      </c>
      <c r="S67" s="18" t="n">
        <v>19.37065589</v>
      </c>
      <c r="T67" s="20" t="n">
        <v>1.54896213</v>
      </c>
    </row>
    <row r="68" spans="1:20">
      <c r="A68" s="15" t="s">
        <v>492</v>
      </c>
      <c r="B68" s="17" t="n">
        <v>6971</v>
      </c>
      <c r="C68" s="18">
        <f>(6257.0/B68*100)</f>
        <v/>
      </c>
      <c r="D68" s="19" t="n">
        <v>714</v>
      </c>
      <c r="E68" s="18" t="n">
        <v>47.59170382</v>
      </c>
      <c r="F68" s="20" t="n">
        <v>2.28216976</v>
      </c>
      <c r="G68" s="18" t="n">
        <v>14.00354645</v>
      </c>
      <c r="H68" s="20" t="n">
        <v>1.52261801</v>
      </c>
      <c r="I68" s="18" t="n">
        <v>31.33178384</v>
      </c>
      <c r="J68" s="20" t="n">
        <v>1.91386325</v>
      </c>
      <c r="K68" s="18" t="n">
        <v>0</v>
      </c>
      <c r="L68" s="20" t="n">
        <v>0</v>
      </c>
      <c r="M68" s="18" t="n">
        <v>1.53788572</v>
      </c>
      <c r="N68" s="20" t="n">
        <v>0.37296072</v>
      </c>
      <c r="O68" s="18" t="n">
        <v>0.14114307</v>
      </c>
      <c r="P68" s="20" t="n">
        <v>0.14166462</v>
      </c>
      <c r="Q68" s="18" t="n">
        <v>0</v>
      </c>
      <c r="R68" s="20" t="n">
        <v>0</v>
      </c>
      <c r="S68" s="18" t="n">
        <v>5.39393709</v>
      </c>
      <c r="T68" s="20" t="n">
        <v>1.03829182</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(10071.0/B70*100)</f>
        <v/>
      </c>
      <c r="D70" s="19" t="n">
        <v>2012</v>
      </c>
      <c r="E70" s="18" t="n">
        <v>46.78384409</v>
      </c>
      <c r="F70" s="20" t="n">
        <v>1.09618303</v>
      </c>
      <c r="G70" s="18" t="n">
        <v>13.83314195</v>
      </c>
      <c r="H70" s="20" t="n">
        <v>0.70647744</v>
      </c>
      <c r="I70" s="18" t="n">
        <v>21.88195187</v>
      </c>
      <c r="J70" s="20" t="n">
        <v>0.80908678</v>
      </c>
      <c r="K70" s="18" t="n">
        <v>0</v>
      </c>
      <c r="L70" s="20" t="n">
        <v>0</v>
      </c>
      <c r="M70" s="18" t="n">
        <v>6.33458973</v>
      </c>
      <c r="N70" s="20" t="n">
        <v>0.62801092</v>
      </c>
      <c r="O70" s="18" t="n">
        <v>0.04918648</v>
      </c>
      <c r="P70" s="20" t="n">
        <v>0.04918162</v>
      </c>
      <c r="Q70" s="18" t="n">
        <v>0</v>
      </c>
      <c r="R70" s="20" t="n">
        <v>0</v>
      </c>
      <c r="S70" s="18" t="n">
        <v>11.11728588</v>
      </c>
      <c r="T70" s="20" t="n">
        <v>0.64450759</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(5341.0/B72*100)</f>
        <v/>
      </c>
      <c r="D72" s="19" t="n">
        <v>695</v>
      </c>
      <c r="E72" s="18" t="n">
        <v>49.21192494</v>
      </c>
      <c r="F72" s="20" t="n">
        <v>1.85096694</v>
      </c>
      <c r="G72" s="18" t="n">
        <v>12.7695501</v>
      </c>
      <c r="H72" s="20" t="n">
        <v>1.16934356</v>
      </c>
      <c r="I72" s="18" t="n">
        <v>32.59316925</v>
      </c>
      <c r="J72" s="20" t="n">
        <v>2.04175619</v>
      </c>
      <c r="K72" s="18" t="n">
        <v>0</v>
      </c>
      <c r="L72" s="20" t="n">
        <v>0</v>
      </c>
      <c r="M72" s="18" t="n">
        <v>0.95994251</v>
      </c>
      <c r="N72" s="20" t="n">
        <v>0.39829602</v>
      </c>
      <c r="O72" s="18" t="n">
        <v>0.06231645</v>
      </c>
      <c r="P72" s="20" t="n">
        <v>0.06249713</v>
      </c>
      <c r="Q72" s="18" t="n">
        <v>0</v>
      </c>
      <c r="R72" s="20" t="n">
        <v>0</v>
      </c>
      <c r="S72" s="18" t="n">
        <v>4.40309675</v>
      </c>
      <c r="T72" s="20" t="n">
        <v>0.6411832200000001</v>
      </c>
    </row>
    <row r="73" spans="1:20">
      <c r="A73" s="15" t="s">
        <v>497</v>
      </c>
      <c r="B73" s="17" t="n">
        <v>6115</v>
      </c>
      <c r="C73" s="18">
        <f>(5377.0/B73*100)</f>
        <v/>
      </c>
      <c r="D73" s="19" t="n">
        <v>738</v>
      </c>
      <c r="E73" s="18" t="n">
        <v>22.99488252</v>
      </c>
      <c r="F73" s="20" t="n">
        <v>1.53764773</v>
      </c>
      <c r="G73" s="18" t="n">
        <v>8.203355869999999</v>
      </c>
      <c r="H73" s="20" t="n">
        <v>0.96770231</v>
      </c>
      <c r="I73" s="18" t="n">
        <v>65.94427138</v>
      </c>
      <c r="J73" s="20" t="n">
        <v>1.80166146</v>
      </c>
      <c r="K73" s="18" t="n">
        <v>0</v>
      </c>
      <c r="L73" s="20" t="n">
        <v>0</v>
      </c>
      <c r="M73" s="18" t="n">
        <v>0.74675789</v>
      </c>
      <c r="N73" s="20" t="n">
        <v>0.24791572</v>
      </c>
      <c r="O73" s="18" t="n">
        <v>0.07104884</v>
      </c>
      <c r="P73" s="20" t="n">
        <v>0.07214258</v>
      </c>
      <c r="Q73" s="18" t="n">
        <v>0</v>
      </c>
      <c r="R73" s="20" t="n">
        <v>0</v>
      </c>
      <c r="S73" s="18" t="n">
        <v>2.03968352</v>
      </c>
      <c r="T73" s="20" t="n">
        <v>0.84708236</v>
      </c>
    </row>
    <row r="74" spans="1:20">
      <c r="A74" s="15" t="s">
        <v>498</v>
      </c>
      <c r="B74" s="17" t="n">
        <v>7708</v>
      </c>
      <c r="C74" s="18">
        <f>(6748.0/B74*100)</f>
        <v/>
      </c>
      <c r="D74" s="19" t="n">
        <v>960</v>
      </c>
      <c r="E74" s="18" t="n">
        <v>26.68266845</v>
      </c>
      <c r="F74" s="20" t="n">
        <v>1.60651842</v>
      </c>
      <c r="G74" s="18" t="n">
        <v>14.24447628</v>
      </c>
      <c r="H74" s="20" t="n">
        <v>1.35710487</v>
      </c>
      <c r="I74" s="18" t="n">
        <v>54.07971393</v>
      </c>
      <c r="J74" s="20" t="n">
        <v>1.74742282</v>
      </c>
      <c r="K74" s="18" t="n">
        <v>0</v>
      </c>
      <c r="L74" s="20" t="n">
        <v>0</v>
      </c>
      <c r="M74" s="18" t="n">
        <v>0.74099806</v>
      </c>
      <c r="N74" s="20" t="n">
        <v>0.24903386</v>
      </c>
      <c r="O74" s="18" t="n">
        <v>0</v>
      </c>
      <c r="P74" s="20" t="n">
        <v>0</v>
      </c>
      <c r="Q74" s="18" t="n">
        <v>0</v>
      </c>
      <c r="R74" s="20" t="n">
        <v>0</v>
      </c>
      <c r="S74" s="18" t="n">
        <v>4.25214328</v>
      </c>
      <c r="T74" s="20" t="n">
        <v>0.60580137</v>
      </c>
    </row>
    <row r="75" spans="1:20">
      <c r="A75" s="15" t="s">
        <v>499</v>
      </c>
      <c r="B75" s="17" t="n">
        <v>8249</v>
      </c>
      <c r="C75" s="18">
        <f>(7273.0/B75*100)</f>
        <v/>
      </c>
      <c r="D75" s="19" t="n">
        <v>976</v>
      </c>
      <c r="E75" s="18" t="n">
        <v>70.75536623000001</v>
      </c>
      <c r="F75" s="20" t="n">
        <v>2.11387053</v>
      </c>
      <c r="G75" s="18" t="n">
        <v>8.7019526</v>
      </c>
      <c r="H75" s="20" t="n">
        <v>1.18936587</v>
      </c>
      <c r="I75" s="18" t="n">
        <v>16.93249293</v>
      </c>
      <c r="J75" s="20" t="n">
        <v>1.80940071</v>
      </c>
      <c r="K75" s="18" t="n">
        <v>0</v>
      </c>
      <c r="L75" s="20" t="n">
        <v>0</v>
      </c>
      <c r="M75" s="18" t="n">
        <v>0.21034468</v>
      </c>
      <c r="N75" s="20" t="n">
        <v>0.17452914</v>
      </c>
      <c r="O75" s="18" t="n">
        <v>0</v>
      </c>
      <c r="P75" s="20" t="n">
        <v>0</v>
      </c>
      <c r="Q75" s="18" t="n">
        <v>0</v>
      </c>
      <c r="R75" s="20" t="n">
        <v>0</v>
      </c>
      <c r="S75" s="18" t="n">
        <v>3.39984356</v>
      </c>
      <c r="T75" s="20" t="n">
        <v>0.6174087700000001</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(4810.0/B77*100)</f>
        <v/>
      </c>
      <c r="D77" s="19" t="n">
        <v>565</v>
      </c>
      <c r="E77" s="18" t="n">
        <v>48.06030037</v>
      </c>
      <c r="F77" s="20" t="n">
        <v>2.19865027</v>
      </c>
      <c r="G77" s="18" t="n">
        <v>17.10236501</v>
      </c>
      <c r="H77" s="20" t="n">
        <v>1.66637808</v>
      </c>
      <c r="I77" s="18" t="n">
        <v>12.00667137</v>
      </c>
      <c r="J77" s="20" t="n">
        <v>1.5435243</v>
      </c>
      <c r="K77" s="18" t="n">
        <v>0</v>
      </c>
      <c r="L77" s="20" t="n">
        <v>0</v>
      </c>
      <c r="M77" s="18" t="n">
        <v>6.3149078</v>
      </c>
      <c r="N77" s="20" t="n">
        <v>1.04244062</v>
      </c>
      <c r="O77" s="18" t="n">
        <v>0.88062579</v>
      </c>
      <c r="P77" s="20" t="n">
        <v>0.44650951</v>
      </c>
      <c r="Q77" s="18" t="n">
        <v>0</v>
      </c>
      <c r="R77" s="20" t="n">
        <v>0</v>
      </c>
      <c r="S77" s="18" t="n">
        <v>15.63512966</v>
      </c>
      <c r="T77" s="20" t="n">
        <v>1.58208257</v>
      </c>
    </row>
    <row r="78" spans="1:20">
      <c r="A78" s="15" t="s">
        <v>502</v>
      </c>
      <c r="B78" s="17" t="n">
        <v>14167</v>
      </c>
      <c r="C78" s="18">
        <f>(12482.0/B78*100)</f>
        <v/>
      </c>
      <c r="D78" s="19" t="n">
        <v>1685</v>
      </c>
      <c r="E78" s="18" t="n">
        <v>45.89388813</v>
      </c>
      <c r="F78" s="20" t="n">
        <v>1.55061822</v>
      </c>
      <c r="G78" s="18" t="n">
        <v>12.92482443</v>
      </c>
      <c r="H78" s="20" t="n">
        <v>0.97775042</v>
      </c>
      <c r="I78" s="18" t="n">
        <v>32.83823187</v>
      </c>
      <c r="J78" s="20" t="n">
        <v>1.58333154</v>
      </c>
      <c r="K78" s="18" t="n">
        <v>0</v>
      </c>
      <c r="L78" s="20" t="n">
        <v>0</v>
      </c>
      <c r="M78" s="18" t="n">
        <v>1.85033754</v>
      </c>
      <c r="N78" s="20" t="n">
        <v>0.39463619</v>
      </c>
      <c r="O78" s="18" t="n">
        <v>0.17805659</v>
      </c>
      <c r="P78" s="20" t="n">
        <v>0.1083717</v>
      </c>
      <c r="Q78" s="18" t="n">
        <v>0</v>
      </c>
      <c r="R78" s="20" t="n">
        <v>0</v>
      </c>
      <c r="S78" s="18" t="n">
        <v>6.31466144</v>
      </c>
      <c r="T78" s="20" t="n">
        <v>0.84203545</v>
      </c>
    </row>
    <row r="79" spans="1:20">
      <c r="A79" s="15" t="s">
        <v>503</v>
      </c>
      <c r="B79" s="17" t="n">
        <v>6062</v>
      </c>
      <c r="C79" s="18">
        <f>(5346.0/B79*100)</f>
        <v/>
      </c>
      <c r="D79" s="19" t="n">
        <v>716</v>
      </c>
      <c r="E79" s="18" t="n">
        <v>35.10837295</v>
      </c>
      <c r="F79" s="20" t="n">
        <v>1.66553034</v>
      </c>
      <c r="G79" s="18" t="n">
        <v>9.84660974</v>
      </c>
      <c r="H79" s="20" t="n">
        <v>1.17238283</v>
      </c>
      <c r="I79" s="18" t="n">
        <v>39.66146197</v>
      </c>
      <c r="J79" s="20" t="n">
        <v>2.02786446</v>
      </c>
      <c r="K79" s="18" t="n">
        <v>0</v>
      </c>
      <c r="L79" s="20" t="n">
        <v>0</v>
      </c>
      <c r="M79" s="18" t="n">
        <v>3.54705212</v>
      </c>
      <c r="N79" s="20" t="n">
        <v>0.7583172</v>
      </c>
      <c r="O79" s="18" t="n">
        <v>0.15122989</v>
      </c>
      <c r="P79" s="20" t="n">
        <v>0.15739868</v>
      </c>
      <c r="Q79" s="18" t="n">
        <v>0</v>
      </c>
      <c r="R79" s="20" t="n">
        <v>0</v>
      </c>
      <c r="S79" s="18" t="n">
        <v>11.68527333</v>
      </c>
      <c r="T79" s="20" t="n">
        <v>1.25769594</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(28410.0/B82*100)</f>
        <v/>
      </c>
      <c r="D82" s="19" t="n">
        <v>3920</v>
      </c>
      <c r="E82" s="18" t="n">
        <v>23.45200569</v>
      </c>
      <c r="F82" s="20" t="n">
        <v>1.02675214</v>
      </c>
      <c r="G82" s="18" t="n">
        <v>20.93281478</v>
      </c>
      <c r="H82" s="20" t="n">
        <v>0.84882407</v>
      </c>
      <c r="I82" s="18" t="n">
        <v>49.89059794</v>
      </c>
      <c r="J82" s="20" t="n">
        <v>1.31355587</v>
      </c>
      <c r="K82" s="18" t="n">
        <v>0</v>
      </c>
      <c r="L82" s="20" t="n">
        <v>0</v>
      </c>
      <c r="M82" s="18" t="n">
        <v>0.89610352</v>
      </c>
      <c r="N82" s="20" t="n">
        <v>0.17665323</v>
      </c>
      <c r="O82" s="18" t="n">
        <v>0.27951398</v>
      </c>
      <c r="P82" s="20" t="n">
        <v>0.20162079</v>
      </c>
      <c r="Q82" s="18" t="n">
        <v>0</v>
      </c>
      <c r="R82" s="20" t="n">
        <v>0</v>
      </c>
      <c r="S82" s="18" t="n">
        <v>4.54896408</v>
      </c>
      <c r="T82" s="20" t="n">
        <v>0.49586109</v>
      </c>
    </row>
    <row r="83" spans="1:20">
      <c r="A83" s="15" t="s">
        <v>507</v>
      </c>
      <c r="B83" s="17" t="n">
        <v>1652</v>
      </c>
      <c r="C83" s="18">
        <f>(1462.0/B83*100)</f>
        <v/>
      </c>
      <c r="D83" s="19" t="n">
        <v>190</v>
      </c>
      <c r="E83" s="18" t="n">
        <v>20.14875812</v>
      </c>
      <c r="F83" s="20" t="n">
        <v>3.86168521</v>
      </c>
      <c r="G83" s="18" t="n">
        <v>16.48651851</v>
      </c>
      <c r="H83" s="20" t="n">
        <v>2.82587459</v>
      </c>
      <c r="I83" s="18" t="n">
        <v>61.9346713</v>
      </c>
      <c r="J83" s="20" t="n">
        <v>4.97805497</v>
      </c>
      <c r="K83" s="18" t="n">
        <v>0</v>
      </c>
      <c r="L83" s="20" t="n">
        <v>0</v>
      </c>
      <c r="M83" s="18" t="n">
        <v>0.43780062</v>
      </c>
      <c r="N83" s="20" t="n">
        <v>0.41277904</v>
      </c>
      <c r="O83" s="18" t="n">
        <v>0</v>
      </c>
      <c r="P83" s="20" t="n">
        <v>0</v>
      </c>
      <c r="Q83" s="18" t="n">
        <v>0</v>
      </c>
      <c r="R83" s="20" t="n">
        <v>0</v>
      </c>
      <c r="S83" s="18" t="n">
        <v>0.99225145</v>
      </c>
      <c r="T83" s="20" t="n">
        <v>0.68619076</v>
      </c>
    </row>
    <row r="84" spans="1:20">
      <c r="A84" s="23" t="s">
        <v>508</v>
      </c>
      <c r="B84" s="24" t="n">
        <v>1887</v>
      </c>
      <c r="C84" s="25">
        <f>(1661.0/B84*100)</f>
        <v/>
      </c>
      <c r="D84" s="19" t="n">
        <v>226</v>
      </c>
      <c r="E84" s="18" t="n">
        <v>28.24523708</v>
      </c>
      <c r="F84" s="20" t="n">
        <v>2.7899393</v>
      </c>
      <c r="G84" s="18" t="n">
        <v>11.82530266</v>
      </c>
      <c r="H84" s="20" t="n">
        <v>1.50653913</v>
      </c>
      <c r="I84" s="18" t="n">
        <v>58.3559101</v>
      </c>
      <c r="J84" s="20" t="n">
        <v>3.60374767</v>
      </c>
      <c r="K84" s="18" t="n">
        <v>0</v>
      </c>
      <c r="L84" s="20" t="n">
        <v>0</v>
      </c>
      <c r="M84" s="18" t="n">
        <v>0.35158328</v>
      </c>
      <c r="N84" s="20" t="n">
        <v>0.32695038</v>
      </c>
      <c r="O84" s="18" t="n">
        <v>0</v>
      </c>
      <c r="P84" s="20" t="n">
        <v>0</v>
      </c>
      <c r="Q84" s="18" t="n">
        <v>0</v>
      </c>
      <c r="R84" s="20" t="n">
        <v>0</v>
      </c>
      <c r="S84" s="18" t="n">
        <v>1.22196687</v>
      </c>
      <c r="T84" s="20" t="n">
        <v>0.74853977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(12818.0/B7*100)</f>
        <v/>
      </c>
      <c r="D7" s="19" t="n">
        <v>1712</v>
      </c>
      <c r="E7" s="18" t="n">
        <v>18.30901432</v>
      </c>
      <c r="F7" s="20" t="n">
        <v>1.07136361</v>
      </c>
      <c r="G7" s="18" t="n">
        <v>72.75338372</v>
      </c>
      <c r="H7" s="20" t="n">
        <v>1.31914362</v>
      </c>
      <c r="I7" s="18" t="n">
        <v>0</v>
      </c>
      <c r="J7" s="20" t="n">
        <v>0</v>
      </c>
      <c r="K7" s="18" t="n">
        <v>1.74793071</v>
      </c>
      <c r="L7" s="20" t="n">
        <v>0.37424628</v>
      </c>
      <c r="M7" s="18" t="n">
        <v>0.0335004</v>
      </c>
      <c r="N7" s="20" t="n">
        <v>0.02209578</v>
      </c>
      <c r="O7" s="18" t="n">
        <v>0</v>
      </c>
      <c r="P7" s="20" t="n">
        <v>0</v>
      </c>
      <c r="Q7" s="18" t="n">
        <v>7.15617085</v>
      </c>
      <c r="R7" s="20" t="n">
        <v>0.77801776</v>
      </c>
    </row>
    <row r="8" spans="1:18">
      <c r="A8" s="15" t="s">
        <v>430</v>
      </c>
      <c r="B8" s="17" t="n">
        <v>7007</v>
      </c>
      <c r="C8" s="18">
        <f>(6185.0/B8*100)</f>
        <v/>
      </c>
      <c r="D8" s="19" t="n">
        <v>822</v>
      </c>
      <c r="E8" s="18" t="n">
        <v>22.34717799</v>
      </c>
      <c r="F8" s="20" t="n">
        <v>1.630353</v>
      </c>
      <c r="G8" s="18" t="n">
        <v>66.59065185</v>
      </c>
      <c r="H8" s="20" t="n">
        <v>1.91741335</v>
      </c>
      <c r="I8" s="18" t="n">
        <v>0</v>
      </c>
      <c r="J8" s="20" t="n">
        <v>0</v>
      </c>
      <c r="K8" s="18" t="n">
        <v>1.25879009</v>
      </c>
      <c r="L8" s="20" t="n">
        <v>0.42423005</v>
      </c>
      <c r="M8" s="18" t="n">
        <v>0</v>
      </c>
      <c r="N8" s="20" t="n">
        <v>0</v>
      </c>
      <c r="O8" s="18" t="n">
        <v>0</v>
      </c>
      <c r="P8" s="20" t="n">
        <v>0</v>
      </c>
      <c r="Q8" s="18" t="n">
        <v>9.803380069999999</v>
      </c>
      <c r="R8" s="20" t="n">
        <v>1.06297903</v>
      </c>
    </row>
    <row r="9" spans="1:18">
      <c r="A9" s="15" t="s">
        <v>431</v>
      </c>
      <c r="B9" s="17" t="n">
        <v>9651</v>
      </c>
      <c r="C9" s="18">
        <f>(8536.0/B9*100)</f>
        <v/>
      </c>
      <c r="D9" s="19" t="n">
        <v>1115</v>
      </c>
      <c r="E9" s="18" t="n">
        <v>19.39792323</v>
      </c>
      <c r="F9" s="20" t="n">
        <v>1.48010457</v>
      </c>
      <c r="G9" s="18" t="n">
        <v>72.81881142</v>
      </c>
      <c r="H9" s="20" t="n">
        <v>1.74996231</v>
      </c>
      <c r="I9" s="18" t="n">
        <v>0</v>
      </c>
      <c r="J9" s="20" t="n">
        <v>0</v>
      </c>
      <c r="K9" s="18" t="n">
        <v>1.49398737</v>
      </c>
      <c r="L9" s="20" t="n">
        <v>0.56404286</v>
      </c>
      <c r="M9" s="18" t="n">
        <v>0.15312878</v>
      </c>
      <c r="N9" s="20" t="n">
        <v>0.11030172</v>
      </c>
      <c r="O9" s="18" t="n">
        <v>0</v>
      </c>
      <c r="P9" s="20" t="n">
        <v>0</v>
      </c>
      <c r="Q9" s="18" t="n">
        <v>6.13614921</v>
      </c>
      <c r="R9" s="20" t="n">
        <v>0.70271074</v>
      </c>
    </row>
    <row r="10" spans="1:18">
      <c r="A10" s="15" t="s">
        <v>432</v>
      </c>
      <c r="B10" s="17" t="n">
        <v>20058</v>
      </c>
      <c r="C10" s="18">
        <f>(17626.0/B10*100)</f>
        <v/>
      </c>
      <c r="D10" s="19" t="n">
        <v>2432</v>
      </c>
      <c r="E10" s="18" t="n">
        <v>15.37799208</v>
      </c>
      <c r="F10" s="20" t="n">
        <v>1.01894285</v>
      </c>
      <c r="G10" s="18" t="n">
        <v>80.24209402</v>
      </c>
      <c r="H10" s="20" t="n">
        <v>1.13039151</v>
      </c>
      <c r="I10" s="18" t="n">
        <v>0</v>
      </c>
      <c r="J10" s="20" t="n">
        <v>0</v>
      </c>
      <c r="K10" s="18" t="n">
        <v>1.21784479</v>
      </c>
      <c r="L10" s="20" t="n">
        <v>0.3519001</v>
      </c>
      <c r="M10" s="18" t="n">
        <v>0.08303146</v>
      </c>
      <c r="N10" s="20" t="n">
        <v>0.08421984</v>
      </c>
      <c r="O10" s="18" t="n">
        <v>0</v>
      </c>
      <c r="P10" s="20" t="n">
        <v>0</v>
      </c>
      <c r="Q10" s="18" t="n">
        <v>3.07903766</v>
      </c>
      <c r="R10" s="20" t="n">
        <v>0.49904994</v>
      </c>
    </row>
    <row r="11" spans="1:18">
      <c r="A11" s="15" t="s">
        <v>433</v>
      </c>
      <c r="B11" s="17" t="n">
        <v>7053</v>
      </c>
      <c r="C11" s="18">
        <f>(6200.0/B11*100)</f>
        <v/>
      </c>
      <c r="D11" s="19" t="n">
        <v>853</v>
      </c>
      <c r="E11" s="18" t="n">
        <v>27.10906376</v>
      </c>
      <c r="F11" s="20" t="n">
        <v>1.60870258</v>
      </c>
      <c r="G11" s="18" t="n">
        <v>58.85030297</v>
      </c>
      <c r="H11" s="20" t="n">
        <v>1.61625775</v>
      </c>
      <c r="I11" s="18" t="n">
        <v>0</v>
      </c>
      <c r="J11" s="20" t="n">
        <v>0</v>
      </c>
      <c r="K11" s="18" t="n">
        <v>3.08839441</v>
      </c>
      <c r="L11" s="20" t="n">
        <v>0.72952836</v>
      </c>
      <c r="M11" s="18" t="n">
        <v>0.05180023</v>
      </c>
      <c r="N11" s="20" t="n">
        <v>0.05649994</v>
      </c>
      <c r="O11" s="18" t="n">
        <v>0</v>
      </c>
      <c r="P11" s="20" t="n">
        <v>0</v>
      </c>
      <c r="Q11" s="18" t="n">
        <v>10.90043863</v>
      </c>
      <c r="R11" s="20" t="n">
        <v>1.35466008</v>
      </c>
    </row>
    <row r="12" spans="1:18">
      <c r="A12" s="15" t="s">
        <v>434</v>
      </c>
      <c r="B12" s="17" t="n">
        <v>6894</v>
      </c>
      <c r="C12" s="18">
        <f>(6055.0/B12*100)</f>
        <v/>
      </c>
      <c r="D12" s="19" t="n">
        <v>839</v>
      </c>
      <c r="E12" s="18" t="n">
        <v>22.47391951</v>
      </c>
      <c r="F12" s="20" t="n">
        <v>1.60930209</v>
      </c>
      <c r="G12" s="18" t="n">
        <v>68.14076128000001</v>
      </c>
      <c r="H12" s="20" t="n">
        <v>2.03087083</v>
      </c>
      <c r="I12" s="18" t="n">
        <v>0</v>
      </c>
      <c r="J12" s="20" t="n">
        <v>0</v>
      </c>
      <c r="K12" s="18" t="n">
        <v>1.83277972</v>
      </c>
      <c r="L12" s="20" t="n">
        <v>0.60979857</v>
      </c>
      <c r="M12" s="18" t="n">
        <v>0.07126349999999999</v>
      </c>
      <c r="N12" s="20" t="n">
        <v>0.09517602</v>
      </c>
      <c r="O12" s="18" t="n">
        <v>0</v>
      </c>
      <c r="P12" s="20" t="n">
        <v>0</v>
      </c>
      <c r="Q12" s="18" t="n">
        <v>7.48127599</v>
      </c>
      <c r="R12" s="20" t="n">
        <v>1.13233227</v>
      </c>
    </row>
    <row r="13" spans="1:18">
      <c r="A13" s="15" t="s">
        <v>435</v>
      </c>
      <c r="B13" s="17" t="n">
        <v>7161</v>
      </c>
      <c r="C13" s="18">
        <f>(6339.0/B13*100)</f>
        <v/>
      </c>
      <c r="D13" s="19" t="n">
        <v>822</v>
      </c>
      <c r="E13" s="18" t="n">
        <v>19.76051668</v>
      </c>
      <c r="F13" s="20" t="n">
        <v>1.49027343</v>
      </c>
      <c r="G13" s="18" t="n">
        <v>74.49727982</v>
      </c>
      <c r="H13" s="20" t="n">
        <v>1.54369853</v>
      </c>
      <c r="I13" s="18" t="n">
        <v>0</v>
      </c>
      <c r="J13" s="20" t="n">
        <v>0</v>
      </c>
      <c r="K13" s="18" t="n">
        <v>1.44830644</v>
      </c>
      <c r="L13" s="20" t="n">
        <v>0.5490856200000001</v>
      </c>
      <c r="M13" s="18" t="n">
        <v>0.03730304</v>
      </c>
      <c r="N13" s="20" t="n">
        <v>0.03729528</v>
      </c>
      <c r="O13" s="18" t="n">
        <v>0</v>
      </c>
      <c r="P13" s="20" t="n">
        <v>0</v>
      </c>
      <c r="Q13" s="18" t="n">
        <v>4.25659401</v>
      </c>
      <c r="R13" s="20" t="n">
        <v>0.77625451</v>
      </c>
    </row>
    <row r="14" spans="1:18">
      <c r="A14" s="15" t="s">
        <v>436</v>
      </c>
      <c r="B14" s="17" t="n">
        <v>5587</v>
      </c>
      <c r="C14" s="18">
        <f>(4922.0/B14*100)</f>
        <v/>
      </c>
      <c r="D14" s="19" t="n">
        <v>665</v>
      </c>
      <c r="E14" s="18" t="n">
        <v>13.81057692</v>
      </c>
      <c r="F14" s="20" t="n">
        <v>1.64008626</v>
      </c>
      <c r="G14" s="18" t="n">
        <v>83.33235478</v>
      </c>
      <c r="H14" s="20" t="n">
        <v>1.78051603</v>
      </c>
      <c r="I14" s="18" t="n">
        <v>0</v>
      </c>
      <c r="J14" s="20" t="n">
        <v>0</v>
      </c>
      <c r="K14" s="18" t="n">
        <v>0.62493687</v>
      </c>
      <c r="L14" s="20" t="n">
        <v>0.21472455</v>
      </c>
      <c r="M14" s="18" t="n">
        <v>0</v>
      </c>
      <c r="N14" s="20" t="n">
        <v>0</v>
      </c>
      <c r="O14" s="18" t="n">
        <v>0</v>
      </c>
      <c r="P14" s="20" t="n">
        <v>0</v>
      </c>
      <c r="Q14" s="18" t="n">
        <v>2.23213143</v>
      </c>
      <c r="R14" s="20" t="n">
        <v>0.6457032</v>
      </c>
    </row>
    <row r="15" spans="1:18">
      <c r="A15" s="15" t="s">
        <v>437</v>
      </c>
      <c r="B15" s="17" t="n">
        <v>5882</v>
      </c>
      <c r="C15" s="18">
        <f>(5149.0/B15*100)</f>
        <v/>
      </c>
      <c r="D15" s="19" t="n">
        <v>733</v>
      </c>
      <c r="E15" s="18" t="n">
        <v>14.18882086</v>
      </c>
      <c r="F15" s="20" t="n">
        <v>1.32213719</v>
      </c>
      <c r="G15" s="18" t="n">
        <v>82.10508374</v>
      </c>
      <c r="H15" s="20" t="n">
        <v>1.47358665</v>
      </c>
      <c r="I15" s="18" t="n">
        <v>0</v>
      </c>
      <c r="J15" s="20" t="n">
        <v>0</v>
      </c>
      <c r="K15" s="18" t="n">
        <v>1.92203473</v>
      </c>
      <c r="L15" s="20" t="n">
        <v>0.50217699</v>
      </c>
      <c r="M15" s="18" t="n">
        <v>0</v>
      </c>
      <c r="N15" s="20" t="n">
        <v>0</v>
      </c>
      <c r="O15" s="18" t="n">
        <v>0</v>
      </c>
      <c r="P15" s="20" t="n">
        <v>0</v>
      </c>
      <c r="Q15" s="18" t="n">
        <v>1.78406067</v>
      </c>
      <c r="R15" s="20" t="n">
        <v>0.53998239</v>
      </c>
    </row>
    <row r="16" spans="1:18">
      <c r="A16" s="15" t="s">
        <v>438</v>
      </c>
      <c r="B16" s="17" t="n">
        <v>6108</v>
      </c>
      <c r="C16" s="18">
        <f>(5344.0/B16*100)</f>
        <v/>
      </c>
      <c r="D16" s="19" t="n">
        <v>764</v>
      </c>
      <c r="E16" s="18" t="n">
        <v>14.92033018</v>
      </c>
      <c r="F16" s="20" t="n">
        <v>1.34629568</v>
      </c>
      <c r="G16" s="18" t="n">
        <v>69.65009219</v>
      </c>
      <c r="H16" s="20" t="n">
        <v>1.63662901</v>
      </c>
      <c r="I16" s="18" t="n">
        <v>0</v>
      </c>
      <c r="J16" s="20" t="n">
        <v>0</v>
      </c>
      <c r="K16" s="18" t="n">
        <v>3.12352557</v>
      </c>
      <c r="L16" s="20" t="n">
        <v>0.74425268</v>
      </c>
      <c r="M16" s="18" t="n">
        <v>0</v>
      </c>
      <c r="N16" s="20" t="n">
        <v>0</v>
      </c>
      <c r="O16" s="18" t="n">
        <v>0</v>
      </c>
      <c r="P16" s="20" t="n">
        <v>0</v>
      </c>
      <c r="Q16" s="18" t="n">
        <v>12.30605205</v>
      </c>
      <c r="R16" s="20" t="n">
        <v>1.20522251</v>
      </c>
    </row>
    <row r="17" spans="1:18">
      <c r="A17" s="15" t="s">
        <v>439</v>
      </c>
      <c r="B17" s="17" t="n">
        <v>6504</v>
      </c>
      <c r="C17" s="18">
        <f>(5727.0/B17*100)</f>
        <v/>
      </c>
      <c r="D17" s="19" t="n">
        <v>777</v>
      </c>
      <c r="E17" s="18" t="n">
        <v>18.50199832</v>
      </c>
      <c r="F17" s="20" t="n">
        <v>1.52616237</v>
      </c>
      <c r="G17" s="18" t="n">
        <v>71.65596431</v>
      </c>
      <c r="H17" s="20" t="n">
        <v>1.71376843</v>
      </c>
      <c r="I17" s="18" t="n">
        <v>0</v>
      </c>
      <c r="J17" s="20" t="n">
        <v>0</v>
      </c>
      <c r="K17" s="18" t="n">
        <v>1.65468721</v>
      </c>
      <c r="L17" s="20" t="n">
        <v>0.52222719</v>
      </c>
      <c r="M17" s="18" t="n">
        <v>0</v>
      </c>
      <c r="N17" s="20" t="n">
        <v>0</v>
      </c>
      <c r="O17" s="18" t="n">
        <v>0</v>
      </c>
      <c r="P17" s="20" t="n">
        <v>0</v>
      </c>
      <c r="Q17" s="18" t="n">
        <v>8.18735017</v>
      </c>
      <c r="R17" s="20" t="n">
        <v>0.85338678</v>
      </c>
    </row>
    <row r="18" spans="1:18">
      <c r="A18" s="15" t="s">
        <v>440</v>
      </c>
      <c r="B18" s="17" t="n">
        <v>5532</v>
      </c>
      <c r="C18" s="18">
        <f>(4848.0/B18*100)</f>
        <v/>
      </c>
      <c r="D18" s="19" t="n">
        <v>684</v>
      </c>
      <c r="E18" s="18" t="n">
        <v>37.88477614</v>
      </c>
      <c r="F18" s="20" t="n">
        <v>1.76396844</v>
      </c>
      <c r="G18" s="18" t="n">
        <v>41.79631231</v>
      </c>
      <c r="H18" s="20" t="n">
        <v>1.94870363</v>
      </c>
      <c r="I18" s="18" t="n">
        <v>0</v>
      </c>
      <c r="J18" s="20" t="n">
        <v>0</v>
      </c>
      <c r="K18" s="18" t="n">
        <v>3.84185938</v>
      </c>
      <c r="L18" s="20" t="n">
        <v>0.82068538</v>
      </c>
      <c r="M18" s="18" t="n">
        <v>0</v>
      </c>
      <c r="N18" s="20" t="n">
        <v>0</v>
      </c>
      <c r="O18" s="18" t="n">
        <v>0</v>
      </c>
      <c r="P18" s="20" t="n">
        <v>0</v>
      </c>
      <c r="Q18" s="18" t="n">
        <v>16.47705216</v>
      </c>
      <c r="R18" s="20" t="n">
        <v>1.36779211</v>
      </c>
    </row>
    <row r="19" spans="1:18">
      <c r="A19" s="15" t="s">
        <v>441</v>
      </c>
      <c r="B19" s="17" t="n">
        <v>5658</v>
      </c>
      <c r="C19" s="18">
        <f>(4952.0/B19*100)</f>
        <v/>
      </c>
      <c r="D19" s="19" t="n">
        <v>706</v>
      </c>
      <c r="E19" s="18" t="n">
        <v>26.99566226</v>
      </c>
      <c r="F19" s="20" t="n">
        <v>1.91044175</v>
      </c>
      <c r="G19" s="18" t="n">
        <v>60.10400721</v>
      </c>
      <c r="H19" s="20" t="n">
        <v>1.97332361</v>
      </c>
      <c r="I19" s="18" t="n">
        <v>0</v>
      </c>
      <c r="J19" s="20" t="n">
        <v>0</v>
      </c>
      <c r="K19" s="18" t="n">
        <v>1.94684793</v>
      </c>
      <c r="L19" s="20" t="n">
        <v>0.72211108</v>
      </c>
      <c r="M19" s="18" t="n">
        <v>0</v>
      </c>
      <c r="N19" s="20" t="n">
        <v>0</v>
      </c>
      <c r="O19" s="18" t="n">
        <v>0</v>
      </c>
      <c r="P19" s="20" t="n">
        <v>0</v>
      </c>
      <c r="Q19" s="18" t="n">
        <v>10.9534826</v>
      </c>
      <c r="R19" s="20" t="n">
        <v>1.29464912</v>
      </c>
    </row>
    <row r="20" spans="1:18">
      <c r="A20" s="15" t="s">
        <v>442</v>
      </c>
      <c r="B20" s="17" t="n">
        <v>3371</v>
      </c>
      <c r="C20" s="18">
        <f>(2961.0/B20*100)</f>
        <v/>
      </c>
      <c r="D20" s="19" t="n">
        <v>410</v>
      </c>
      <c r="E20" s="18" t="n">
        <v>28.09522528</v>
      </c>
      <c r="F20" s="20" t="n">
        <v>2.15183264</v>
      </c>
      <c r="G20" s="18" t="n">
        <v>64.81704525000001</v>
      </c>
      <c r="H20" s="20" t="n">
        <v>2.17411685</v>
      </c>
      <c r="I20" s="18" t="n">
        <v>0</v>
      </c>
      <c r="J20" s="20" t="n">
        <v>0</v>
      </c>
      <c r="K20" s="18" t="n">
        <v>1.72753164</v>
      </c>
      <c r="L20" s="20" t="n">
        <v>0.53690088</v>
      </c>
      <c r="M20" s="18" t="n">
        <v>0.58467359</v>
      </c>
      <c r="N20" s="20" t="n">
        <v>0.33562838</v>
      </c>
      <c r="O20" s="18" t="n">
        <v>0</v>
      </c>
      <c r="P20" s="20" t="n">
        <v>0</v>
      </c>
      <c r="Q20" s="18" t="n">
        <v>4.77552424</v>
      </c>
      <c r="R20" s="20" t="n">
        <v>1.01108542</v>
      </c>
    </row>
    <row r="21" spans="1:18">
      <c r="A21" s="15" t="s">
        <v>443</v>
      </c>
      <c r="B21" s="17" t="n">
        <v>5741</v>
      </c>
      <c r="C21" s="18">
        <f>(4808.0/B21*100)</f>
        <v/>
      </c>
      <c r="D21" s="19" t="n">
        <v>933</v>
      </c>
      <c r="E21" s="18" t="n">
        <v>13.92527617</v>
      </c>
      <c r="F21" s="20" t="n">
        <v>1.15688063</v>
      </c>
      <c r="G21" s="18" t="n">
        <v>80.68842535</v>
      </c>
      <c r="H21" s="20" t="n">
        <v>1.29647087</v>
      </c>
      <c r="I21" s="18" t="n">
        <v>0</v>
      </c>
      <c r="J21" s="20" t="n">
        <v>0</v>
      </c>
      <c r="K21" s="18" t="n">
        <v>0.94669443</v>
      </c>
      <c r="L21" s="20" t="n">
        <v>0.31242689</v>
      </c>
      <c r="M21" s="18" t="n">
        <v>0.08197525999999999</v>
      </c>
      <c r="N21" s="20" t="n">
        <v>0.08197408</v>
      </c>
      <c r="O21" s="18" t="n">
        <v>0</v>
      </c>
      <c r="P21" s="20" t="n">
        <v>0</v>
      </c>
      <c r="Q21" s="18" t="n">
        <v>4.35762879</v>
      </c>
      <c r="R21" s="20" t="n">
        <v>0.57026854</v>
      </c>
    </row>
    <row r="22" spans="1:18">
      <c r="A22" s="15" t="s">
        <v>444</v>
      </c>
      <c r="B22" s="17" t="n">
        <v>6598</v>
      </c>
      <c r="C22" s="18">
        <f>(5799.0/B22*100)</f>
        <v/>
      </c>
      <c r="D22" s="19" t="n">
        <v>799</v>
      </c>
      <c r="E22" s="18" t="n">
        <v>20.28781095</v>
      </c>
      <c r="F22" s="20" t="n">
        <v>1.45818152</v>
      </c>
      <c r="G22" s="18" t="n">
        <v>65.47677285</v>
      </c>
      <c r="H22" s="20" t="n">
        <v>1.71291979</v>
      </c>
      <c r="I22" s="18" t="n">
        <v>0</v>
      </c>
      <c r="J22" s="20" t="n">
        <v>0</v>
      </c>
      <c r="K22" s="18" t="n">
        <v>1.76136838</v>
      </c>
      <c r="L22" s="20" t="n">
        <v>0.43339475</v>
      </c>
      <c r="M22" s="18" t="n">
        <v>0</v>
      </c>
      <c r="N22" s="20" t="n">
        <v>0</v>
      </c>
      <c r="O22" s="18" t="n">
        <v>0</v>
      </c>
      <c r="P22" s="20" t="n">
        <v>0</v>
      </c>
      <c r="Q22" s="18" t="n">
        <v>12.47404782</v>
      </c>
      <c r="R22" s="20" t="n">
        <v>1.15343037</v>
      </c>
    </row>
    <row r="23" spans="1:18">
      <c r="A23" s="15" t="s">
        <v>445</v>
      </c>
      <c r="B23" s="17" t="n">
        <v>11583</v>
      </c>
      <c r="C23" s="18">
        <f>(10178.0/B23*100)</f>
        <v/>
      </c>
      <c r="D23" s="19" t="n">
        <v>1405</v>
      </c>
      <c r="E23" s="18" t="n">
        <v>17.30639982</v>
      </c>
      <c r="F23" s="20" t="n">
        <v>1.60986926</v>
      </c>
      <c r="G23" s="18" t="n">
        <v>70.24414358</v>
      </c>
      <c r="H23" s="20" t="n">
        <v>1.91829053</v>
      </c>
      <c r="I23" s="18" t="n">
        <v>0</v>
      </c>
      <c r="J23" s="20" t="n">
        <v>0</v>
      </c>
      <c r="K23" s="18" t="n">
        <v>1.63433611</v>
      </c>
      <c r="L23" s="20" t="n">
        <v>0.59873221</v>
      </c>
      <c r="M23" s="18" t="n">
        <v>1.62855451</v>
      </c>
      <c r="N23" s="20" t="n">
        <v>0.80870443</v>
      </c>
      <c r="O23" s="18" t="n">
        <v>0</v>
      </c>
      <c r="P23" s="20" t="n">
        <v>0</v>
      </c>
      <c r="Q23" s="18" t="n">
        <v>9.186565979999999</v>
      </c>
      <c r="R23" s="20" t="n">
        <v>1.19702858</v>
      </c>
    </row>
    <row r="24" spans="1:18">
      <c r="A24" s="15" t="s">
        <v>446</v>
      </c>
      <c r="B24" s="17" t="n">
        <v>6647</v>
      </c>
      <c r="C24" s="18">
        <f>(5865.0/B24*100)</f>
        <v/>
      </c>
      <c r="D24" s="19" t="n">
        <v>782</v>
      </c>
      <c r="E24" s="18" t="n">
        <v>31.091712</v>
      </c>
      <c r="F24" s="20" t="n">
        <v>1.92216914</v>
      </c>
      <c r="G24" s="18" t="n">
        <v>45.25655682</v>
      </c>
      <c r="H24" s="20" t="n">
        <v>1.69019514</v>
      </c>
      <c r="I24" s="18" t="n">
        <v>0</v>
      </c>
      <c r="J24" s="20" t="n">
        <v>0</v>
      </c>
      <c r="K24" s="18" t="n">
        <v>1.98459089</v>
      </c>
      <c r="L24" s="20" t="n">
        <v>0.57234839</v>
      </c>
      <c r="M24" s="18" t="n">
        <v>0</v>
      </c>
      <c r="N24" s="20" t="n">
        <v>0</v>
      </c>
      <c r="O24" s="18" t="n">
        <v>0</v>
      </c>
      <c r="P24" s="20" t="n">
        <v>0</v>
      </c>
      <c r="Q24" s="18" t="n">
        <v>21.66714029</v>
      </c>
      <c r="R24" s="20" t="n">
        <v>1.9328178</v>
      </c>
    </row>
    <row r="25" spans="1:18">
      <c r="A25" s="15" t="s">
        <v>447</v>
      </c>
      <c r="B25" s="17" t="n">
        <v>5581</v>
      </c>
      <c r="C25" s="18">
        <f>(4896.0/B25*100)</f>
        <v/>
      </c>
      <c r="D25" s="19" t="n">
        <v>685</v>
      </c>
      <c r="E25" s="18" t="n">
        <v>11.25765823</v>
      </c>
      <c r="F25" s="20" t="n">
        <v>1.30708398</v>
      </c>
      <c r="G25" s="18" t="n">
        <v>81.3813588</v>
      </c>
      <c r="H25" s="20" t="n">
        <v>1.58278698</v>
      </c>
      <c r="I25" s="18" t="n">
        <v>0</v>
      </c>
      <c r="J25" s="20" t="n">
        <v>0</v>
      </c>
      <c r="K25" s="18" t="n">
        <v>1.23431672</v>
      </c>
      <c r="L25" s="20" t="n">
        <v>0.41433467</v>
      </c>
      <c r="M25" s="18" t="n">
        <v>0</v>
      </c>
      <c r="N25" s="20" t="n">
        <v>0</v>
      </c>
      <c r="O25" s="18" t="n">
        <v>0</v>
      </c>
      <c r="P25" s="20" t="n">
        <v>0</v>
      </c>
      <c r="Q25" s="18" t="n">
        <v>6.12666625</v>
      </c>
      <c r="R25" s="20" t="n">
        <v>0.9969492</v>
      </c>
    </row>
    <row r="26" spans="1:18">
      <c r="A26" s="15" t="s">
        <v>448</v>
      </c>
      <c r="B26" s="17" t="n">
        <v>4869</v>
      </c>
      <c r="C26" s="18">
        <f>(4286.0/B26*100)</f>
        <v/>
      </c>
      <c r="D26" s="19" t="n">
        <v>583</v>
      </c>
      <c r="E26" s="18" t="n">
        <v>20.42276272</v>
      </c>
      <c r="F26" s="20" t="n">
        <v>1.95041403</v>
      </c>
      <c r="G26" s="18" t="n">
        <v>74.18372343</v>
      </c>
      <c r="H26" s="20" t="n">
        <v>2.24915985</v>
      </c>
      <c r="I26" s="18" t="n">
        <v>0</v>
      </c>
      <c r="J26" s="20" t="n">
        <v>0</v>
      </c>
      <c r="K26" s="18" t="n">
        <v>0.54599169</v>
      </c>
      <c r="L26" s="20" t="n">
        <v>0.27326</v>
      </c>
      <c r="M26" s="18" t="n">
        <v>0.63390589</v>
      </c>
      <c r="N26" s="20" t="n">
        <v>0.40747578</v>
      </c>
      <c r="O26" s="18" t="n">
        <v>0</v>
      </c>
      <c r="P26" s="20" t="n">
        <v>0</v>
      </c>
      <c r="Q26" s="18" t="n">
        <v>4.21361627</v>
      </c>
      <c r="R26" s="20" t="n">
        <v>1.28293833</v>
      </c>
    </row>
    <row r="27" spans="1:18">
      <c r="A27" s="15" t="s">
        <v>449</v>
      </c>
      <c r="B27" s="17" t="n">
        <v>5299</v>
      </c>
      <c r="C27" s="18">
        <f>(4674.0/B27*100)</f>
        <v/>
      </c>
      <c r="D27" s="19" t="n">
        <v>625</v>
      </c>
      <c r="E27" s="18" t="n">
        <v>20.44510143</v>
      </c>
      <c r="F27" s="20" t="n">
        <v>1.51175039</v>
      </c>
      <c r="G27" s="18" t="n">
        <v>65.59022045</v>
      </c>
      <c r="H27" s="20" t="n">
        <v>1.81310599</v>
      </c>
      <c r="I27" s="18" t="n">
        <v>0</v>
      </c>
      <c r="J27" s="20" t="n">
        <v>0</v>
      </c>
      <c r="K27" s="18" t="n">
        <v>1.78843827</v>
      </c>
      <c r="L27" s="20" t="n">
        <v>0.48345312</v>
      </c>
      <c r="M27" s="18" t="n">
        <v>0</v>
      </c>
      <c r="N27" s="20" t="n">
        <v>0</v>
      </c>
      <c r="O27" s="18" t="n">
        <v>0</v>
      </c>
      <c r="P27" s="20" t="n">
        <v>0</v>
      </c>
      <c r="Q27" s="18" t="n">
        <v>12.17623985</v>
      </c>
      <c r="R27" s="20" t="n">
        <v>1.2894715</v>
      </c>
    </row>
    <row r="28" spans="1:18">
      <c r="A28" s="15" t="s">
        <v>450</v>
      </c>
      <c r="B28" s="17" t="n">
        <v>7568</v>
      </c>
      <c r="C28" s="18">
        <f>(6714.0/B28*100)</f>
        <v/>
      </c>
      <c r="D28" s="19" t="n">
        <v>854</v>
      </c>
      <c r="E28" s="18" t="n">
        <v>47.56655859</v>
      </c>
      <c r="F28" s="20" t="n">
        <v>1.98157728</v>
      </c>
      <c r="G28" s="18" t="n">
        <v>47.66047111</v>
      </c>
      <c r="H28" s="20" t="n">
        <v>2.15334846</v>
      </c>
      <c r="I28" s="18" t="n">
        <v>0</v>
      </c>
      <c r="J28" s="20" t="n">
        <v>0</v>
      </c>
      <c r="K28" s="18" t="n">
        <v>0.57265248</v>
      </c>
      <c r="L28" s="20" t="n">
        <v>0.24730525</v>
      </c>
      <c r="M28" s="18" t="n">
        <v>0.10469333</v>
      </c>
      <c r="N28" s="20" t="n">
        <v>0.10733425</v>
      </c>
      <c r="O28" s="18" t="n">
        <v>0</v>
      </c>
      <c r="P28" s="20" t="n">
        <v>0</v>
      </c>
      <c r="Q28" s="18" t="n">
        <v>4.09562449</v>
      </c>
      <c r="R28" s="20" t="n">
        <v>0.79472211</v>
      </c>
    </row>
    <row r="29" spans="1:18">
      <c r="A29" s="15" t="s">
        <v>451</v>
      </c>
      <c r="B29" s="17" t="n">
        <v>5385</v>
      </c>
      <c r="C29" s="18">
        <f>(4742.0/B29*100)</f>
        <v/>
      </c>
      <c r="D29" s="19" t="n">
        <v>643</v>
      </c>
      <c r="E29" s="18" t="n">
        <v>18.13675701</v>
      </c>
      <c r="F29" s="20" t="n">
        <v>1.87618116</v>
      </c>
      <c r="G29" s="18" t="n">
        <v>78.97343358000001</v>
      </c>
      <c r="H29" s="20" t="n">
        <v>1.9157416</v>
      </c>
      <c r="I29" s="18" t="n">
        <v>0</v>
      </c>
      <c r="J29" s="20" t="n">
        <v>0</v>
      </c>
      <c r="K29" s="18" t="n">
        <v>0.37354951</v>
      </c>
      <c r="L29" s="20" t="n">
        <v>0.21182371</v>
      </c>
      <c r="M29" s="18" t="n">
        <v>0.1633203</v>
      </c>
      <c r="N29" s="20" t="n">
        <v>0.17057189</v>
      </c>
      <c r="O29" s="18" t="n">
        <v>0</v>
      </c>
      <c r="P29" s="20" t="n">
        <v>0</v>
      </c>
      <c r="Q29" s="18" t="n">
        <v>2.3529396</v>
      </c>
      <c r="R29" s="20" t="n">
        <v>0.65467013</v>
      </c>
    </row>
    <row r="30" spans="1:18">
      <c r="A30" s="15" t="s">
        <v>452</v>
      </c>
      <c r="B30" s="17" t="n">
        <v>4520</v>
      </c>
      <c r="C30" s="18">
        <f>(3964.0/B30*100)</f>
        <v/>
      </c>
      <c r="D30" s="19" t="n">
        <v>556</v>
      </c>
      <c r="E30" s="18" t="n">
        <v>19.02253478</v>
      </c>
      <c r="F30" s="20" t="n">
        <v>1.71823358</v>
      </c>
      <c r="G30" s="18" t="n">
        <v>71.16144266000001</v>
      </c>
      <c r="H30" s="20" t="n">
        <v>2.11541647</v>
      </c>
      <c r="I30" s="18" t="n">
        <v>0</v>
      </c>
      <c r="J30" s="20" t="n">
        <v>0</v>
      </c>
      <c r="K30" s="18" t="n">
        <v>1.4894116</v>
      </c>
      <c r="L30" s="20" t="n">
        <v>0.49072721</v>
      </c>
      <c r="M30" s="18" t="n">
        <v>0.26125215</v>
      </c>
      <c r="N30" s="20" t="n">
        <v>0.25620384</v>
      </c>
      <c r="O30" s="18" t="n">
        <v>0</v>
      </c>
      <c r="P30" s="20" t="n">
        <v>0</v>
      </c>
      <c r="Q30" s="18" t="n">
        <v>8.06535882</v>
      </c>
      <c r="R30" s="20" t="n">
        <v>1.19522643</v>
      </c>
    </row>
    <row r="31" spans="1:18">
      <c r="A31" s="15" t="s">
        <v>453</v>
      </c>
      <c r="B31" s="17" t="n">
        <v>5456</v>
      </c>
      <c r="C31" s="18">
        <f>(4798.0/B31*100)</f>
        <v/>
      </c>
      <c r="D31" s="19" t="n">
        <v>658</v>
      </c>
      <c r="E31" s="18" t="n">
        <v>20.03278187</v>
      </c>
      <c r="F31" s="20" t="n">
        <v>1.62740827</v>
      </c>
      <c r="G31" s="18" t="n">
        <v>69.87619341</v>
      </c>
      <c r="H31" s="20" t="n">
        <v>1.78540451</v>
      </c>
      <c r="I31" s="18" t="n">
        <v>0</v>
      </c>
      <c r="J31" s="20" t="n">
        <v>0</v>
      </c>
      <c r="K31" s="18" t="n">
        <v>2.98812436</v>
      </c>
      <c r="L31" s="20" t="n">
        <v>0.65455902</v>
      </c>
      <c r="M31" s="18" t="n">
        <v>0.15362166</v>
      </c>
      <c r="N31" s="20" t="n">
        <v>0.14579959</v>
      </c>
      <c r="O31" s="18" t="n">
        <v>0</v>
      </c>
      <c r="P31" s="20" t="n">
        <v>0</v>
      </c>
      <c r="Q31" s="18" t="n">
        <v>6.9492787</v>
      </c>
      <c r="R31" s="20" t="n">
        <v>1.04712395</v>
      </c>
    </row>
    <row r="32" spans="1:18">
      <c r="A32" s="15" t="s">
        <v>454</v>
      </c>
      <c r="B32" s="17" t="n">
        <v>4478</v>
      </c>
      <c r="C32" s="18">
        <f>(3777.0/B32*100)</f>
        <v/>
      </c>
      <c r="D32" s="19" t="n">
        <v>701</v>
      </c>
      <c r="E32" s="18" t="n">
        <v>11.04926185</v>
      </c>
      <c r="F32" s="20" t="n">
        <v>1.05779587</v>
      </c>
      <c r="G32" s="18" t="n">
        <v>83.36071407</v>
      </c>
      <c r="H32" s="20" t="n">
        <v>1.22569364</v>
      </c>
      <c r="I32" s="18" t="n">
        <v>0</v>
      </c>
      <c r="J32" s="20" t="n">
        <v>0</v>
      </c>
      <c r="K32" s="18" t="n">
        <v>0.94929696</v>
      </c>
      <c r="L32" s="20" t="n">
        <v>0.37689419</v>
      </c>
      <c r="M32" s="18" t="n">
        <v>0.13439575</v>
      </c>
      <c r="N32" s="20" t="n">
        <v>0.13387813</v>
      </c>
      <c r="O32" s="18" t="n">
        <v>0</v>
      </c>
      <c r="P32" s="20" t="n">
        <v>0</v>
      </c>
      <c r="Q32" s="18" t="n">
        <v>4.50633137</v>
      </c>
      <c r="R32" s="20" t="n">
        <v>0.77318549</v>
      </c>
    </row>
    <row r="33" spans="1:18">
      <c r="A33" s="15" t="s">
        <v>455</v>
      </c>
      <c r="B33" s="17" t="n">
        <v>7325</v>
      </c>
      <c r="C33" s="18">
        <f>(6440.0/B33*100)</f>
        <v/>
      </c>
      <c r="D33" s="19" t="n">
        <v>885</v>
      </c>
      <c r="E33" s="18" t="n">
        <v>21.42124617</v>
      </c>
      <c r="F33" s="20" t="n">
        <v>1.89984322</v>
      </c>
      <c r="G33" s="18" t="n">
        <v>71.98753988999999</v>
      </c>
      <c r="H33" s="20" t="n">
        <v>2.03901507</v>
      </c>
      <c r="I33" s="18" t="n">
        <v>0</v>
      </c>
      <c r="J33" s="20" t="n">
        <v>0</v>
      </c>
      <c r="K33" s="18" t="n">
        <v>0.27238134</v>
      </c>
      <c r="L33" s="20" t="n">
        <v>0.17519588</v>
      </c>
      <c r="M33" s="18" t="n">
        <v>0.12611021</v>
      </c>
      <c r="N33" s="20" t="n">
        <v>0.12153503</v>
      </c>
      <c r="O33" s="18" t="n">
        <v>0</v>
      </c>
      <c r="P33" s="20" t="n">
        <v>0</v>
      </c>
      <c r="Q33" s="18" t="n">
        <v>6.19272239</v>
      </c>
      <c r="R33" s="20" t="n">
        <v>0.94461467</v>
      </c>
    </row>
    <row r="34" spans="1:18">
      <c r="A34" s="15" t="s">
        <v>456</v>
      </c>
      <c r="B34" s="17" t="n">
        <v>6350</v>
      </c>
      <c r="C34" s="18">
        <f>(5586.0/B34*100)</f>
        <v/>
      </c>
      <c r="D34" s="19" t="n">
        <v>764</v>
      </c>
      <c r="E34" s="18" t="n">
        <v>29.39501798</v>
      </c>
      <c r="F34" s="20" t="n">
        <v>1.62982155</v>
      </c>
      <c r="G34" s="18" t="n">
        <v>59.13586757</v>
      </c>
      <c r="H34" s="20" t="n">
        <v>1.90884151</v>
      </c>
      <c r="I34" s="18" t="n">
        <v>0</v>
      </c>
      <c r="J34" s="20" t="n">
        <v>0</v>
      </c>
      <c r="K34" s="18" t="n">
        <v>1.67265822</v>
      </c>
      <c r="L34" s="20" t="n">
        <v>0.44537364</v>
      </c>
      <c r="M34" s="18" t="n">
        <v>0</v>
      </c>
      <c r="N34" s="20" t="n">
        <v>0</v>
      </c>
      <c r="O34" s="18" t="n">
        <v>0</v>
      </c>
      <c r="P34" s="20" t="n">
        <v>0</v>
      </c>
      <c r="Q34" s="18" t="n">
        <v>9.79645623</v>
      </c>
      <c r="R34" s="20" t="n">
        <v>1.20422144</v>
      </c>
    </row>
    <row r="35" spans="1:18">
      <c r="A35" s="15" t="s">
        <v>457</v>
      </c>
      <c r="B35" s="17" t="n">
        <v>6406</v>
      </c>
      <c r="C35" s="18">
        <f>(5645.0/B35*100)</f>
        <v/>
      </c>
      <c r="D35" s="19" t="n">
        <v>761</v>
      </c>
      <c r="E35" s="18" t="n">
        <v>16.68871982</v>
      </c>
      <c r="F35" s="20" t="n">
        <v>1.89138751</v>
      </c>
      <c r="G35" s="18" t="n">
        <v>79.58638603999999</v>
      </c>
      <c r="H35" s="20" t="n">
        <v>2.01189818</v>
      </c>
      <c r="I35" s="18" t="n">
        <v>0</v>
      </c>
      <c r="J35" s="20" t="n">
        <v>0</v>
      </c>
      <c r="K35" s="18" t="n">
        <v>0.55091466</v>
      </c>
      <c r="L35" s="20" t="n">
        <v>0.32437732</v>
      </c>
      <c r="M35" s="18" t="n">
        <v>0</v>
      </c>
      <c r="N35" s="20" t="n">
        <v>0</v>
      </c>
      <c r="O35" s="18" t="n">
        <v>0</v>
      </c>
      <c r="P35" s="20" t="n">
        <v>0</v>
      </c>
      <c r="Q35" s="18" t="n">
        <v>3.17397948</v>
      </c>
      <c r="R35" s="20" t="n">
        <v>0.78630914</v>
      </c>
    </row>
    <row r="36" spans="1:18">
      <c r="A36" s="15" t="s">
        <v>458</v>
      </c>
      <c r="B36" s="17" t="n">
        <v>6736</v>
      </c>
      <c r="C36" s="18">
        <f>(5919.0/B36*100)</f>
        <v/>
      </c>
      <c r="D36" s="19" t="n">
        <v>817</v>
      </c>
      <c r="E36" s="18" t="n">
        <v>23.88515672</v>
      </c>
      <c r="F36" s="20" t="n">
        <v>1.65201329</v>
      </c>
      <c r="G36" s="18" t="n">
        <v>67.05513919000001</v>
      </c>
      <c r="H36" s="20" t="n">
        <v>1.71397023</v>
      </c>
      <c r="I36" s="18" t="n">
        <v>0</v>
      </c>
      <c r="J36" s="20" t="n">
        <v>0</v>
      </c>
      <c r="K36" s="18" t="n">
        <v>0.75802654</v>
      </c>
      <c r="L36" s="20" t="n">
        <v>0.29535203</v>
      </c>
      <c r="M36" s="18" t="n">
        <v>0.37221254</v>
      </c>
      <c r="N36" s="20" t="n">
        <v>0.27441307</v>
      </c>
      <c r="O36" s="18" t="n">
        <v>0</v>
      </c>
      <c r="P36" s="20" t="n">
        <v>0</v>
      </c>
      <c r="Q36" s="18" t="n">
        <v>7.92946501</v>
      </c>
      <c r="R36" s="20" t="n">
        <v>0.91439266</v>
      </c>
    </row>
    <row r="37" spans="1:18">
      <c r="A37" s="15" t="s">
        <v>459</v>
      </c>
      <c r="B37" s="17" t="n">
        <v>5458</v>
      </c>
      <c r="C37" s="18">
        <f>(4784.0/B37*100)</f>
        <v/>
      </c>
      <c r="D37" s="19" t="n">
        <v>674</v>
      </c>
      <c r="E37" s="18" t="n">
        <v>16.21817439</v>
      </c>
      <c r="F37" s="20" t="n">
        <v>1.65801633</v>
      </c>
      <c r="G37" s="18" t="n">
        <v>72.91511978</v>
      </c>
      <c r="H37" s="20" t="n">
        <v>2.1396542</v>
      </c>
      <c r="I37" s="18" t="n">
        <v>0</v>
      </c>
      <c r="J37" s="20" t="n">
        <v>0</v>
      </c>
      <c r="K37" s="18" t="n">
        <v>3.50187811</v>
      </c>
      <c r="L37" s="20" t="n">
        <v>0.69571111</v>
      </c>
      <c r="M37" s="18" t="n">
        <v>0</v>
      </c>
      <c r="N37" s="20" t="n">
        <v>0</v>
      </c>
      <c r="O37" s="18" t="n">
        <v>0</v>
      </c>
      <c r="P37" s="20" t="n">
        <v>0</v>
      </c>
      <c r="Q37" s="18" t="n">
        <v>7.36482772</v>
      </c>
      <c r="R37" s="20" t="n">
        <v>1.08549692</v>
      </c>
    </row>
    <row r="38" spans="1:18">
      <c r="A38" s="15" t="s">
        <v>460</v>
      </c>
      <c r="B38" s="17" t="n">
        <v>5860</v>
      </c>
      <c r="C38" s="18">
        <f>(4956.0/B38*100)</f>
        <v/>
      </c>
      <c r="D38" s="19" t="n">
        <v>904</v>
      </c>
      <c r="E38" s="18" t="n">
        <v>22.55631893</v>
      </c>
      <c r="F38" s="20" t="n">
        <v>1.6802201</v>
      </c>
      <c r="G38" s="18" t="n">
        <v>68.80936332</v>
      </c>
      <c r="H38" s="20" t="n">
        <v>1.76142988</v>
      </c>
      <c r="I38" s="18" t="n">
        <v>0</v>
      </c>
      <c r="J38" s="20" t="n">
        <v>0</v>
      </c>
      <c r="K38" s="18" t="n">
        <v>1.50377856</v>
      </c>
      <c r="L38" s="20" t="n">
        <v>0.38977249</v>
      </c>
      <c r="M38" s="18" t="n">
        <v>0.21642838</v>
      </c>
      <c r="N38" s="20" t="n">
        <v>0.21545094</v>
      </c>
      <c r="O38" s="18" t="n">
        <v>0</v>
      </c>
      <c r="P38" s="20" t="n">
        <v>0</v>
      </c>
      <c r="Q38" s="18" t="n">
        <v>6.91411082</v>
      </c>
      <c r="R38" s="20" t="n">
        <v>0.89604153</v>
      </c>
    </row>
    <row r="39" spans="1:18">
      <c r="A39" s="15" t="s">
        <v>461</v>
      </c>
      <c r="B39" s="17" t="n">
        <v>5895</v>
      </c>
      <c r="C39" s="18">
        <f>(5178.0/B39*100)</f>
        <v/>
      </c>
      <c r="D39" s="19" t="n">
        <v>717</v>
      </c>
      <c r="E39" s="18" t="n">
        <v>38.51687627</v>
      </c>
      <c r="F39" s="20" t="n">
        <v>2.22278727</v>
      </c>
      <c r="G39" s="18" t="n">
        <v>50.44259922</v>
      </c>
      <c r="H39" s="20" t="n">
        <v>2.50187658</v>
      </c>
      <c r="I39" s="18" t="n">
        <v>0</v>
      </c>
      <c r="J39" s="20" t="n">
        <v>0</v>
      </c>
      <c r="K39" s="18" t="n">
        <v>1.88508612</v>
      </c>
      <c r="L39" s="20" t="n">
        <v>0.48566941</v>
      </c>
      <c r="M39" s="18" t="n">
        <v>0.1215447</v>
      </c>
      <c r="N39" s="20" t="n">
        <v>0.12530486</v>
      </c>
      <c r="O39" s="18" t="n">
        <v>0</v>
      </c>
      <c r="P39" s="20" t="n">
        <v>0</v>
      </c>
      <c r="Q39" s="18" t="n">
        <v>9.0338937</v>
      </c>
      <c r="R39" s="20" t="n">
        <v>1.19292649</v>
      </c>
    </row>
    <row r="40" spans="1:18">
      <c r="A40" s="15" t="s">
        <v>462</v>
      </c>
      <c r="B40" s="17" t="n">
        <v>14157</v>
      </c>
      <c r="C40" s="18">
        <f>(12463.0/B40*100)</f>
        <v/>
      </c>
      <c r="D40" s="19" t="n">
        <v>1694</v>
      </c>
      <c r="E40" s="18" t="n">
        <v>14.38358105</v>
      </c>
      <c r="F40" s="20" t="n">
        <v>1.33481823</v>
      </c>
      <c r="G40" s="18" t="n">
        <v>75.67030346999999</v>
      </c>
      <c r="H40" s="20" t="n">
        <v>1.54227598</v>
      </c>
      <c r="I40" s="18" t="n">
        <v>0</v>
      </c>
      <c r="J40" s="20" t="n">
        <v>0</v>
      </c>
      <c r="K40" s="18" t="n">
        <v>1.35256499</v>
      </c>
      <c r="L40" s="20" t="n">
        <v>0.39675206</v>
      </c>
      <c r="M40" s="18" t="n">
        <v>0.30534938</v>
      </c>
      <c r="N40" s="20" t="n">
        <v>0.22015958</v>
      </c>
      <c r="O40" s="18" t="n">
        <v>0</v>
      </c>
      <c r="P40" s="20" t="n">
        <v>0</v>
      </c>
      <c r="Q40" s="18" t="n">
        <v>8.28820112</v>
      </c>
      <c r="R40" s="20" t="n">
        <v>0.92886758</v>
      </c>
    </row>
    <row r="41" spans="1:18">
      <c r="A41" s="15" t="s">
        <v>463</v>
      </c>
      <c r="B41" s="17" t="n">
        <v>5712</v>
      </c>
      <c r="C41" s="18">
        <f>(5059.0/B41*100)</f>
        <v/>
      </c>
      <c r="D41" s="19" t="n">
        <v>653</v>
      </c>
      <c r="E41" s="18" t="n">
        <v>22.1945576</v>
      </c>
      <c r="F41" s="20" t="n">
        <v>1.90071652</v>
      </c>
      <c r="G41" s="18" t="n">
        <v>73.81361799</v>
      </c>
      <c r="H41" s="20" t="n">
        <v>2.05404479</v>
      </c>
      <c r="I41" s="18" t="n">
        <v>0</v>
      </c>
      <c r="J41" s="20" t="n">
        <v>0</v>
      </c>
      <c r="K41" s="18" t="n">
        <v>0.71308963</v>
      </c>
      <c r="L41" s="20" t="n">
        <v>0.33069826</v>
      </c>
      <c r="M41" s="18" t="n">
        <v>0</v>
      </c>
      <c r="N41" s="20" t="n">
        <v>0</v>
      </c>
      <c r="O41" s="18" t="n">
        <v>0</v>
      </c>
      <c r="P41" s="20" t="n">
        <v>0</v>
      </c>
      <c r="Q41" s="18" t="n">
        <v>3.27873478</v>
      </c>
      <c r="R41" s="20" t="n">
        <v>0.75374465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(20974.0/B46*100)</f>
        <v/>
      </c>
      <c r="D46" s="19" t="n">
        <v>2167</v>
      </c>
      <c r="E46" s="18" t="n">
        <v>38.24181196</v>
      </c>
      <c r="F46" s="20" t="n">
        <v>1.58401667</v>
      </c>
      <c r="G46" s="18" t="n">
        <v>40.39457709</v>
      </c>
      <c r="H46" s="20" t="n">
        <v>1.40154376</v>
      </c>
      <c r="I46" s="18" t="n">
        <v>0</v>
      </c>
      <c r="J46" s="20" t="n">
        <v>0</v>
      </c>
      <c r="K46" s="18" t="n">
        <v>3.96005753</v>
      </c>
      <c r="L46" s="20" t="n">
        <v>0.51577493</v>
      </c>
      <c r="M46" s="18" t="n">
        <v>0.57052487</v>
      </c>
      <c r="N46" s="20" t="n">
        <v>0.19851977</v>
      </c>
      <c r="O46" s="18" t="n">
        <v>0</v>
      </c>
      <c r="P46" s="20" t="n">
        <v>0</v>
      </c>
      <c r="Q46" s="18" t="n">
        <v>16.83302854</v>
      </c>
      <c r="R46" s="20" t="n">
        <v>1.15175052</v>
      </c>
    </row>
    <row r="47" spans="1:18">
      <c r="A47" s="15" t="s">
        <v>470</v>
      </c>
      <c r="B47" s="17" t="n">
        <v>5928</v>
      </c>
      <c r="C47" s="18">
        <f>(5219.0/B47*100)</f>
        <v/>
      </c>
      <c r="D47" s="19" t="n">
        <v>709</v>
      </c>
      <c r="E47" s="18" t="n">
        <v>30.04838101</v>
      </c>
      <c r="F47" s="20" t="n">
        <v>1.71886818</v>
      </c>
      <c r="G47" s="18" t="n">
        <v>49.20467726</v>
      </c>
      <c r="H47" s="20" t="n">
        <v>2.29022733</v>
      </c>
      <c r="I47" s="18" t="n">
        <v>0</v>
      </c>
      <c r="J47" s="20" t="n">
        <v>0</v>
      </c>
      <c r="K47" s="18" t="n">
        <v>3.40051282</v>
      </c>
      <c r="L47" s="20" t="n">
        <v>0.71292364</v>
      </c>
      <c r="M47" s="18" t="n">
        <v>0</v>
      </c>
      <c r="N47" s="20" t="n">
        <v>0</v>
      </c>
      <c r="O47" s="18" t="n">
        <v>0</v>
      </c>
      <c r="P47" s="20" t="n">
        <v>0</v>
      </c>
      <c r="Q47" s="18" t="n">
        <v>17.34642891</v>
      </c>
      <c r="R47" s="20" t="n">
        <v>1.56701531</v>
      </c>
    </row>
    <row r="48" spans="1:18">
      <c r="A48" s="15" t="s">
        <v>471</v>
      </c>
      <c r="B48" s="17" t="n">
        <v>9841</v>
      </c>
      <c r="C48" s="18">
        <f>(8635.0/B48*100)</f>
        <v/>
      </c>
      <c r="D48" s="19" t="n">
        <v>1206</v>
      </c>
      <c r="E48" s="18" t="n">
        <v>26.78741746</v>
      </c>
      <c r="F48" s="20" t="n">
        <v>1.72956317</v>
      </c>
      <c r="G48" s="18" t="n">
        <v>65.08114064999999</v>
      </c>
      <c r="H48" s="20" t="n">
        <v>1.94810304</v>
      </c>
      <c r="I48" s="18" t="n">
        <v>0</v>
      </c>
      <c r="J48" s="20" t="n">
        <v>0</v>
      </c>
      <c r="K48" s="18" t="n">
        <v>2.07221101</v>
      </c>
      <c r="L48" s="20" t="n">
        <v>0.52882772</v>
      </c>
      <c r="M48" s="18" t="n">
        <v>0.00464999</v>
      </c>
      <c r="N48" s="20" t="n">
        <v>0.00466122</v>
      </c>
      <c r="O48" s="18" t="n">
        <v>0</v>
      </c>
      <c r="P48" s="20" t="n">
        <v>0</v>
      </c>
      <c r="Q48" s="18" t="n">
        <v>6.05458089</v>
      </c>
      <c r="R48" s="20" t="n">
        <v>0.92731371</v>
      </c>
    </row>
    <row r="49" spans="1:18">
      <c r="A49" s="15" t="s">
        <v>472</v>
      </c>
      <c r="B49" s="17" t="n">
        <v>11795</v>
      </c>
      <c r="C49" s="18">
        <f>(10365.0/B49*100)</f>
        <v/>
      </c>
      <c r="D49" s="19" t="n">
        <v>1430</v>
      </c>
      <c r="E49" s="18" t="n">
        <v>44.38888283</v>
      </c>
      <c r="F49" s="20" t="n">
        <v>1.84233167</v>
      </c>
      <c r="G49" s="18" t="n">
        <v>42.07462378</v>
      </c>
      <c r="H49" s="20" t="n">
        <v>1.65270176</v>
      </c>
      <c r="I49" s="18" t="n">
        <v>0</v>
      </c>
      <c r="J49" s="20" t="n">
        <v>0</v>
      </c>
      <c r="K49" s="18" t="n">
        <v>3.72906652</v>
      </c>
      <c r="L49" s="20" t="n">
        <v>0.7079607999999999</v>
      </c>
      <c r="M49" s="18" t="n">
        <v>0.0211983</v>
      </c>
      <c r="N49" s="20" t="n">
        <v>0.02115247</v>
      </c>
      <c r="O49" s="18" t="n">
        <v>0</v>
      </c>
      <c r="P49" s="20" t="n">
        <v>0</v>
      </c>
      <c r="Q49" s="18" t="n">
        <v>9.78622857</v>
      </c>
      <c r="R49" s="20" t="n">
        <v>1.24785054</v>
      </c>
    </row>
    <row r="50" spans="1:18">
      <c r="A50" s="15" t="s">
        <v>473</v>
      </c>
      <c r="B50" s="17" t="n">
        <v>6866</v>
      </c>
      <c r="C50" s="18">
        <f>(6142.0/B50*100)</f>
        <v/>
      </c>
      <c r="D50" s="19" t="n">
        <v>724</v>
      </c>
      <c r="E50" s="18" t="n">
        <v>44.93226759</v>
      </c>
      <c r="F50" s="20" t="n">
        <v>1.86063975</v>
      </c>
      <c r="G50" s="18" t="n">
        <v>45.11052831</v>
      </c>
      <c r="H50" s="20" t="n">
        <v>1.90797268</v>
      </c>
      <c r="I50" s="18" t="n">
        <v>0</v>
      </c>
      <c r="J50" s="20" t="n">
        <v>0</v>
      </c>
      <c r="K50" s="18" t="n">
        <v>1.90345643</v>
      </c>
      <c r="L50" s="20" t="n">
        <v>0.61617031</v>
      </c>
      <c r="M50" s="18" t="n">
        <v>0</v>
      </c>
      <c r="N50" s="20" t="n">
        <v>0</v>
      </c>
      <c r="O50" s="18" t="n">
        <v>0</v>
      </c>
      <c r="P50" s="20" t="n">
        <v>0</v>
      </c>
      <c r="Q50" s="18" t="n">
        <v>8.05374767</v>
      </c>
      <c r="R50" s="20" t="n">
        <v>1.24791605</v>
      </c>
    </row>
    <row r="51" spans="1:18">
      <c r="A51" s="15" t="s">
        <v>474</v>
      </c>
      <c r="B51" s="17" t="n">
        <v>5809</v>
      </c>
      <c r="C51" s="18">
        <f>(5098.0/B51*100)</f>
        <v/>
      </c>
      <c r="D51" s="19" t="n">
        <v>711</v>
      </c>
      <c r="E51" s="18" t="n">
        <v>16.63933673</v>
      </c>
      <c r="F51" s="20" t="n">
        <v>1.43768698</v>
      </c>
      <c r="G51" s="18" t="n">
        <v>75.5989438</v>
      </c>
      <c r="H51" s="20" t="n">
        <v>1.71046282</v>
      </c>
      <c r="I51" s="18" t="n">
        <v>0</v>
      </c>
      <c r="J51" s="20" t="n">
        <v>0</v>
      </c>
      <c r="K51" s="18" t="n">
        <v>1.07824272</v>
      </c>
      <c r="L51" s="20" t="n">
        <v>0.41698423</v>
      </c>
      <c r="M51" s="18" t="n">
        <v>0</v>
      </c>
      <c r="N51" s="20" t="n">
        <v>0</v>
      </c>
      <c r="O51" s="18" t="n">
        <v>0</v>
      </c>
      <c r="P51" s="20" t="n">
        <v>0</v>
      </c>
      <c r="Q51" s="18" t="n">
        <v>6.68347676</v>
      </c>
      <c r="R51" s="20" t="n">
        <v>0.91273317</v>
      </c>
    </row>
    <row r="52" spans="1:18">
      <c r="A52" s="15" t="s">
        <v>475</v>
      </c>
      <c r="B52" s="17" t="n">
        <v>5571</v>
      </c>
      <c r="C52" s="18">
        <f>(4900.0/B52*100)</f>
        <v/>
      </c>
      <c r="D52" s="19" t="n">
        <v>671</v>
      </c>
      <c r="E52" s="18" t="n">
        <v>35.74700881</v>
      </c>
      <c r="F52" s="20" t="n">
        <v>1.678371</v>
      </c>
      <c r="G52" s="18" t="n">
        <v>37.18441698</v>
      </c>
      <c r="H52" s="20" t="n">
        <v>1.76069122</v>
      </c>
      <c r="I52" s="18" t="n">
        <v>0</v>
      </c>
      <c r="J52" s="20" t="n">
        <v>0</v>
      </c>
      <c r="K52" s="18" t="n">
        <v>3.58565808</v>
      </c>
      <c r="L52" s="20" t="n">
        <v>0.72256952</v>
      </c>
      <c r="M52" s="18" t="n">
        <v>0</v>
      </c>
      <c r="N52" s="20" t="n">
        <v>0</v>
      </c>
      <c r="O52" s="18" t="n">
        <v>0</v>
      </c>
      <c r="P52" s="20" t="n">
        <v>0</v>
      </c>
      <c r="Q52" s="18" t="n">
        <v>23.48291613</v>
      </c>
      <c r="R52" s="20" t="n">
        <v>1.6261153</v>
      </c>
    </row>
    <row r="53" spans="1:18">
      <c r="A53" s="15" t="s">
        <v>476</v>
      </c>
      <c r="B53" s="17" t="n">
        <v>4740</v>
      </c>
      <c r="C53" s="18">
        <f>(3979.0/B53*100)</f>
        <v/>
      </c>
      <c r="D53" s="19" t="n">
        <v>761</v>
      </c>
      <c r="E53" s="18" t="n">
        <v>40.4602262</v>
      </c>
      <c r="F53" s="20" t="n">
        <v>2.13688548</v>
      </c>
      <c r="G53" s="18" t="n">
        <v>24.62842819</v>
      </c>
      <c r="H53" s="20" t="n">
        <v>2.04791136</v>
      </c>
      <c r="I53" s="18" t="n">
        <v>0</v>
      </c>
      <c r="J53" s="20" t="n">
        <v>0</v>
      </c>
      <c r="K53" s="18" t="n">
        <v>19.80700656</v>
      </c>
      <c r="L53" s="20" t="n">
        <v>1.24791387</v>
      </c>
      <c r="M53" s="18" t="n">
        <v>0.532385</v>
      </c>
      <c r="N53" s="20" t="n">
        <v>0.41407528</v>
      </c>
      <c r="O53" s="18" t="n">
        <v>0</v>
      </c>
      <c r="P53" s="20" t="n">
        <v>0</v>
      </c>
      <c r="Q53" s="18" t="n">
        <v>14.57195406</v>
      </c>
      <c r="R53" s="20" t="n">
        <v>1.50895802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(4703.0/B55*100)</f>
        <v/>
      </c>
      <c r="D55" s="19" t="n">
        <v>656</v>
      </c>
      <c r="E55" s="18" t="n">
        <v>23.65714901</v>
      </c>
      <c r="F55" s="20" t="n">
        <v>1.74636722</v>
      </c>
      <c r="G55" s="18" t="n">
        <v>71.67468162999999</v>
      </c>
      <c r="H55" s="20" t="n">
        <v>1.88872512</v>
      </c>
      <c r="I55" s="18" t="n">
        <v>0</v>
      </c>
      <c r="J55" s="20" t="n">
        <v>0</v>
      </c>
      <c r="K55" s="18" t="n">
        <v>0.52000455</v>
      </c>
      <c r="L55" s="20" t="n">
        <v>0.30395723</v>
      </c>
      <c r="M55" s="18" t="n">
        <v>0</v>
      </c>
      <c r="N55" s="20" t="n">
        <v>0</v>
      </c>
      <c r="O55" s="18" t="n">
        <v>0</v>
      </c>
      <c r="P55" s="20" t="n">
        <v>0</v>
      </c>
      <c r="Q55" s="18" t="n">
        <v>4.14816482</v>
      </c>
      <c r="R55" s="20" t="n">
        <v>0.75319912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(5712.0/B61*100)</f>
        <v/>
      </c>
      <c r="D61" s="19" t="n">
        <v>813</v>
      </c>
      <c r="E61" s="18" t="n">
        <v>24.31844093</v>
      </c>
      <c r="F61" s="20" t="n">
        <v>1.9710533</v>
      </c>
      <c r="G61" s="18" t="n">
        <v>69.96024298</v>
      </c>
      <c r="H61" s="20" t="n">
        <v>2.12293883</v>
      </c>
      <c r="I61" s="18" t="n">
        <v>0</v>
      </c>
      <c r="J61" s="20" t="n">
        <v>0</v>
      </c>
      <c r="K61" s="18" t="n">
        <v>1.47904802</v>
      </c>
      <c r="L61" s="20" t="n">
        <v>0.44165378</v>
      </c>
      <c r="M61" s="18" t="n">
        <v>0</v>
      </c>
      <c r="N61" s="20" t="n">
        <v>0</v>
      </c>
      <c r="O61" s="18" t="n">
        <v>0</v>
      </c>
      <c r="P61" s="20" t="n">
        <v>0</v>
      </c>
      <c r="Q61" s="18" t="n">
        <v>4.24226807</v>
      </c>
      <c r="R61" s="20" t="n">
        <v>0.7957071999999999</v>
      </c>
    </row>
    <row r="62" spans="1:18">
      <c r="A62" s="15" t="s">
        <v>486</v>
      </c>
      <c r="B62" s="17" t="n">
        <v>4476</v>
      </c>
      <c r="C62" s="18">
        <f>(3954.0/B62*100)</f>
        <v/>
      </c>
      <c r="D62" s="19" t="n">
        <v>522</v>
      </c>
      <c r="E62" s="18" t="n">
        <v>21.10462058</v>
      </c>
      <c r="F62" s="20" t="n">
        <v>1.7689257</v>
      </c>
      <c r="G62" s="18" t="n">
        <v>75.80157629</v>
      </c>
      <c r="H62" s="20" t="n">
        <v>1.86812479</v>
      </c>
      <c r="I62" s="18" t="n">
        <v>0</v>
      </c>
      <c r="J62" s="20" t="n">
        <v>0</v>
      </c>
      <c r="K62" s="18" t="n">
        <v>0.19023967</v>
      </c>
      <c r="L62" s="20" t="n">
        <v>0.19187757</v>
      </c>
      <c r="M62" s="18" t="n">
        <v>0.19023967</v>
      </c>
      <c r="N62" s="20" t="n">
        <v>0.19205358</v>
      </c>
      <c r="O62" s="18" t="n">
        <v>0</v>
      </c>
      <c r="P62" s="20" t="n">
        <v>0</v>
      </c>
      <c r="Q62" s="18" t="n">
        <v>2.71332378</v>
      </c>
      <c r="R62" s="20" t="n">
        <v>0.62910556</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(4999.0/B67*100)</f>
        <v/>
      </c>
      <c r="D67" s="19" t="n">
        <v>666</v>
      </c>
      <c r="E67" s="18" t="n">
        <v>25.07720152</v>
      </c>
      <c r="F67" s="20" t="n">
        <v>1.66878576</v>
      </c>
      <c r="G67" s="18" t="n">
        <v>52.57147356</v>
      </c>
      <c r="H67" s="20" t="n">
        <v>1.87931313</v>
      </c>
      <c r="I67" s="18" t="n">
        <v>0</v>
      </c>
      <c r="J67" s="20" t="n">
        <v>0</v>
      </c>
      <c r="K67" s="18" t="n">
        <v>4.00264159</v>
      </c>
      <c r="L67" s="20" t="n">
        <v>0.79888599</v>
      </c>
      <c r="M67" s="18" t="n">
        <v>0.59683499</v>
      </c>
      <c r="N67" s="20" t="n">
        <v>0.28851481</v>
      </c>
      <c r="O67" s="18" t="n">
        <v>0</v>
      </c>
      <c r="P67" s="20" t="n">
        <v>0</v>
      </c>
      <c r="Q67" s="18" t="n">
        <v>17.75184834</v>
      </c>
      <c r="R67" s="20" t="n">
        <v>1.40856233</v>
      </c>
    </row>
    <row r="68" spans="1:18">
      <c r="A68" s="15" t="s">
        <v>492</v>
      </c>
      <c r="B68" s="17" t="n">
        <v>6971</v>
      </c>
      <c r="C68" s="18">
        <f>(6257.0/B68*100)</f>
        <v/>
      </c>
      <c r="D68" s="19" t="n">
        <v>714</v>
      </c>
      <c r="E68" s="18" t="n">
        <v>49.0367897</v>
      </c>
      <c r="F68" s="20" t="n">
        <v>2.32690888</v>
      </c>
      <c r="G68" s="18" t="n">
        <v>39.77606892</v>
      </c>
      <c r="H68" s="20" t="n">
        <v>2.22895252</v>
      </c>
      <c r="I68" s="18" t="n">
        <v>0</v>
      </c>
      <c r="J68" s="20" t="n">
        <v>0</v>
      </c>
      <c r="K68" s="18" t="n">
        <v>1.79185269</v>
      </c>
      <c r="L68" s="20" t="n">
        <v>0.41363845</v>
      </c>
      <c r="M68" s="18" t="n">
        <v>0.14114307</v>
      </c>
      <c r="N68" s="20" t="n">
        <v>0.14166462</v>
      </c>
      <c r="O68" s="18" t="n">
        <v>0</v>
      </c>
      <c r="P68" s="20" t="n">
        <v>0</v>
      </c>
      <c r="Q68" s="18" t="n">
        <v>9.25414561</v>
      </c>
      <c r="R68" s="20" t="n">
        <v>1.15529532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(10071.0/B70*100)</f>
        <v/>
      </c>
      <c r="D70" s="19" t="n">
        <v>2012</v>
      </c>
      <c r="E70" s="18" t="n">
        <v>34.87186367</v>
      </c>
      <c r="F70" s="20" t="n">
        <v>0.96919366</v>
      </c>
      <c r="G70" s="18" t="n">
        <v>46.46388842</v>
      </c>
      <c r="H70" s="20" t="n">
        <v>1.14149361</v>
      </c>
      <c r="I70" s="18" t="n">
        <v>0</v>
      </c>
      <c r="J70" s="20" t="n">
        <v>0</v>
      </c>
      <c r="K70" s="18" t="n">
        <v>7.16644115</v>
      </c>
      <c r="L70" s="20" t="n">
        <v>0.64821364</v>
      </c>
      <c r="M70" s="18" t="n">
        <v>0.04918648</v>
      </c>
      <c r="N70" s="20" t="n">
        <v>0.04918162</v>
      </c>
      <c r="O70" s="18" t="n">
        <v>0</v>
      </c>
      <c r="P70" s="20" t="n">
        <v>0</v>
      </c>
      <c r="Q70" s="18" t="n">
        <v>11.44862028</v>
      </c>
      <c r="R70" s="20" t="n">
        <v>0.67849628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(5341.0/B72*100)</f>
        <v/>
      </c>
      <c r="D72" s="19" t="n">
        <v>695</v>
      </c>
      <c r="E72" s="18" t="n">
        <v>18.84928176</v>
      </c>
      <c r="F72" s="20" t="n">
        <v>1.67814846</v>
      </c>
      <c r="G72" s="18" t="n">
        <v>76.83412885</v>
      </c>
      <c r="H72" s="20" t="n">
        <v>1.82964772</v>
      </c>
      <c r="I72" s="18" t="n">
        <v>0</v>
      </c>
      <c r="J72" s="20" t="n">
        <v>0</v>
      </c>
      <c r="K72" s="18" t="n">
        <v>1.26332689</v>
      </c>
      <c r="L72" s="20" t="n">
        <v>0.42605637</v>
      </c>
      <c r="M72" s="18" t="n">
        <v>0.14561433</v>
      </c>
      <c r="N72" s="20" t="n">
        <v>0.10460442</v>
      </c>
      <c r="O72" s="18" t="n">
        <v>0</v>
      </c>
      <c r="P72" s="20" t="n">
        <v>0</v>
      </c>
      <c r="Q72" s="18" t="n">
        <v>2.90764817</v>
      </c>
      <c r="R72" s="20" t="n">
        <v>0.56663352</v>
      </c>
    </row>
    <row r="73" spans="1:18">
      <c r="A73" s="15" t="s">
        <v>497</v>
      </c>
      <c r="B73" s="17" t="n">
        <v>6115</v>
      </c>
      <c r="C73" s="18">
        <f>(5377.0/B73*100)</f>
        <v/>
      </c>
      <c r="D73" s="19" t="n">
        <v>738</v>
      </c>
      <c r="E73" s="18" t="n">
        <v>14.59466138</v>
      </c>
      <c r="F73" s="20" t="n">
        <v>1.19919773</v>
      </c>
      <c r="G73" s="18" t="n">
        <v>81.53044448999999</v>
      </c>
      <c r="H73" s="20" t="n">
        <v>1.54020182</v>
      </c>
      <c r="I73" s="18" t="n">
        <v>0</v>
      </c>
      <c r="J73" s="20" t="n">
        <v>0</v>
      </c>
      <c r="K73" s="18" t="n">
        <v>1.06397977</v>
      </c>
      <c r="L73" s="20" t="n">
        <v>0.31436338</v>
      </c>
      <c r="M73" s="18" t="n">
        <v>0.07104884</v>
      </c>
      <c r="N73" s="20" t="n">
        <v>0.07214258</v>
      </c>
      <c r="O73" s="18" t="n">
        <v>0</v>
      </c>
      <c r="P73" s="20" t="n">
        <v>0</v>
      </c>
      <c r="Q73" s="18" t="n">
        <v>2.73986552</v>
      </c>
      <c r="R73" s="20" t="n">
        <v>0.87323483</v>
      </c>
    </row>
    <row r="74" spans="1:18">
      <c r="A74" s="15" t="s">
        <v>498</v>
      </c>
      <c r="B74" s="17" t="n">
        <v>7708</v>
      </c>
      <c r="C74" s="18">
        <f>(6748.0/B74*100)</f>
        <v/>
      </c>
      <c r="D74" s="19" t="n">
        <v>960</v>
      </c>
      <c r="E74" s="18" t="n">
        <v>23.06280053</v>
      </c>
      <c r="F74" s="20" t="n">
        <v>1.52299957</v>
      </c>
      <c r="G74" s="18" t="n">
        <v>70.47112762</v>
      </c>
      <c r="H74" s="20" t="n">
        <v>1.67976693</v>
      </c>
      <c r="I74" s="18" t="n">
        <v>0</v>
      </c>
      <c r="J74" s="20" t="n">
        <v>0</v>
      </c>
      <c r="K74" s="18" t="n">
        <v>0.74099806</v>
      </c>
      <c r="L74" s="20" t="n">
        <v>0.24903386</v>
      </c>
      <c r="M74" s="18" t="n">
        <v>0</v>
      </c>
      <c r="N74" s="20" t="n">
        <v>0</v>
      </c>
      <c r="O74" s="18" t="n">
        <v>0</v>
      </c>
      <c r="P74" s="20" t="n">
        <v>0</v>
      </c>
      <c r="Q74" s="18" t="n">
        <v>5.7250738</v>
      </c>
      <c r="R74" s="20" t="n">
        <v>0.7473132</v>
      </c>
    </row>
    <row r="75" spans="1:18">
      <c r="A75" s="15" t="s">
        <v>499</v>
      </c>
      <c r="B75" s="17" t="n">
        <v>8249</v>
      </c>
      <c r="C75" s="18">
        <f>(7274.0/B75*100)</f>
        <v/>
      </c>
      <c r="D75" s="19" t="n">
        <v>975</v>
      </c>
      <c r="E75" s="18" t="n">
        <v>56.32686557</v>
      </c>
      <c r="F75" s="20" t="n">
        <v>2.39384796</v>
      </c>
      <c r="G75" s="18" t="n">
        <v>40.5621101</v>
      </c>
      <c r="H75" s="20" t="n">
        <v>2.35981757</v>
      </c>
      <c r="I75" s="18" t="n">
        <v>0</v>
      </c>
      <c r="J75" s="20" t="n">
        <v>0</v>
      </c>
      <c r="K75" s="18" t="n">
        <v>0.27475983</v>
      </c>
      <c r="L75" s="20" t="n">
        <v>0.18685016</v>
      </c>
      <c r="M75" s="18" t="n">
        <v>0.14636037</v>
      </c>
      <c r="N75" s="20" t="n">
        <v>0.14710394</v>
      </c>
      <c r="O75" s="18" t="n">
        <v>0</v>
      </c>
      <c r="P75" s="20" t="n">
        <v>0</v>
      </c>
      <c r="Q75" s="18" t="n">
        <v>2.68990412</v>
      </c>
      <c r="R75" s="20" t="n">
        <v>0.68972399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(4806.0/B77*100)</f>
        <v/>
      </c>
      <c r="D77" s="19" t="n">
        <v>569</v>
      </c>
      <c r="E77" s="18" t="n">
        <v>40.93754312</v>
      </c>
      <c r="F77" s="20" t="n">
        <v>2.04170409</v>
      </c>
      <c r="G77" s="18" t="n">
        <v>35.51987606</v>
      </c>
      <c r="H77" s="20" t="n">
        <v>2.23605065</v>
      </c>
      <c r="I77" s="18" t="n">
        <v>0</v>
      </c>
      <c r="J77" s="20" t="n">
        <v>0</v>
      </c>
      <c r="K77" s="18" t="n">
        <v>8.12014097</v>
      </c>
      <c r="L77" s="20" t="n">
        <v>1.19660337</v>
      </c>
      <c r="M77" s="18" t="n">
        <v>0.87301336</v>
      </c>
      <c r="N77" s="20" t="n">
        <v>0.44375191</v>
      </c>
      <c r="O77" s="18" t="n">
        <v>0</v>
      </c>
      <c r="P77" s="20" t="n">
        <v>0</v>
      </c>
      <c r="Q77" s="18" t="n">
        <v>14.54942649</v>
      </c>
      <c r="R77" s="20" t="n">
        <v>1.50088838</v>
      </c>
    </row>
    <row r="78" spans="1:18">
      <c r="A78" s="15" t="s">
        <v>502</v>
      </c>
      <c r="B78" s="17" t="n">
        <v>14167</v>
      </c>
      <c r="C78" s="18">
        <f>(12482.0/B78*100)</f>
        <v/>
      </c>
      <c r="D78" s="19" t="n">
        <v>1685</v>
      </c>
      <c r="E78" s="18" t="n">
        <v>37.00794311</v>
      </c>
      <c r="F78" s="20" t="n">
        <v>1.72520976</v>
      </c>
      <c r="G78" s="18" t="n">
        <v>54.09941403</v>
      </c>
      <c r="H78" s="20" t="n">
        <v>1.88245116</v>
      </c>
      <c r="I78" s="18" t="n">
        <v>0</v>
      </c>
      <c r="J78" s="20" t="n">
        <v>0</v>
      </c>
      <c r="K78" s="18" t="n">
        <v>2.32260868</v>
      </c>
      <c r="L78" s="20" t="n">
        <v>0.48005144</v>
      </c>
      <c r="M78" s="18" t="n">
        <v>0.17805659</v>
      </c>
      <c r="N78" s="20" t="n">
        <v>0.1083717</v>
      </c>
      <c r="O78" s="18" t="n">
        <v>0</v>
      </c>
      <c r="P78" s="20" t="n">
        <v>0</v>
      </c>
      <c r="Q78" s="18" t="n">
        <v>6.39197758</v>
      </c>
      <c r="R78" s="20" t="n">
        <v>0.8292105</v>
      </c>
    </row>
    <row r="79" spans="1:18">
      <c r="A79" s="15" t="s">
        <v>503</v>
      </c>
      <c r="B79" s="17" t="n">
        <v>6062</v>
      </c>
      <c r="C79" s="18">
        <f>(5346.0/B79*100)</f>
        <v/>
      </c>
      <c r="D79" s="19" t="n">
        <v>716</v>
      </c>
      <c r="E79" s="18" t="n">
        <v>20.0529848</v>
      </c>
      <c r="F79" s="20" t="n">
        <v>1.47900981</v>
      </c>
      <c r="G79" s="18" t="n">
        <v>60.48517868</v>
      </c>
      <c r="H79" s="20" t="n">
        <v>2.16028591</v>
      </c>
      <c r="I79" s="18" t="n">
        <v>0</v>
      </c>
      <c r="J79" s="20" t="n">
        <v>0</v>
      </c>
      <c r="K79" s="18" t="n">
        <v>5.33189837</v>
      </c>
      <c r="L79" s="20" t="n">
        <v>0.95827768</v>
      </c>
      <c r="M79" s="18" t="n">
        <v>0.15122989</v>
      </c>
      <c r="N79" s="20" t="n">
        <v>0.15739868</v>
      </c>
      <c r="O79" s="18" t="n">
        <v>0</v>
      </c>
      <c r="P79" s="20" t="n">
        <v>0</v>
      </c>
      <c r="Q79" s="18" t="n">
        <v>13.97870827</v>
      </c>
      <c r="R79" s="20" t="n">
        <v>1.30097956</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(28410.0/B82*100)</f>
        <v/>
      </c>
      <c r="D82" s="19" t="n">
        <v>3920</v>
      </c>
      <c r="E82" s="18" t="n">
        <v>23.21361862</v>
      </c>
      <c r="F82" s="20" t="n">
        <v>0.89441497</v>
      </c>
      <c r="G82" s="18" t="n">
        <v>68.53043583</v>
      </c>
      <c r="H82" s="20" t="n">
        <v>0.94789857</v>
      </c>
      <c r="I82" s="18" t="n">
        <v>0</v>
      </c>
      <c r="J82" s="20" t="n">
        <v>0</v>
      </c>
      <c r="K82" s="18" t="n">
        <v>1.03885206</v>
      </c>
      <c r="L82" s="20" t="n">
        <v>0.1850996</v>
      </c>
      <c r="M82" s="18" t="n">
        <v>0.27951398</v>
      </c>
      <c r="N82" s="20" t="n">
        <v>0.20162079</v>
      </c>
      <c r="O82" s="18" t="n">
        <v>0</v>
      </c>
      <c r="P82" s="20" t="n">
        <v>0</v>
      </c>
      <c r="Q82" s="18" t="n">
        <v>6.93757952</v>
      </c>
      <c r="R82" s="20" t="n">
        <v>0.55276091</v>
      </c>
    </row>
    <row r="83" spans="1:18">
      <c r="A83" s="15" t="s">
        <v>507</v>
      </c>
      <c r="B83" s="17" t="n">
        <v>1652</v>
      </c>
      <c r="C83" s="18">
        <f>(1462.0/B83*100)</f>
        <v/>
      </c>
      <c r="D83" s="19" t="n">
        <v>190</v>
      </c>
      <c r="E83" s="18" t="n">
        <v>13.85607318</v>
      </c>
      <c r="F83" s="20" t="n">
        <v>2.31097316</v>
      </c>
      <c r="G83" s="18" t="n">
        <v>84.28954193</v>
      </c>
      <c r="H83" s="20" t="n">
        <v>2.57784069</v>
      </c>
      <c r="I83" s="18" t="n">
        <v>0</v>
      </c>
      <c r="J83" s="20" t="n">
        <v>0</v>
      </c>
      <c r="K83" s="18" t="n">
        <v>0.43780062</v>
      </c>
      <c r="L83" s="20" t="n">
        <v>0.41277904</v>
      </c>
      <c r="M83" s="18" t="n">
        <v>0</v>
      </c>
      <c r="N83" s="20" t="n">
        <v>0</v>
      </c>
      <c r="O83" s="18" t="n">
        <v>0</v>
      </c>
      <c r="P83" s="20" t="n">
        <v>0</v>
      </c>
      <c r="Q83" s="18" t="n">
        <v>1.41658428</v>
      </c>
      <c r="R83" s="20" t="n">
        <v>0.8271252</v>
      </c>
    </row>
    <row r="84" spans="1:18">
      <c r="A84" s="23" t="s">
        <v>508</v>
      </c>
      <c r="B84" s="24" t="n">
        <v>1887</v>
      </c>
      <c r="C84" s="25">
        <f>(1661.0/B84*100)</f>
        <v/>
      </c>
      <c r="D84" s="19" t="n">
        <v>226</v>
      </c>
      <c r="E84" s="18" t="n">
        <v>24.45574082</v>
      </c>
      <c r="F84" s="20" t="n">
        <v>3.05138587</v>
      </c>
      <c r="G84" s="18" t="n">
        <v>73.49683652</v>
      </c>
      <c r="H84" s="20" t="n">
        <v>3.47488662</v>
      </c>
      <c r="I84" s="18" t="n">
        <v>0</v>
      </c>
      <c r="J84" s="20" t="n">
        <v>0</v>
      </c>
      <c r="K84" s="18" t="n">
        <v>0.80011976</v>
      </c>
      <c r="L84" s="20" t="n">
        <v>0.55818179</v>
      </c>
      <c r="M84" s="18" t="n">
        <v>0</v>
      </c>
      <c r="N84" s="20" t="n">
        <v>0</v>
      </c>
      <c r="O84" s="18" t="n">
        <v>0</v>
      </c>
      <c r="P84" s="20" t="n">
        <v>0</v>
      </c>
      <c r="Q84" s="18" t="n">
        <v>1.2473029</v>
      </c>
      <c r="R84" s="20" t="n">
        <v>0.73441064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(12842.0/B7*100)</f>
        <v/>
      </c>
      <c r="D7" s="19" t="n">
        <v>1688</v>
      </c>
      <c r="E7" s="18" t="n">
        <v>36.57468905</v>
      </c>
      <c r="F7" s="20" t="n">
        <v>1.33695261</v>
      </c>
      <c r="G7" s="18" t="n">
        <v>56.42263298</v>
      </c>
      <c r="H7" s="20" t="n">
        <v>1.37418465</v>
      </c>
      <c r="I7" s="18" t="n">
        <v>0</v>
      </c>
      <c r="J7" s="20" t="n">
        <v>0</v>
      </c>
      <c r="K7" s="18" t="n">
        <v>3.14123315</v>
      </c>
      <c r="L7" s="20" t="n">
        <v>0.50783502</v>
      </c>
      <c r="M7" s="18" t="n">
        <v>0</v>
      </c>
      <c r="N7" s="20" t="n">
        <v>0</v>
      </c>
      <c r="O7" s="18" t="n">
        <v>0</v>
      </c>
      <c r="P7" s="20" t="n">
        <v>0</v>
      </c>
      <c r="Q7" s="18" t="n">
        <v>3.86144482</v>
      </c>
      <c r="R7" s="20" t="n">
        <v>0.46960792</v>
      </c>
    </row>
    <row r="8" spans="1:18">
      <c r="A8" s="15" t="s">
        <v>430</v>
      </c>
      <c r="B8" s="17" t="n">
        <v>7007</v>
      </c>
      <c r="C8" s="18">
        <f>(6188.0/B8*100)</f>
        <v/>
      </c>
      <c r="D8" s="19" t="n">
        <v>819</v>
      </c>
      <c r="E8" s="18" t="n">
        <v>34.98694165</v>
      </c>
      <c r="F8" s="20" t="n">
        <v>1.74254258</v>
      </c>
      <c r="G8" s="18" t="n">
        <v>58.46824044</v>
      </c>
      <c r="H8" s="20" t="n">
        <v>1.87442465</v>
      </c>
      <c r="I8" s="18" t="n">
        <v>0</v>
      </c>
      <c r="J8" s="20" t="n">
        <v>0</v>
      </c>
      <c r="K8" s="18" t="n">
        <v>2.88222601</v>
      </c>
      <c r="L8" s="20" t="n">
        <v>0.63118336</v>
      </c>
      <c r="M8" s="18" t="n">
        <v>0</v>
      </c>
      <c r="N8" s="20" t="n">
        <v>0</v>
      </c>
      <c r="O8" s="18" t="n">
        <v>0</v>
      </c>
      <c r="P8" s="20" t="n">
        <v>0</v>
      </c>
      <c r="Q8" s="18" t="n">
        <v>3.6625919</v>
      </c>
      <c r="R8" s="20" t="n">
        <v>0.86334201</v>
      </c>
    </row>
    <row r="9" spans="1:18">
      <c r="A9" s="15" t="s">
        <v>431</v>
      </c>
      <c r="B9" s="17" t="n">
        <v>9651</v>
      </c>
      <c r="C9" s="18">
        <f>(8552.0/B9*100)</f>
        <v/>
      </c>
      <c r="D9" s="19" t="n">
        <v>1099</v>
      </c>
      <c r="E9" s="18" t="n">
        <v>33.46957627</v>
      </c>
      <c r="F9" s="20" t="n">
        <v>1.43813451</v>
      </c>
      <c r="G9" s="18" t="n">
        <v>61.15592418</v>
      </c>
      <c r="H9" s="20" t="n">
        <v>1.6031872</v>
      </c>
      <c r="I9" s="18" t="n">
        <v>0</v>
      </c>
      <c r="J9" s="20" t="n">
        <v>0</v>
      </c>
      <c r="K9" s="18" t="n">
        <v>2.63789596</v>
      </c>
      <c r="L9" s="20" t="n">
        <v>0.66184231</v>
      </c>
      <c r="M9" s="18" t="n">
        <v>0</v>
      </c>
      <c r="N9" s="20" t="n">
        <v>0</v>
      </c>
      <c r="O9" s="18" t="n">
        <v>0</v>
      </c>
      <c r="P9" s="20" t="n">
        <v>0</v>
      </c>
      <c r="Q9" s="18" t="n">
        <v>2.7366036</v>
      </c>
      <c r="R9" s="20" t="n">
        <v>0.55417479</v>
      </c>
    </row>
    <row r="10" spans="1:18">
      <c r="A10" s="15" t="s">
        <v>432</v>
      </c>
      <c r="B10" s="17" t="n">
        <v>20058</v>
      </c>
      <c r="C10" s="18">
        <f>(17637.0/B10*100)</f>
        <v/>
      </c>
      <c r="D10" s="19" t="n">
        <v>2421</v>
      </c>
      <c r="E10" s="18" t="n">
        <v>31.90175358</v>
      </c>
      <c r="F10" s="20" t="n">
        <v>1.24537587</v>
      </c>
      <c r="G10" s="18" t="n">
        <v>64.29593957</v>
      </c>
      <c r="H10" s="20" t="n">
        <v>1.29184745</v>
      </c>
      <c r="I10" s="18" t="n">
        <v>0</v>
      </c>
      <c r="J10" s="20" t="n">
        <v>0</v>
      </c>
      <c r="K10" s="18" t="n">
        <v>1.94511041</v>
      </c>
      <c r="L10" s="20" t="n">
        <v>0.42131863</v>
      </c>
      <c r="M10" s="18" t="n">
        <v>0</v>
      </c>
      <c r="N10" s="20" t="n">
        <v>0</v>
      </c>
      <c r="O10" s="18" t="n">
        <v>0</v>
      </c>
      <c r="P10" s="20" t="n">
        <v>0</v>
      </c>
      <c r="Q10" s="18" t="n">
        <v>1.85719644</v>
      </c>
      <c r="R10" s="20" t="n">
        <v>0.45336031</v>
      </c>
    </row>
    <row r="11" spans="1:18">
      <c r="A11" s="15" t="s">
        <v>433</v>
      </c>
      <c r="B11" s="17" t="n">
        <v>7053</v>
      </c>
      <c r="C11" s="18">
        <f>(6214.0/B11*100)</f>
        <v/>
      </c>
      <c r="D11" s="19" t="n">
        <v>839</v>
      </c>
      <c r="E11" s="18" t="n">
        <v>44.45280185</v>
      </c>
      <c r="F11" s="20" t="n">
        <v>2.28171102</v>
      </c>
      <c r="G11" s="18" t="n">
        <v>43.54367815</v>
      </c>
      <c r="H11" s="20" t="n">
        <v>2.03685925</v>
      </c>
      <c r="I11" s="18" t="n">
        <v>0</v>
      </c>
      <c r="J11" s="20" t="n">
        <v>0</v>
      </c>
      <c r="K11" s="18" t="n">
        <v>5.04401084</v>
      </c>
      <c r="L11" s="20" t="n">
        <v>1.01042031</v>
      </c>
      <c r="M11" s="18" t="n">
        <v>0</v>
      </c>
      <c r="N11" s="20" t="n">
        <v>0</v>
      </c>
      <c r="O11" s="18" t="n">
        <v>0</v>
      </c>
      <c r="P11" s="20" t="n">
        <v>0</v>
      </c>
      <c r="Q11" s="18" t="n">
        <v>6.95950916</v>
      </c>
      <c r="R11" s="20" t="n">
        <v>1.01615232</v>
      </c>
    </row>
    <row r="12" spans="1:18">
      <c r="A12" s="15" t="s">
        <v>434</v>
      </c>
      <c r="B12" s="17" t="n">
        <v>6894</v>
      </c>
      <c r="C12" s="18">
        <f>(6065.0/B12*100)</f>
        <v/>
      </c>
      <c r="D12" s="19" t="n">
        <v>829</v>
      </c>
      <c r="E12" s="18" t="n">
        <v>42.55058851</v>
      </c>
      <c r="F12" s="20" t="n">
        <v>1.96428837</v>
      </c>
      <c r="G12" s="18" t="n">
        <v>50.21733083</v>
      </c>
      <c r="H12" s="20" t="n">
        <v>1.96012584</v>
      </c>
      <c r="I12" s="18" t="n">
        <v>0</v>
      </c>
      <c r="J12" s="20" t="n">
        <v>0</v>
      </c>
      <c r="K12" s="18" t="n">
        <v>3.10499816</v>
      </c>
      <c r="L12" s="20" t="n">
        <v>0.72600602</v>
      </c>
      <c r="M12" s="18" t="n">
        <v>0</v>
      </c>
      <c r="N12" s="20" t="n">
        <v>0</v>
      </c>
      <c r="O12" s="18" t="n">
        <v>0</v>
      </c>
      <c r="P12" s="20" t="n">
        <v>0</v>
      </c>
      <c r="Q12" s="18" t="n">
        <v>4.1270825</v>
      </c>
      <c r="R12" s="20" t="n">
        <v>0.88663882</v>
      </c>
    </row>
    <row r="13" spans="1:18">
      <c r="A13" s="15" t="s">
        <v>435</v>
      </c>
      <c r="B13" s="17" t="n">
        <v>7161</v>
      </c>
      <c r="C13" s="18">
        <f>(6347.0/B13*100)</f>
        <v/>
      </c>
      <c r="D13" s="19" t="n">
        <v>814</v>
      </c>
      <c r="E13" s="18" t="n">
        <v>32.89055598</v>
      </c>
      <c r="F13" s="20" t="n">
        <v>1.79943286</v>
      </c>
      <c r="G13" s="18" t="n">
        <v>61.9895521</v>
      </c>
      <c r="H13" s="20" t="n">
        <v>1.94519851</v>
      </c>
      <c r="I13" s="18" t="n">
        <v>0</v>
      </c>
      <c r="J13" s="20" t="n">
        <v>0</v>
      </c>
      <c r="K13" s="18" t="n">
        <v>2.91198008</v>
      </c>
      <c r="L13" s="20" t="n">
        <v>0.72261575</v>
      </c>
      <c r="M13" s="18" t="n">
        <v>0</v>
      </c>
      <c r="N13" s="20" t="n">
        <v>0</v>
      </c>
      <c r="O13" s="18" t="n">
        <v>0</v>
      </c>
      <c r="P13" s="20" t="n">
        <v>0</v>
      </c>
      <c r="Q13" s="18" t="n">
        <v>2.20791184</v>
      </c>
      <c r="R13" s="20" t="n">
        <v>0.53472741</v>
      </c>
    </row>
    <row r="14" spans="1:18">
      <c r="A14" s="15" t="s">
        <v>436</v>
      </c>
      <c r="B14" s="17" t="n">
        <v>5587</v>
      </c>
      <c r="C14" s="18">
        <f>(4925.0/B14*100)</f>
        <v/>
      </c>
      <c r="D14" s="19" t="n">
        <v>662</v>
      </c>
      <c r="E14" s="18" t="n">
        <v>32.8582905</v>
      </c>
      <c r="F14" s="20" t="n">
        <v>1.96146757</v>
      </c>
      <c r="G14" s="18" t="n">
        <v>65.46037131</v>
      </c>
      <c r="H14" s="20" t="n">
        <v>1.99429598</v>
      </c>
      <c r="I14" s="18" t="n">
        <v>0</v>
      </c>
      <c r="J14" s="20" t="n">
        <v>0</v>
      </c>
      <c r="K14" s="18" t="n">
        <v>0.97231475</v>
      </c>
      <c r="L14" s="20" t="n">
        <v>0.29153872</v>
      </c>
      <c r="M14" s="18" t="n">
        <v>0</v>
      </c>
      <c r="N14" s="20" t="n">
        <v>0</v>
      </c>
      <c r="O14" s="18" t="n">
        <v>0</v>
      </c>
      <c r="P14" s="20" t="n">
        <v>0</v>
      </c>
      <c r="Q14" s="18" t="n">
        <v>0.7090234399999999</v>
      </c>
      <c r="R14" s="20" t="n">
        <v>0.29010311</v>
      </c>
    </row>
    <row r="15" spans="1:18">
      <c r="A15" s="15" t="s">
        <v>437</v>
      </c>
      <c r="B15" s="17" t="n">
        <v>5882</v>
      </c>
      <c r="C15" s="18">
        <f>(5155.0/B15*100)</f>
        <v/>
      </c>
      <c r="D15" s="19" t="n">
        <v>727</v>
      </c>
      <c r="E15" s="18" t="n">
        <v>28.31759698</v>
      </c>
      <c r="F15" s="20" t="n">
        <v>1.83279576</v>
      </c>
      <c r="G15" s="18" t="n">
        <v>66.12848861000001</v>
      </c>
      <c r="H15" s="20" t="n">
        <v>1.95473391</v>
      </c>
      <c r="I15" s="18" t="n">
        <v>0</v>
      </c>
      <c r="J15" s="20" t="n">
        <v>0</v>
      </c>
      <c r="K15" s="18" t="n">
        <v>2.98783548</v>
      </c>
      <c r="L15" s="20" t="n">
        <v>0.66128928</v>
      </c>
      <c r="M15" s="18" t="n">
        <v>0</v>
      </c>
      <c r="N15" s="20" t="n">
        <v>0</v>
      </c>
      <c r="O15" s="18" t="n">
        <v>0</v>
      </c>
      <c r="P15" s="20" t="n">
        <v>0</v>
      </c>
      <c r="Q15" s="18" t="n">
        <v>2.56607893</v>
      </c>
      <c r="R15" s="20" t="n">
        <v>0.58896605</v>
      </c>
    </row>
    <row r="16" spans="1:18">
      <c r="A16" s="15" t="s">
        <v>438</v>
      </c>
      <c r="B16" s="17" t="n">
        <v>6108</v>
      </c>
      <c r="C16" s="18">
        <f>(5361.0/B16*100)</f>
        <v/>
      </c>
      <c r="D16" s="19" t="n">
        <v>747</v>
      </c>
      <c r="E16" s="18" t="n">
        <v>33.40955806</v>
      </c>
      <c r="F16" s="20" t="n">
        <v>1.76533785</v>
      </c>
      <c r="G16" s="18" t="n">
        <v>58.70749343</v>
      </c>
      <c r="H16" s="20" t="n">
        <v>1.78575011</v>
      </c>
      <c r="I16" s="18" t="n">
        <v>0</v>
      </c>
      <c r="J16" s="20" t="n">
        <v>0</v>
      </c>
      <c r="K16" s="18" t="n">
        <v>4.57270824</v>
      </c>
      <c r="L16" s="20" t="n">
        <v>0.81820413</v>
      </c>
      <c r="M16" s="18" t="n">
        <v>0</v>
      </c>
      <c r="N16" s="20" t="n">
        <v>0</v>
      </c>
      <c r="O16" s="18" t="n">
        <v>0</v>
      </c>
      <c r="P16" s="20" t="n">
        <v>0</v>
      </c>
      <c r="Q16" s="18" t="n">
        <v>3.31024027</v>
      </c>
      <c r="R16" s="20" t="n">
        <v>0.6330659199999999</v>
      </c>
    </row>
    <row r="17" spans="1:18">
      <c r="A17" s="15" t="s">
        <v>439</v>
      </c>
      <c r="B17" s="17" t="n">
        <v>6504</v>
      </c>
      <c r="C17" s="18">
        <f>(5741.0/B17*100)</f>
        <v/>
      </c>
      <c r="D17" s="19" t="n">
        <v>763</v>
      </c>
      <c r="E17" s="18" t="n">
        <v>32.37541494</v>
      </c>
      <c r="F17" s="20" t="n">
        <v>2.07124142</v>
      </c>
      <c r="G17" s="18" t="n">
        <v>61.61613524</v>
      </c>
      <c r="H17" s="20" t="n">
        <v>2.31684813</v>
      </c>
      <c r="I17" s="18" t="n">
        <v>0</v>
      </c>
      <c r="J17" s="20" t="n">
        <v>0</v>
      </c>
      <c r="K17" s="18" t="n">
        <v>3.29348964</v>
      </c>
      <c r="L17" s="20" t="n">
        <v>0.76005334</v>
      </c>
      <c r="M17" s="18" t="n">
        <v>0</v>
      </c>
      <c r="N17" s="20" t="n">
        <v>0</v>
      </c>
      <c r="O17" s="18" t="n">
        <v>0</v>
      </c>
      <c r="P17" s="20" t="n">
        <v>0</v>
      </c>
      <c r="Q17" s="18" t="n">
        <v>2.71496018</v>
      </c>
      <c r="R17" s="20" t="n">
        <v>0.69237537</v>
      </c>
    </row>
    <row r="18" spans="1:18">
      <c r="A18" s="15" t="s">
        <v>440</v>
      </c>
      <c r="B18" s="17" t="n">
        <v>5532</v>
      </c>
      <c r="C18" s="18">
        <f>(4853.0/B18*100)</f>
        <v/>
      </c>
      <c r="D18" s="19" t="n">
        <v>679</v>
      </c>
      <c r="E18" s="18" t="n">
        <v>45.2025676</v>
      </c>
      <c r="F18" s="20" t="n">
        <v>2.35958909</v>
      </c>
      <c r="G18" s="18" t="n">
        <v>46.00270293</v>
      </c>
      <c r="H18" s="20" t="n">
        <v>2.28340992</v>
      </c>
      <c r="I18" s="18" t="n">
        <v>0</v>
      </c>
      <c r="J18" s="20" t="n">
        <v>0</v>
      </c>
      <c r="K18" s="18" t="n">
        <v>5.23631362</v>
      </c>
      <c r="L18" s="20" t="n">
        <v>0.87780959</v>
      </c>
      <c r="M18" s="18" t="n">
        <v>0</v>
      </c>
      <c r="N18" s="20" t="n">
        <v>0</v>
      </c>
      <c r="O18" s="18" t="n">
        <v>0</v>
      </c>
      <c r="P18" s="20" t="n">
        <v>0</v>
      </c>
      <c r="Q18" s="18" t="n">
        <v>3.55841585</v>
      </c>
      <c r="R18" s="20" t="n">
        <v>0.62046344</v>
      </c>
    </row>
    <row r="19" spans="1:18">
      <c r="A19" s="15" t="s">
        <v>441</v>
      </c>
      <c r="B19" s="17" t="n">
        <v>5658</v>
      </c>
      <c r="C19" s="18">
        <f>(4966.0/B19*100)</f>
        <v/>
      </c>
      <c r="D19" s="19" t="n">
        <v>692</v>
      </c>
      <c r="E19" s="18" t="n">
        <v>49.97707627</v>
      </c>
      <c r="F19" s="20" t="n">
        <v>1.97711947</v>
      </c>
      <c r="G19" s="18" t="n">
        <v>41.77811468</v>
      </c>
      <c r="H19" s="20" t="n">
        <v>2.1072924</v>
      </c>
      <c r="I19" s="18" t="n">
        <v>0</v>
      </c>
      <c r="J19" s="20" t="n">
        <v>0</v>
      </c>
      <c r="K19" s="18" t="n">
        <v>2.86509075</v>
      </c>
      <c r="L19" s="20" t="n">
        <v>0.86750815</v>
      </c>
      <c r="M19" s="18" t="n">
        <v>0</v>
      </c>
      <c r="N19" s="20" t="n">
        <v>0</v>
      </c>
      <c r="O19" s="18" t="n">
        <v>0</v>
      </c>
      <c r="P19" s="20" t="n">
        <v>0</v>
      </c>
      <c r="Q19" s="18" t="n">
        <v>5.37971829</v>
      </c>
      <c r="R19" s="20" t="n">
        <v>0.90399584</v>
      </c>
    </row>
    <row r="20" spans="1:18">
      <c r="A20" s="15" t="s">
        <v>442</v>
      </c>
      <c r="B20" s="17" t="n">
        <v>3371</v>
      </c>
      <c r="C20" s="18">
        <f>(2964.0/B20*100)</f>
        <v/>
      </c>
      <c r="D20" s="19" t="n">
        <v>407</v>
      </c>
      <c r="E20" s="18" t="n">
        <v>34.8388314</v>
      </c>
      <c r="F20" s="20" t="n">
        <v>2.52710726</v>
      </c>
      <c r="G20" s="18" t="n">
        <v>59.00817443</v>
      </c>
      <c r="H20" s="20" t="n">
        <v>2.61322924</v>
      </c>
      <c r="I20" s="18" t="n">
        <v>0</v>
      </c>
      <c r="J20" s="20" t="n">
        <v>0</v>
      </c>
      <c r="K20" s="18" t="n">
        <v>3.86244249</v>
      </c>
      <c r="L20" s="20" t="n">
        <v>0.81804057</v>
      </c>
      <c r="M20" s="18" t="n">
        <v>0</v>
      </c>
      <c r="N20" s="20" t="n">
        <v>0</v>
      </c>
      <c r="O20" s="18" t="n">
        <v>0</v>
      </c>
      <c r="P20" s="20" t="n">
        <v>0</v>
      </c>
      <c r="Q20" s="18" t="n">
        <v>2.29055168</v>
      </c>
      <c r="R20" s="20" t="n">
        <v>0.76220059</v>
      </c>
    </row>
    <row r="21" spans="1:18">
      <c r="A21" s="15" t="s">
        <v>443</v>
      </c>
      <c r="B21" s="17" t="n">
        <v>5741</v>
      </c>
      <c r="C21" s="18">
        <f>(4823.0/B21*100)</f>
        <v/>
      </c>
      <c r="D21" s="19" t="n">
        <v>918</v>
      </c>
      <c r="E21" s="18" t="n">
        <v>38.14168084</v>
      </c>
      <c r="F21" s="20" t="n">
        <v>1.53418883</v>
      </c>
      <c r="G21" s="18" t="n">
        <v>57.36596116</v>
      </c>
      <c r="H21" s="20" t="n">
        <v>1.55992462</v>
      </c>
      <c r="I21" s="18" t="n">
        <v>0</v>
      </c>
      <c r="J21" s="20" t="n">
        <v>0</v>
      </c>
      <c r="K21" s="18" t="n">
        <v>2.68276528</v>
      </c>
      <c r="L21" s="20" t="n">
        <v>0.51588209</v>
      </c>
      <c r="M21" s="18" t="n">
        <v>0</v>
      </c>
      <c r="N21" s="20" t="n">
        <v>0</v>
      </c>
      <c r="O21" s="18" t="n">
        <v>0</v>
      </c>
      <c r="P21" s="20" t="n">
        <v>0</v>
      </c>
      <c r="Q21" s="18" t="n">
        <v>1.80959272</v>
      </c>
      <c r="R21" s="20" t="n">
        <v>0.4205459</v>
      </c>
    </row>
    <row r="22" spans="1:18">
      <c r="A22" s="15" t="s">
        <v>444</v>
      </c>
      <c r="B22" s="17" t="n">
        <v>6598</v>
      </c>
      <c r="C22" s="18">
        <f>(5811.0/B22*100)</f>
        <v/>
      </c>
      <c r="D22" s="19" t="n">
        <v>787</v>
      </c>
      <c r="E22" s="18" t="n">
        <v>38.4197669</v>
      </c>
      <c r="F22" s="20" t="n">
        <v>2.00925115</v>
      </c>
      <c r="G22" s="18" t="n">
        <v>53.60006684</v>
      </c>
      <c r="H22" s="20" t="n">
        <v>2.25353448</v>
      </c>
      <c r="I22" s="18" t="n">
        <v>0</v>
      </c>
      <c r="J22" s="20" t="n">
        <v>0</v>
      </c>
      <c r="K22" s="18" t="n">
        <v>3.75526382</v>
      </c>
      <c r="L22" s="20" t="n">
        <v>0.6689467100000001</v>
      </c>
      <c r="M22" s="18" t="n">
        <v>0</v>
      </c>
      <c r="N22" s="20" t="n">
        <v>0</v>
      </c>
      <c r="O22" s="18" t="n">
        <v>0</v>
      </c>
      <c r="P22" s="20" t="n">
        <v>0</v>
      </c>
      <c r="Q22" s="18" t="n">
        <v>4.22490243</v>
      </c>
      <c r="R22" s="20" t="n">
        <v>0.86141185</v>
      </c>
    </row>
    <row r="23" spans="1:18">
      <c r="A23" s="15" t="s">
        <v>445</v>
      </c>
      <c r="B23" s="17" t="n">
        <v>11583</v>
      </c>
      <c r="C23" s="18">
        <f>(10190.0/B23*100)</f>
        <v/>
      </c>
      <c r="D23" s="19" t="n">
        <v>1393</v>
      </c>
      <c r="E23" s="18" t="n">
        <v>46.5729909</v>
      </c>
      <c r="F23" s="20" t="n">
        <v>1.98771569</v>
      </c>
      <c r="G23" s="18" t="n">
        <v>46.58543675</v>
      </c>
      <c r="H23" s="20" t="n">
        <v>1.71578223</v>
      </c>
      <c r="I23" s="18" t="n">
        <v>0</v>
      </c>
      <c r="J23" s="20" t="n">
        <v>0</v>
      </c>
      <c r="K23" s="18" t="n">
        <v>3.61985505</v>
      </c>
      <c r="L23" s="20" t="n">
        <v>0.77414454</v>
      </c>
      <c r="M23" s="18" t="n">
        <v>0</v>
      </c>
      <c r="N23" s="20" t="n">
        <v>0</v>
      </c>
      <c r="O23" s="18" t="n">
        <v>0</v>
      </c>
      <c r="P23" s="20" t="n">
        <v>0</v>
      </c>
      <c r="Q23" s="18" t="n">
        <v>3.2217173</v>
      </c>
      <c r="R23" s="20" t="n">
        <v>0.81124757</v>
      </c>
    </row>
    <row r="24" spans="1:18">
      <c r="A24" s="15" t="s">
        <v>446</v>
      </c>
      <c r="B24" s="17" t="n">
        <v>6647</v>
      </c>
      <c r="C24" s="18">
        <f>(5889.0/B24*100)</f>
        <v/>
      </c>
      <c r="D24" s="19" t="n">
        <v>758</v>
      </c>
      <c r="E24" s="18" t="n">
        <v>35.26039684</v>
      </c>
      <c r="F24" s="20" t="n">
        <v>1.99804025</v>
      </c>
      <c r="G24" s="18" t="n">
        <v>58.34189377</v>
      </c>
      <c r="H24" s="20" t="n">
        <v>2.208508</v>
      </c>
      <c r="I24" s="18" t="n">
        <v>0</v>
      </c>
      <c r="J24" s="20" t="n">
        <v>0</v>
      </c>
      <c r="K24" s="18" t="n">
        <v>3.35249591</v>
      </c>
      <c r="L24" s="20" t="n">
        <v>0.76829295</v>
      </c>
      <c r="M24" s="18" t="n">
        <v>0</v>
      </c>
      <c r="N24" s="20" t="n">
        <v>0</v>
      </c>
      <c r="O24" s="18" t="n">
        <v>0</v>
      </c>
      <c r="P24" s="20" t="n">
        <v>0</v>
      </c>
      <c r="Q24" s="18" t="n">
        <v>3.04521347</v>
      </c>
      <c r="R24" s="20" t="n">
        <v>0.70310609</v>
      </c>
    </row>
    <row r="25" spans="1:18">
      <c r="A25" s="15" t="s">
        <v>447</v>
      </c>
      <c r="B25" s="17" t="n">
        <v>5581</v>
      </c>
      <c r="C25" s="18">
        <f>(4896.0/B25*100)</f>
        <v/>
      </c>
      <c r="D25" s="19" t="n">
        <v>685</v>
      </c>
      <c r="E25" s="18" t="n">
        <v>35.13946375</v>
      </c>
      <c r="F25" s="20" t="n">
        <v>1.93944974</v>
      </c>
      <c r="G25" s="18" t="n">
        <v>62.04569566</v>
      </c>
      <c r="H25" s="20" t="n">
        <v>1.96627695</v>
      </c>
      <c r="I25" s="18" t="n">
        <v>0</v>
      </c>
      <c r="J25" s="20" t="n">
        <v>0</v>
      </c>
      <c r="K25" s="18" t="n">
        <v>1.73147614</v>
      </c>
      <c r="L25" s="20" t="n">
        <v>0.48818324</v>
      </c>
      <c r="M25" s="18" t="n">
        <v>0</v>
      </c>
      <c r="N25" s="20" t="n">
        <v>0</v>
      </c>
      <c r="O25" s="18" t="n">
        <v>0</v>
      </c>
      <c r="P25" s="20" t="n">
        <v>0</v>
      </c>
      <c r="Q25" s="18" t="n">
        <v>1.08336445</v>
      </c>
      <c r="R25" s="20" t="n">
        <v>0.40023831</v>
      </c>
    </row>
    <row r="26" spans="1:18">
      <c r="A26" s="15" t="s">
        <v>448</v>
      </c>
      <c r="B26" s="17" t="n">
        <v>4869</v>
      </c>
      <c r="C26" s="18">
        <f>(4293.0/B26*100)</f>
        <v/>
      </c>
      <c r="D26" s="19" t="n">
        <v>576</v>
      </c>
      <c r="E26" s="18" t="n">
        <v>43.8440515</v>
      </c>
      <c r="F26" s="20" t="n">
        <v>2.22811724</v>
      </c>
      <c r="G26" s="18" t="n">
        <v>50.37307312</v>
      </c>
      <c r="H26" s="20" t="n">
        <v>2.33923201</v>
      </c>
      <c r="I26" s="18" t="n">
        <v>0</v>
      </c>
      <c r="J26" s="20" t="n">
        <v>0</v>
      </c>
      <c r="K26" s="18" t="n">
        <v>1.45182727</v>
      </c>
      <c r="L26" s="20" t="n">
        <v>0.46786672</v>
      </c>
      <c r="M26" s="18" t="n">
        <v>0</v>
      </c>
      <c r="N26" s="20" t="n">
        <v>0</v>
      </c>
      <c r="O26" s="18" t="n">
        <v>0</v>
      </c>
      <c r="P26" s="20" t="n">
        <v>0</v>
      </c>
      <c r="Q26" s="18" t="n">
        <v>4.33104811</v>
      </c>
      <c r="R26" s="20" t="n">
        <v>0.90994903</v>
      </c>
    </row>
    <row r="27" spans="1:18">
      <c r="A27" s="15" t="s">
        <v>449</v>
      </c>
      <c r="B27" s="17" t="n">
        <v>5299</v>
      </c>
      <c r="C27" s="18">
        <f>(4692.0/B27*100)</f>
        <v/>
      </c>
      <c r="D27" s="19" t="n">
        <v>607</v>
      </c>
      <c r="E27" s="18" t="n">
        <v>39.97463535</v>
      </c>
      <c r="F27" s="20" t="n">
        <v>1.91356169</v>
      </c>
      <c r="G27" s="18" t="n">
        <v>53.607321</v>
      </c>
      <c r="H27" s="20" t="n">
        <v>1.86497544</v>
      </c>
      <c r="I27" s="18" t="n">
        <v>0</v>
      </c>
      <c r="J27" s="20" t="n">
        <v>0</v>
      </c>
      <c r="K27" s="18" t="n">
        <v>2.48839669</v>
      </c>
      <c r="L27" s="20" t="n">
        <v>0.5923747</v>
      </c>
      <c r="M27" s="18" t="n">
        <v>0</v>
      </c>
      <c r="N27" s="20" t="n">
        <v>0</v>
      </c>
      <c r="O27" s="18" t="n">
        <v>0</v>
      </c>
      <c r="P27" s="20" t="n">
        <v>0</v>
      </c>
      <c r="Q27" s="18" t="n">
        <v>3.92964696</v>
      </c>
      <c r="R27" s="20" t="n">
        <v>0.77833959</v>
      </c>
    </row>
    <row r="28" spans="1:18">
      <c r="A28" s="15" t="s">
        <v>450</v>
      </c>
      <c r="B28" s="17" t="n">
        <v>7568</v>
      </c>
      <c r="C28" s="18">
        <f>(6732.0/B28*100)</f>
        <v/>
      </c>
      <c r="D28" s="19" t="n">
        <v>836</v>
      </c>
      <c r="E28" s="18" t="n">
        <v>52.02262235</v>
      </c>
      <c r="F28" s="20" t="n">
        <v>1.82961158</v>
      </c>
      <c r="G28" s="18" t="n">
        <v>43.89755764</v>
      </c>
      <c r="H28" s="20" t="n">
        <v>1.99379016</v>
      </c>
      <c r="I28" s="18" t="n">
        <v>0</v>
      </c>
      <c r="J28" s="20" t="n">
        <v>0</v>
      </c>
      <c r="K28" s="18" t="n">
        <v>1.160037</v>
      </c>
      <c r="L28" s="20" t="n">
        <v>0.43728922</v>
      </c>
      <c r="M28" s="18" t="n">
        <v>0</v>
      </c>
      <c r="N28" s="20" t="n">
        <v>0</v>
      </c>
      <c r="O28" s="18" t="n">
        <v>0</v>
      </c>
      <c r="P28" s="20" t="n">
        <v>0</v>
      </c>
      <c r="Q28" s="18" t="n">
        <v>2.91978301</v>
      </c>
      <c r="R28" s="20" t="n">
        <v>0.65514753</v>
      </c>
    </row>
    <row r="29" spans="1:18">
      <c r="A29" s="15" t="s">
        <v>451</v>
      </c>
      <c r="B29" s="17" t="n">
        <v>5385</v>
      </c>
      <c r="C29" s="18">
        <f>(4742.0/B29*100)</f>
        <v/>
      </c>
      <c r="D29" s="19" t="n">
        <v>643</v>
      </c>
      <c r="E29" s="18" t="n">
        <v>37.85389619</v>
      </c>
      <c r="F29" s="20" t="n">
        <v>1.95199951</v>
      </c>
      <c r="G29" s="18" t="n">
        <v>59.96022174</v>
      </c>
      <c r="H29" s="20" t="n">
        <v>2.01937598</v>
      </c>
      <c r="I29" s="18" t="n">
        <v>0</v>
      </c>
      <c r="J29" s="20" t="n">
        <v>0</v>
      </c>
      <c r="K29" s="18" t="n">
        <v>0.6606049000000001</v>
      </c>
      <c r="L29" s="20" t="n">
        <v>0.21038435</v>
      </c>
      <c r="M29" s="18" t="n">
        <v>0</v>
      </c>
      <c r="N29" s="20" t="n">
        <v>0</v>
      </c>
      <c r="O29" s="18" t="n">
        <v>0</v>
      </c>
      <c r="P29" s="20" t="n">
        <v>0</v>
      </c>
      <c r="Q29" s="18" t="n">
        <v>1.52527718</v>
      </c>
      <c r="R29" s="20" t="n">
        <v>0.53843272</v>
      </c>
    </row>
    <row r="30" spans="1:18">
      <c r="A30" s="15" t="s">
        <v>452</v>
      </c>
      <c r="B30" s="17" t="n">
        <v>4520</v>
      </c>
      <c r="C30" s="18">
        <f>(3973.0/B30*100)</f>
        <v/>
      </c>
      <c r="D30" s="19" t="n">
        <v>547</v>
      </c>
      <c r="E30" s="18" t="n">
        <v>31.15408359</v>
      </c>
      <c r="F30" s="20" t="n">
        <v>2.44229414</v>
      </c>
      <c r="G30" s="18" t="n">
        <v>60.97629726</v>
      </c>
      <c r="H30" s="20" t="n">
        <v>2.33704307</v>
      </c>
      <c r="I30" s="18" t="n">
        <v>0</v>
      </c>
      <c r="J30" s="20" t="n">
        <v>0</v>
      </c>
      <c r="K30" s="18" t="n">
        <v>3.49901954</v>
      </c>
      <c r="L30" s="20" t="n">
        <v>0.7509313</v>
      </c>
      <c r="M30" s="18" t="n">
        <v>0</v>
      </c>
      <c r="N30" s="20" t="n">
        <v>0</v>
      </c>
      <c r="O30" s="18" t="n">
        <v>0</v>
      </c>
      <c r="P30" s="20" t="n">
        <v>0</v>
      </c>
      <c r="Q30" s="18" t="n">
        <v>4.3705996</v>
      </c>
      <c r="R30" s="20" t="n">
        <v>1.08775821</v>
      </c>
    </row>
    <row r="31" spans="1:18">
      <c r="A31" s="15" t="s">
        <v>453</v>
      </c>
      <c r="B31" s="17" t="n">
        <v>5456</v>
      </c>
      <c r="C31" s="18">
        <f>(4806.0/B31*100)</f>
        <v/>
      </c>
      <c r="D31" s="19" t="n">
        <v>650</v>
      </c>
      <c r="E31" s="18" t="n">
        <v>29.61890703</v>
      </c>
      <c r="F31" s="20" t="n">
        <v>1.78834459</v>
      </c>
      <c r="G31" s="18" t="n">
        <v>60.47256911</v>
      </c>
      <c r="H31" s="20" t="n">
        <v>1.76697428</v>
      </c>
      <c r="I31" s="18" t="n">
        <v>0</v>
      </c>
      <c r="J31" s="20" t="n">
        <v>0</v>
      </c>
      <c r="K31" s="18" t="n">
        <v>6.72381739</v>
      </c>
      <c r="L31" s="20" t="n">
        <v>1.00281463</v>
      </c>
      <c r="M31" s="18" t="n">
        <v>0</v>
      </c>
      <c r="N31" s="20" t="n">
        <v>0</v>
      </c>
      <c r="O31" s="18" t="n">
        <v>0</v>
      </c>
      <c r="P31" s="20" t="n">
        <v>0</v>
      </c>
      <c r="Q31" s="18" t="n">
        <v>3.18470646</v>
      </c>
      <c r="R31" s="20" t="n">
        <v>0.6910708</v>
      </c>
    </row>
    <row r="32" spans="1:18">
      <c r="A32" s="15" t="s">
        <v>454</v>
      </c>
      <c r="B32" s="17" t="n">
        <v>4478</v>
      </c>
      <c r="C32" s="18">
        <f>(3780.0/B32*100)</f>
        <v/>
      </c>
      <c r="D32" s="19" t="n">
        <v>698</v>
      </c>
      <c r="E32" s="18" t="n">
        <v>43.4687197</v>
      </c>
      <c r="F32" s="20" t="n">
        <v>2.0145216</v>
      </c>
      <c r="G32" s="18" t="n">
        <v>49.98079698</v>
      </c>
      <c r="H32" s="20" t="n">
        <v>2.02690428</v>
      </c>
      <c r="I32" s="18" t="n">
        <v>0</v>
      </c>
      <c r="J32" s="20" t="n">
        <v>0</v>
      </c>
      <c r="K32" s="18" t="n">
        <v>2.05435616</v>
      </c>
      <c r="L32" s="20" t="n">
        <v>0.5834982</v>
      </c>
      <c r="M32" s="18" t="n">
        <v>0</v>
      </c>
      <c r="N32" s="20" t="n">
        <v>0</v>
      </c>
      <c r="O32" s="18" t="n">
        <v>0</v>
      </c>
      <c r="P32" s="20" t="n">
        <v>0</v>
      </c>
      <c r="Q32" s="18" t="n">
        <v>4.49612716</v>
      </c>
      <c r="R32" s="20" t="n">
        <v>0.90601779</v>
      </c>
    </row>
    <row r="33" spans="1:18">
      <c r="A33" s="15" t="s">
        <v>455</v>
      </c>
      <c r="B33" s="17" t="n">
        <v>7325</v>
      </c>
      <c r="C33" s="18">
        <f>(6469.0/B33*100)</f>
        <v/>
      </c>
      <c r="D33" s="19" t="n">
        <v>856</v>
      </c>
      <c r="E33" s="18" t="n">
        <v>45.80441366</v>
      </c>
      <c r="F33" s="20" t="n">
        <v>2.02624752</v>
      </c>
      <c r="G33" s="18" t="n">
        <v>50.57250134</v>
      </c>
      <c r="H33" s="20" t="n">
        <v>2.06044898</v>
      </c>
      <c r="I33" s="18" t="n">
        <v>0</v>
      </c>
      <c r="J33" s="20" t="n">
        <v>0</v>
      </c>
      <c r="K33" s="18" t="n">
        <v>1.26838616</v>
      </c>
      <c r="L33" s="20" t="n">
        <v>0.41547722</v>
      </c>
      <c r="M33" s="18" t="n">
        <v>0</v>
      </c>
      <c r="N33" s="20" t="n">
        <v>0</v>
      </c>
      <c r="O33" s="18" t="n">
        <v>0</v>
      </c>
      <c r="P33" s="20" t="n">
        <v>0</v>
      </c>
      <c r="Q33" s="18" t="n">
        <v>2.35469883</v>
      </c>
      <c r="R33" s="20" t="n">
        <v>0.59443057</v>
      </c>
    </row>
    <row r="34" spans="1:18">
      <c r="A34" s="15" t="s">
        <v>456</v>
      </c>
      <c r="B34" s="17" t="n">
        <v>6350</v>
      </c>
      <c r="C34" s="18">
        <f>(5595.0/B34*100)</f>
        <v/>
      </c>
      <c r="D34" s="19" t="n">
        <v>755</v>
      </c>
      <c r="E34" s="18" t="n">
        <v>49.79872389</v>
      </c>
      <c r="F34" s="20" t="n">
        <v>1.85882881</v>
      </c>
      <c r="G34" s="18" t="n">
        <v>41.22555748</v>
      </c>
      <c r="H34" s="20" t="n">
        <v>1.98152379</v>
      </c>
      <c r="I34" s="18" t="n">
        <v>0</v>
      </c>
      <c r="J34" s="20" t="n">
        <v>0</v>
      </c>
      <c r="K34" s="18" t="n">
        <v>2.8153189</v>
      </c>
      <c r="L34" s="20" t="n">
        <v>0.58822677</v>
      </c>
      <c r="M34" s="18" t="n">
        <v>0</v>
      </c>
      <c r="N34" s="20" t="n">
        <v>0</v>
      </c>
      <c r="O34" s="18" t="n">
        <v>0</v>
      </c>
      <c r="P34" s="20" t="n">
        <v>0</v>
      </c>
      <c r="Q34" s="18" t="n">
        <v>6.16039972</v>
      </c>
      <c r="R34" s="20" t="n">
        <v>0.94252735</v>
      </c>
    </row>
    <row r="35" spans="1:18">
      <c r="A35" s="15" t="s">
        <v>457</v>
      </c>
      <c r="B35" s="17" t="n">
        <v>6406</v>
      </c>
      <c r="C35" s="18">
        <f>(5646.0/B35*100)</f>
        <v/>
      </c>
      <c r="D35" s="19" t="n">
        <v>760</v>
      </c>
      <c r="E35" s="18" t="n">
        <v>31.310574</v>
      </c>
      <c r="F35" s="20" t="n">
        <v>2.12456655</v>
      </c>
      <c r="G35" s="18" t="n">
        <v>64.23901979999999</v>
      </c>
      <c r="H35" s="20" t="n">
        <v>2.25172578</v>
      </c>
      <c r="I35" s="18" t="n">
        <v>0</v>
      </c>
      <c r="J35" s="20" t="n">
        <v>0</v>
      </c>
      <c r="K35" s="18" t="n">
        <v>2.17216378</v>
      </c>
      <c r="L35" s="20" t="n">
        <v>0.68073564</v>
      </c>
      <c r="M35" s="18" t="n">
        <v>0</v>
      </c>
      <c r="N35" s="20" t="n">
        <v>0</v>
      </c>
      <c r="O35" s="18" t="n">
        <v>0</v>
      </c>
      <c r="P35" s="20" t="n">
        <v>0</v>
      </c>
      <c r="Q35" s="18" t="n">
        <v>2.27824243</v>
      </c>
      <c r="R35" s="20" t="n">
        <v>0.52074448</v>
      </c>
    </row>
    <row r="36" spans="1:18">
      <c r="A36" s="15" t="s">
        <v>458</v>
      </c>
      <c r="B36" s="17" t="n">
        <v>6736</v>
      </c>
      <c r="C36" s="18">
        <f>(5933.0/B36*100)</f>
        <v/>
      </c>
      <c r="D36" s="19" t="n">
        <v>803</v>
      </c>
      <c r="E36" s="18" t="n">
        <v>39.06293728</v>
      </c>
      <c r="F36" s="20" t="n">
        <v>1.62641556</v>
      </c>
      <c r="G36" s="18" t="n">
        <v>56.44840699</v>
      </c>
      <c r="H36" s="20" t="n">
        <v>1.53908042</v>
      </c>
      <c r="I36" s="18" t="n">
        <v>0</v>
      </c>
      <c r="J36" s="20" t="n">
        <v>0</v>
      </c>
      <c r="K36" s="18" t="n">
        <v>1.94578095</v>
      </c>
      <c r="L36" s="20" t="n">
        <v>0.5013779</v>
      </c>
      <c r="M36" s="18" t="n">
        <v>0</v>
      </c>
      <c r="N36" s="20" t="n">
        <v>0</v>
      </c>
      <c r="O36" s="18" t="n">
        <v>0</v>
      </c>
      <c r="P36" s="20" t="n">
        <v>0</v>
      </c>
      <c r="Q36" s="18" t="n">
        <v>2.54287478</v>
      </c>
      <c r="R36" s="20" t="n">
        <v>0.5649546600000001</v>
      </c>
    </row>
    <row r="37" spans="1:18">
      <c r="A37" s="15" t="s">
        <v>459</v>
      </c>
      <c r="B37" s="17" t="n">
        <v>5458</v>
      </c>
      <c r="C37" s="18">
        <f>(4794.0/B37*100)</f>
        <v/>
      </c>
      <c r="D37" s="19" t="n">
        <v>664</v>
      </c>
      <c r="E37" s="18" t="n">
        <v>28.9231602</v>
      </c>
      <c r="F37" s="20" t="n">
        <v>1.57639983</v>
      </c>
      <c r="G37" s="18" t="n">
        <v>62.4574502</v>
      </c>
      <c r="H37" s="20" t="n">
        <v>1.83869367</v>
      </c>
      <c r="I37" s="18" t="n">
        <v>0</v>
      </c>
      <c r="J37" s="20" t="n">
        <v>0</v>
      </c>
      <c r="K37" s="18" t="n">
        <v>5.20814004</v>
      </c>
      <c r="L37" s="20" t="n">
        <v>1.02734244</v>
      </c>
      <c r="M37" s="18" t="n">
        <v>0</v>
      </c>
      <c r="N37" s="20" t="n">
        <v>0</v>
      </c>
      <c r="O37" s="18" t="n">
        <v>0</v>
      </c>
      <c r="P37" s="20" t="n">
        <v>0</v>
      </c>
      <c r="Q37" s="18" t="n">
        <v>3.41124956</v>
      </c>
      <c r="R37" s="20" t="n">
        <v>0.72357036</v>
      </c>
    </row>
    <row r="38" spans="1:18">
      <c r="A38" s="15" t="s">
        <v>460</v>
      </c>
      <c r="B38" s="17" t="n">
        <v>5860</v>
      </c>
      <c r="C38" s="18">
        <f>(4973.0/B38*100)</f>
        <v/>
      </c>
      <c r="D38" s="19" t="n">
        <v>887</v>
      </c>
      <c r="E38" s="18" t="n">
        <v>34.0011709</v>
      </c>
      <c r="F38" s="20" t="n">
        <v>1.71065495</v>
      </c>
      <c r="G38" s="18" t="n">
        <v>61.65194177</v>
      </c>
      <c r="H38" s="20" t="n">
        <v>1.81686115</v>
      </c>
      <c r="I38" s="18" t="n">
        <v>0</v>
      </c>
      <c r="J38" s="20" t="n">
        <v>0</v>
      </c>
      <c r="K38" s="18" t="n">
        <v>2.62842739</v>
      </c>
      <c r="L38" s="20" t="n">
        <v>0.57272924</v>
      </c>
      <c r="M38" s="18" t="n">
        <v>0</v>
      </c>
      <c r="N38" s="20" t="n">
        <v>0</v>
      </c>
      <c r="O38" s="18" t="n">
        <v>0</v>
      </c>
      <c r="P38" s="20" t="n">
        <v>0</v>
      </c>
      <c r="Q38" s="18" t="n">
        <v>1.71845994</v>
      </c>
      <c r="R38" s="20" t="n">
        <v>0.37579644</v>
      </c>
    </row>
    <row r="39" spans="1:18">
      <c r="A39" s="15" t="s">
        <v>461</v>
      </c>
      <c r="B39" s="17" t="n">
        <v>5895</v>
      </c>
      <c r="C39" s="18">
        <f>(5180.0/B39*100)</f>
        <v/>
      </c>
      <c r="D39" s="19" t="n">
        <v>715</v>
      </c>
      <c r="E39" s="18" t="n">
        <v>54.80138728</v>
      </c>
      <c r="F39" s="20" t="n">
        <v>2.53391373</v>
      </c>
      <c r="G39" s="18" t="n">
        <v>36.77071682</v>
      </c>
      <c r="H39" s="20" t="n">
        <v>2.50946373</v>
      </c>
      <c r="I39" s="18" t="n">
        <v>0</v>
      </c>
      <c r="J39" s="20" t="n">
        <v>0</v>
      </c>
      <c r="K39" s="18" t="n">
        <v>2.75817923</v>
      </c>
      <c r="L39" s="20" t="n">
        <v>0.59665925</v>
      </c>
      <c r="M39" s="18" t="n">
        <v>0</v>
      </c>
      <c r="N39" s="20" t="n">
        <v>0</v>
      </c>
      <c r="O39" s="18" t="n">
        <v>0</v>
      </c>
      <c r="P39" s="20" t="n">
        <v>0</v>
      </c>
      <c r="Q39" s="18" t="n">
        <v>5.66971667</v>
      </c>
      <c r="R39" s="20" t="n">
        <v>1.05833316</v>
      </c>
    </row>
    <row r="40" spans="1:18">
      <c r="A40" s="15" t="s">
        <v>462</v>
      </c>
      <c r="B40" s="17" t="n">
        <v>14157</v>
      </c>
      <c r="C40" s="18">
        <f>(12468.0/B40*100)</f>
        <v/>
      </c>
      <c r="D40" s="19" t="n">
        <v>1689</v>
      </c>
      <c r="E40" s="18" t="n">
        <v>38.84681771</v>
      </c>
      <c r="F40" s="20" t="n">
        <v>1.91548977</v>
      </c>
      <c r="G40" s="18" t="n">
        <v>54.64135765</v>
      </c>
      <c r="H40" s="20" t="n">
        <v>1.82673946</v>
      </c>
      <c r="I40" s="18" t="n">
        <v>0</v>
      </c>
      <c r="J40" s="20" t="n">
        <v>0</v>
      </c>
      <c r="K40" s="18" t="n">
        <v>2.70639394</v>
      </c>
      <c r="L40" s="20" t="n">
        <v>0.58057677</v>
      </c>
      <c r="M40" s="18" t="n">
        <v>0</v>
      </c>
      <c r="N40" s="20" t="n">
        <v>0</v>
      </c>
      <c r="O40" s="18" t="n">
        <v>0</v>
      </c>
      <c r="P40" s="20" t="n">
        <v>0</v>
      </c>
      <c r="Q40" s="18" t="n">
        <v>3.8054307</v>
      </c>
      <c r="R40" s="20" t="n">
        <v>0.72874236</v>
      </c>
    </row>
    <row r="41" spans="1:18">
      <c r="A41" s="15" t="s">
        <v>463</v>
      </c>
      <c r="B41" s="17" t="n">
        <v>5712</v>
      </c>
      <c r="C41" s="18">
        <f>(5068.0/B41*100)</f>
        <v/>
      </c>
      <c r="D41" s="19" t="n">
        <v>644</v>
      </c>
      <c r="E41" s="18" t="n">
        <v>41.22918542</v>
      </c>
      <c r="F41" s="20" t="n">
        <v>2.17530892</v>
      </c>
      <c r="G41" s="18" t="n">
        <v>55.06812818</v>
      </c>
      <c r="H41" s="20" t="n">
        <v>2.22021147</v>
      </c>
      <c r="I41" s="18" t="n">
        <v>0</v>
      </c>
      <c r="J41" s="20" t="n">
        <v>0</v>
      </c>
      <c r="K41" s="18" t="n">
        <v>1.47146468</v>
      </c>
      <c r="L41" s="20" t="n">
        <v>0.56450598</v>
      </c>
      <c r="M41" s="18" t="n">
        <v>0</v>
      </c>
      <c r="N41" s="20" t="n">
        <v>0</v>
      </c>
      <c r="O41" s="18" t="n">
        <v>0</v>
      </c>
      <c r="P41" s="20" t="n">
        <v>0</v>
      </c>
      <c r="Q41" s="18" t="n">
        <v>2.23122172</v>
      </c>
      <c r="R41" s="20" t="n">
        <v>0.47948701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(21098.0/B46*100)</f>
        <v/>
      </c>
      <c r="D46" s="19" t="n">
        <v>2043</v>
      </c>
      <c r="E46" s="18" t="n">
        <v>65.73963596</v>
      </c>
      <c r="F46" s="20" t="n">
        <v>1.49812237</v>
      </c>
      <c r="G46" s="18" t="n">
        <v>22.77617192</v>
      </c>
      <c r="H46" s="20" t="n">
        <v>1.20763589</v>
      </c>
      <c r="I46" s="18" t="n">
        <v>0</v>
      </c>
      <c r="J46" s="20" t="n">
        <v>0</v>
      </c>
      <c r="K46" s="18" t="n">
        <v>6.27960088</v>
      </c>
      <c r="L46" s="20" t="n">
        <v>0.74367608</v>
      </c>
      <c r="M46" s="18" t="n">
        <v>0</v>
      </c>
      <c r="N46" s="20" t="n">
        <v>0</v>
      </c>
      <c r="O46" s="18" t="n">
        <v>0</v>
      </c>
      <c r="P46" s="20" t="n">
        <v>0</v>
      </c>
      <c r="Q46" s="18" t="n">
        <v>5.20459123</v>
      </c>
      <c r="R46" s="20" t="n">
        <v>0.62664049</v>
      </c>
    </row>
    <row r="47" spans="1:18">
      <c r="A47" s="15" t="s">
        <v>470</v>
      </c>
      <c r="B47" s="17" t="n">
        <v>5928</v>
      </c>
      <c r="C47" s="18">
        <f>(5231.0/B47*100)</f>
        <v/>
      </c>
      <c r="D47" s="19" t="n">
        <v>697</v>
      </c>
      <c r="E47" s="18" t="n">
        <v>52.24112748</v>
      </c>
      <c r="F47" s="20" t="n">
        <v>1.98649807</v>
      </c>
      <c r="G47" s="18" t="n">
        <v>38.67595436</v>
      </c>
      <c r="H47" s="20" t="n">
        <v>2.11710259</v>
      </c>
      <c r="I47" s="18" t="n">
        <v>0</v>
      </c>
      <c r="J47" s="20" t="n">
        <v>0</v>
      </c>
      <c r="K47" s="18" t="n">
        <v>4.24778158</v>
      </c>
      <c r="L47" s="20" t="n">
        <v>0.76687105</v>
      </c>
      <c r="M47" s="18" t="n">
        <v>0</v>
      </c>
      <c r="N47" s="20" t="n">
        <v>0</v>
      </c>
      <c r="O47" s="18" t="n">
        <v>0</v>
      </c>
      <c r="P47" s="20" t="n">
        <v>0</v>
      </c>
      <c r="Q47" s="18" t="n">
        <v>4.83513658</v>
      </c>
      <c r="R47" s="20" t="n">
        <v>0.87580505</v>
      </c>
    </row>
    <row r="48" spans="1:18">
      <c r="A48" s="15" t="s">
        <v>471</v>
      </c>
      <c r="B48" s="17" t="n">
        <v>9841</v>
      </c>
      <c r="C48" s="18">
        <f>(8640.0/B48*100)</f>
        <v/>
      </c>
      <c r="D48" s="19" t="n">
        <v>1201</v>
      </c>
      <c r="E48" s="18" t="n">
        <v>33.81738588</v>
      </c>
      <c r="F48" s="20" t="n">
        <v>1.87538112</v>
      </c>
      <c r="G48" s="18" t="n">
        <v>61.86076959</v>
      </c>
      <c r="H48" s="20" t="n">
        <v>1.98939204</v>
      </c>
      <c r="I48" s="18" t="n">
        <v>0</v>
      </c>
      <c r="J48" s="20" t="n">
        <v>0</v>
      </c>
      <c r="K48" s="18" t="n">
        <v>2.7368844</v>
      </c>
      <c r="L48" s="20" t="n">
        <v>0.64217891</v>
      </c>
      <c r="M48" s="18" t="n">
        <v>0</v>
      </c>
      <c r="N48" s="20" t="n">
        <v>0</v>
      </c>
      <c r="O48" s="18" t="n">
        <v>0</v>
      </c>
      <c r="P48" s="20" t="n">
        <v>0</v>
      </c>
      <c r="Q48" s="18" t="n">
        <v>1.58496012</v>
      </c>
      <c r="R48" s="20" t="n">
        <v>0.36588254</v>
      </c>
    </row>
    <row r="49" spans="1:18">
      <c r="A49" s="15" t="s">
        <v>472</v>
      </c>
      <c r="B49" s="17" t="n">
        <v>11795</v>
      </c>
      <c r="C49" s="18">
        <f>(10384.0/B49*100)</f>
        <v/>
      </c>
      <c r="D49" s="19" t="n">
        <v>1411</v>
      </c>
      <c r="E49" s="18" t="n">
        <v>53.83987715</v>
      </c>
      <c r="F49" s="20" t="n">
        <v>1.86830198</v>
      </c>
      <c r="G49" s="18" t="n">
        <v>37.49181884</v>
      </c>
      <c r="H49" s="20" t="n">
        <v>1.96452252</v>
      </c>
      <c r="I49" s="18" t="n">
        <v>0</v>
      </c>
      <c r="J49" s="20" t="n">
        <v>0</v>
      </c>
      <c r="K49" s="18" t="n">
        <v>4.9772285</v>
      </c>
      <c r="L49" s="20" t="n">
        <v>0.7756068699999999</v>
      </c>
      <c r="M49" s="18" t="n">
        <v>0</v>
      </c>
      <c r="N49" s="20" t="n">
        <v>0</v>
      </c>
      <c r="O49" s="18" t="n">
        <v>0</v>
      </c>
      <c r="P49" s="20" t="n">
        <v>0</v>
      </c>
      <c r="Q49" s="18" t="n">
        <v>3.69107552</v>
      </c>
      <c r="R49" s="20" t="n">
        <v>0.79651059</v>
      </c>
    </row>
    <row r="50" spans="1:18">
      <c r="A50" s="15" t="s">
        <v>473</v>
      </c>
      <c r="B50" s="17" t="n">
        <v>6866</v>
      </c>
      <c r="C50" s="18">
        <f>(6157.0/B50*100)</f>
        <v/>
      </c>
      <c r="D50" s="19" t="n">
        <v>709</v>
      </c>
      <c r="E50" s="18" t="n">
        <v>51.14783404</v>
      </c>
      <c r="F50" s="20" t="n">
        <v>2.04082492</v>
      </c>
      <c r="G50" s="18" t="n">
        <v>42.84950331</v>
      </c>
      <c r="H50" s="20" t="n">
        <v>2.05255239</v>
      </c>
      <c r="I50" s="18" t="n">
        <v>0</v>
      </c>
      <c r="J50" s="20" t="n">
        <v>0</v>
      </c>
      <c r="K50" s="18" t="n">
        <v>3.02876673</v>
      </c>
      <c r="L50" s="20" t="n">
        <v>0.87178583</v>
      </c>
      <c r="M50" s="18" t="n">
        <v>0</v>
      </c>
      <c r="N50" s="20" t="n">
        <v>0</v>
      </c>
      <c r="O50" s="18" t="n">
        <v>0</v>
      </c>
      <c r="P50" s="20" t="n">
        <v>0</v>
      </c>
      <c r="Q50" s="18" t="n">
        <v>2.97389592</v>
      </c>
      <c r="R50" s="20" t="n">
        <v>0.72908041</v>
      </c>
    </row>
    <row r="51" spans="1:18">
      <c r="A51" s="15" t="s">
        <v>474</v>
      </c>
      <c r="B51" s="17" t="n">
        <v>5809</v>
      </c>
      <c r="C51" s="18">
        <f>(5103.0/B51*100)</f>
        <v/>
      </c>
      <c r="D51" s="19" t="n">
        <v>706</v>
      </c>
      <c r="E51" s="18" t="n">
        <v>34.23813891</v>
      </c>
      <c r="F51" s="20" t="n">
        <v>1.82420895</v>
      </c>
      <c r="G51" s="18" t="n">
        <v>59.26747434</v>
      </c>
      <c r="H51" s="20" t="n">
        <v>2.16183396</v>
      </c>
      <c r="I51" s="18" t="n">
        <v>0</v>
      </c>
      <c r="J51" s="20" t="n">
        <v>0</v>
      </c>
      <c r="K51" s="18" t="n">
        <v>2.39391376</v>
      </c>
      <c r="L51" s="20" t="n">
        <v>0.58154025</v>
      </c>
      <c r="M51" s="18" t="n">
        <v>0</v>
      </c>
      <c r="N51" s="20" t="n">
        <v>0</v>
      </c>
      <c r="O51" s="18" t="n">
        <v>0</v>
      </c>
      <c r="P51" s="20" t="n">
        <v>0</v>
      </c>
      <c r="Q51" s="18" t="n">
        <v>4.10047299</v>
      </c>
      <c r="R51" s="20" t="n">
        <v>0.64126761</v>
      </c>
    </row>
    <row r="52" spans="1:18">
      <c r="A52" s="15" t="s">
        <v>475</v>
      </c>
      <c r="B52" s="17" t="n">
        <v>5571</v>
      </c>
      <c r="C52" s="18">
        <f>(4910.0/B52*100)</f>
        <v/>
      </c>
      <c r="D52" s="19" t="n">
        <v>661</v>
      </c>
      <c r="E52" s="18" t="n">
        <v>53.39306341</v>
      </c>
      <c r="F52" s="20" t="n">
        <v>2.03171673</v>
      </c>
      <c r="G52" s="18" t="n">
        <v>37.30114377</v>
      </c>
      <c r="H52" s="20" t="n">
        <v>2.1189718</v>
      </c>
      <c r="I52" s="18" t="n">
        <v>0</v>
      </c>
      <c r="J52" s="20" t="n">
        <v>0</v>
      </c>
      <c r="K52" s="18" t="n">
        <v>4.61043068</v>
      </c>
      <c r="L52" s="20" t="n">
        <v>0.86510173</v>
      </c>
      <c r="M52" s="18" t="n">
        <v>0</v>
      </c>
      <c r="N52" s="20" t="n">
        <v>0</v>
      </c>
      <c r="O52" s="18" t="n">
        <v>0</v>
      </c>
      <c r="P52" s="20" t="n">
        <v>0</v>
      </c>
      <c r="Q52" s="18" t="n">
        <v>4.69536214</v>
      </c>
      <c r="R52" s="20" t="n">
        <v>0.85152571</v>
      </c>
    </row>
    <row r="53" spans="1:18">
      <c r="A53" s="15" t="s">
        <v>476</v>
      </c>
      <c r="B53" s="17" t="n">
        <v>4740</v>
      </c>
      <c r="C53" s="18">
        <f>(3981.0/B53*100)</f>
        <v/>
      </c>
      <c r="D53" s="19" t="n">
        <v>759</v>
      </c>
      <c r="E53" s="18" t="n">
        <v>51.51580847</v>
      </c>
      <c r="F53" s="20" t="n">
        <v>1.70653977</v>
      </c>
      <c r="G53" s="18" t="n">
        <v>18.01592398</v>
      </c>
      <c r="H53" s="20" t="n">
        <v>1.57872291</v>
      </c>
      <c r="I53" s="18" t="n">
        <v>0</v>
      </c>
      <c r="J53" s="20" t="n">
        <v>0</v>
      </c>
      <c r="K53" s="18" t="n">
        <v>25.15971248</v>
      </c>
      <c r="L53" s="20" t="n">
        <v>1.62274017</v>
      </c>
      <c r="M53" s="18" t="n">
        <v>0</v>
      </c>
      <c r="N53" s="20" t="n">
        <v>0</v>
      </c>
      <c r="O53" s="18" t="n">
        <v>0</v>
      </c>
      <c r="P53" s="20" t="n">
        <v>0</v>
      </c>
      <c r="Q53" s="18" t="n">
        <v>5.30855506</v>
      </c>
      <c r="R53" s="20" t="n">
        <v>0.90639753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(4707.0/B55*100)</f>
        <v/>
      </c>
      <c r="D55" s="19" t="n">
        <v>652</v>
      </c>
      <c r="E55" s="18" t="n">
        <v>19.18006992</v>
      </c>
      <c r="F55" s="20" t="n">
        <v>1.39682244</v>
      </c>
      <c r="G55" s="18" t="n">
        <v>79.63213067</v>
      </c>
      <c r="H55" s="20" t="n">
        <v>1.45117534</v>
      </c>
      <c r="I55" s="18" t="n">
        <v>0</v>
      </c>
      <c r="J55" s="20" t="n">
        <v>0</v>
      </c>
      <c r="K55" s="18" t="n">
        <v>0.91695203</v>
      </c>
      <c r="L55" s="20" t="n">
        <v>0.4213538</v>
      </c>
      <c r="M55" s="18" t="n">
        <v>0</v>
      </c>
      <c r="N55" s="20" t="n">
        <v>0</v>
      </c>
      <c r="O55" s="18" t="n">
        <v>0</v>
      </c>
      <c r="P55" s="20" t="n">
        <v>0</v>
      </c>
      <c r="Q55" s="18" t="n">
        <v>0.27084737</v>
      </c>
      <c r="R55" s="20" t="n">
        <v>0.19025883</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(5717.0/B61*100)</f>
        <v/>
      </c>
      <c r="D61" s="19" t="n">
        <v>808</v>
      </c>
      <c r="E61" s="18" t="n">
        <v>39.48137183</v>
      </c>
      <c r="F61" s="20" t="n">
        <v>2.00072264</v>
      </c>
      <c r="G61" s="18" t="n">
        <v>52.67419332</v>
      </c>
      <c r="H61" s="20" t="n">
        <v>2.29342227</v>
      </c>
      <c r="I61" s="18" t="n">
        <v>0</v>
      </c>
      <c r="J61" s="20" t="n">
        <v>0</v>
      </c>
      <c r="K61" s="18" t="n">
        <v>4.12490974</v>
      </c>
      <c r="L61" s="20" t="n">
        <v>0.83129236</v>
      </c>
      <c r="M61" s="18" t="n">
        <v>0</v>
      </c>
      <c r="N61" s="20" t="n">
        <v>0</v>
      </c>
      <c r="O61" s="18" t="n">
        <v>0</v>
      </c>
      <c r="P61" s="20" t="n">
        <v>0</v>
      </c>
      <c r="Q61" s="18" t="n">
        <v>3.71952511</v>
      </c>
      <c r="R61" s="20" t="n">
        <v>0.62495776</v>
      </c>
    </row>
    <row r="62" spans="1:18">
      <c r="A62" s="15" t="s">
        <v>486</v>
      </c>
      <c r="B62" s="17" t="n">
        <v>4476</v>
      </c>
      <c r="C62" s="18">
        <f>(3962.0/B62*100)</f>
        <v/>
      </c>
      <c r="D62" s="19" t="n">
        <v>514</v>
      </c>
      <c r="E62" s="18" t="n">
        <v>21.80705459</v>
      </c>
      <c r="F62" s="20" t="n">
        <v>1.65971568</v>
      </c>
      <c r="G62" s="18" t="n">
        <v>77.99975283000001</v>
      </c>
      <c r="H62" s="20" t="n">
        <v>1.67434928</v>
      </c>
      <c r="I62" s="18" t="n">
        <v>0</v>
      </c>
      <c r="J62" s="20" t="n">
        <v>0</v>
      </c>
      <c r="K62" s="18" t="n">
        <v>0.19319258</v>
      </c>
      <c r="L62" s="20" t="n">
        <v>0.19487828</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(5002.0/B67*100)</f>
        <v/>
      </c>
      <c r="D67" s="19" t="n">
        <v>663</v>
      </c>
      <c r="E67" s="18" t="n">
        <v>54.22990132</v>
      </c>
      <c r="F67" s="20" t="n">
        <v>2.04472983</v>
      </c>
      <c r="G67" s="18" t="n">
        <v>30.92808689</v>
      </c>
      <c r="H67" s="20" t="n">
        <v>1.92825264</v>
      </c>
      <c r="I67" s="18" t="n">
        <v>0</v>
      </c>
      <c r="J67" s="20" t="n">
        <v>0</v>
      </c>
      <c r="K67" s="18" t="n">
        <v>5.71463505</v>
      </c>
      <c r="L67" s="20" t="n">
        <v>0.93347118</v>
      </c>
      <c r="M67" s="18" t="n">
        <v>0</v>
      </c>
      <c r="N67" s="20" t="n">
        <v>0</v>
      </c>
      <c r="O67" s="18" t="n">
        <v>0</v>
      </c>
      <c r="P67" s="20" t="n">
        <v>0</v>
      </c>
      <c r="Q67" s="18" t="n">
        <v>9.127376740000001</v>
      </c>
      <c r="R67" s="20" t="n">
        <v>1.26214085</v>
      </c>
    </row>
    <row r="68" spans="1:18">
      <c r="A68" s="15" t="s">
        <v>492</v>
      </c>
      <c r="B68" s="17" t="n">
        <v>6971</v>
      </c>
      <c r="C68" s="18">
        <f>(6294.0/B68*100)</f>
        <v/>
      </c>
      <c r="D68" s="19" t="n">
        <v>677</v>
      </c>
      <c r="E68" s="18" t="n">
        <v>57.615534</v>
      </c>
      <c r="F68" s="20" t="n">
        <v>2.15645484</v>
      </c>
      <c r="G68" s="18" t="n">
        <v>36.12570555</v>
      </c>
      <c r="H68" s="20" t="n">
        <v>2.08467084</v>
      </c>
      <c r="I68" s="18" t="n">
        <v>0</v>
      </c>
      <c r="J68" s="20" t="n">
        <v>0</v>
      </c>
      <c r="K68" s="18" t="n">
        <v>3.05990375</v>
      </c>
      <c r="L68" s="20" t="n">
        <v>0.57367185</v>
      </c>
      <c r="M68" s="18" t="n">
        <v>0</v>
      </c>
      <c r="N68" s="20" t="n">
        <v>0</v>
      </c>
      <c r="O68" s="18" t="n">
        <v>0</v>
      </c>
      <c r="P68" s="20" t="n">
        <v>0</v>
      </c>
      <c r="Q68" s="18" t="n">
        <v>3.1988567</v>
      </c>
      <c r="R68" s="20" t="n">
        <v>0.6750648</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(10072.0/B70*100)</f>
        <v/>
      </c>
      <c r="D70" s="19" t="n">
        <v>2011</v>
      </c>
      <c r="E70" s="18" t="n">
        <v>50.14497068</v>
      </c>
      <c r="F70" s="20" t="n">
        <v>1.18344657</v>
      </c>
      <c r="G70" s="18" t="n">
        <v>36.0980853</v>
      </c>
      <c r="H70" s="20" t="n">
        <v>1.12414502</v>
      </c>
      <c r="I70" s="18" t="n">
        <v>0</v>
      </c>
      <c r="J70" s="20" t="n">
        <v>0</v>
      </c>
      <c r="K70" s="18" t="n">
        <v>10.33094851</v>
      </c>
      <c r="L70" s="20" t="n">
        <v>0.7427114</v>
      </c>
      <c r="M70" s="18" t="n">
        <v>0</v>
      </c>
      <c r="N70" s="20" t="n">
        <v>0</v>
      </c>
      <c r="O70" s="18" t="n">
        <v>0</v>
      </c>
      <c r="P70" s="20" t="n">
        <v>0</v>
      </c>
      <c r="Q70" s="18" t="n">
        <v>3.42599551</v>
      </c>
      <c r="R70" s="20" t="n">
        <v>0.41972323</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(5354.0/B72*100)</f>
        <v/>
      </c>
      <c r="D72" s="19" t="n">
        <v>682</v>
      </c>
      <c r="E72" s="18" t="n">
        <v>36.05825793</v>
      </c>
      <c r="F72" s="20" t="n">
        <v>1.95654262</v>
      </c>
      <c r="G72" s="18" t="n">
        <v>57.08538114</v>
      </c>
      <c r="H72" s="20" t="n">
        <v>2.34160715</v>
      </c>
      <c r="I72" s="18" t="n">
        <v>0</v>
      </c>
      <c r="J72" s="20" t="n">
        <v>0</v>
      </c>
      <c r="K72" s="18" t="n">
        <v>2.50059651</v>
      </c>
      <c r="L72" s="20" t="n">
        <v>0.59447684</v>
      </c>
      <c r="M72" s="18" t="n">
        <v>0</v>
      </c>
      <c r="N72" s="20" t="n">
        <v>0</v>
      </c>
      <c r="O72" s="18" t="n">
        <v>0</v>
      </c>
      <c r="P72" s="20" t="n">
        <v>0</v>
      </c>
      <c r="Q72" s="18" t="n">
        <v>4.35576442</v>
      </c>
      <c r="R72" s="20" t="n">
        <v>1.30203525</v>
      </c>
    </row>
    <row r="73" spans="1:18">
      <c r="A73" s="15" t="s">
        <v>497</v>
      </c>
      <c r="B73" s="17" t="n">
        <v>6115</v>
      </c>
      <c r="C73" s="18">
        <f>(5379.0/B73*100)</f>
        <v/>
      </c>
      <c r="D73" s="19" t="n">
        <v>736</v>
      </c>
      <c r="E73" s="18" t="n">
        <v>21.09702788</v>
      </c>
      <c r="F73" s="20" t="n">
        <v>1.57064399</v>
      </c>
      <c r="G73" s="18" t="n">
        <v>76.91896788</v>
      </c>
      <c r="H73" s="20" t="n">
        <v>1.63965258</v>
      </c>
      <c r="I73" s="18" t="n">
        <v>0</v>
      </c>
      <c r="J73" s="20" t="n">
        <v>0</v>
      </c>
      <c r="K73" s="18" t="n">
        <v>1.38526586</v>
      </c>
      <c r="L73" s="20" t="n">
        <v>0.36464404</v>
      </c>
      <c r="M73" s="18" t="n">
        <v>0</v>
      </c>
      <c r="N73" s="20" t="n">
        <v>0</v>
      </c>
      <c r="O73" s="18" t="n">
        <v>0</v>
      </c>
      <c r="P73" s="20" t="n">
        <v>0</v>
      </c>
      <c r="Q73" s="18" t="n">
        <v>0.59873838</v>
      </c>
      <c r="R73" s="20" t="n">
        <v>0.2833195</v>
      </c>
    </row>
    <row r="74" spans="1:18">
      <c r="A74" s="15" t="s">
        <v>498</v>
      </c>
      <c r="B74" s="17" t="n">
        <v>7708</v>
      </c>
      <c r="C74" s="18">
        <f>(6750.0/B74*100)</f>
        <v/>
      </c>
      <c r="D74" s="19" t="n">
        <v>958</v>
      </c>
      <c r="E74" s="18" t="n">
        <v>23.86964723</v>
      </c>
      <c r="F74" s="20" t="n">
        <v>1.26700092</v>
      </c>
      <c r="G74" s="18" t="n">
        <v>75.10799625999999</v>
      </c>
      <c r="H74" s="20" t="n">
        <v>1.24739878</v>
      </c>
      <c r="I74" s="18" t="n">
        <v>0</v>
      </c>
      <c r="J74" s="20" t="n">
        <v>0</v>
      </c>
      <c r="K74" s="18" t="n">
        <v>0.76891901</v>
      </c>
      <c r="L74" s="20" t="n">
        <v>0.25470069</v>
      </c>
      <c r="M74" s="18" t="n">
        <v>0</v>
      </c>
      <c r="N74" s="20" t="n">
        <v>0</v>
      </c>
      <c r="O74" s="18" t="n">
        <v>0</v>
      </c>
      <c r="P74" s="20" t="n">
        <v>0</v>
      </c>
      <c r="Q74" s="18" t="n">
        <v>0.25343751</v>
      </c>
      <c r="R74" s="20" t="n">
        <v>0.15950394</v>
      </c>
    </row>
    <row r="75" spans="1:18">
      <c r="A75" s="15" t="s">
        <v>499</v>
      </c>
      <c r="B75" s="17" t="n">
        <v>8249</v>
      </c>
      <c r="C75" s="18">
        <f>(7300.0/B75*100)</f>
        <v/>
      </c>
      <c r="D75" s="19" t="n">
        <v>949</v>
      </c>
      <c r="E75" s="18" t="n">
        <v>68.40644313</v>
      </c>
      <c r="F75" s="20" t="n">
        <v>2.20379304</v>
      </c>
      <c r="G75" s="18" t="n">
        <v>28.7882733</v>
      </c>
      <c r="H75" s="20" t="n">
        <v>2.1461207</v>
      </c>
      <c r="I75" s="18" t="n">
        <v>0</v>
      </c>
      <c r="J75" s="20" t="n">
        <v>0</v>
      </c>
      <c r="K75" s="18" t="n">
        <v>0.73372201</v>
      </c>
      <c r="L75" s="20" t="n">
        <v>0.32505054</v>
      </c>
      <c r="M75" s="18" t="n">
        <v>0</v>
      </c>
      <c r="N75" s="20" t="n">
        <v>0</v>
      </c>
      <c r="O75" s="18" t="n">
        <v>0</v>
      </c>
      <c r="P75" s="20" t="n">
        <v>0</v>
      </c>
      <c r="Q75" s="18" t="n">
        <v>2.07156156</v>
      </c>
      <c r="R75" s="20" t="n">
        <v>0.61616903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(4815.0/B77*100)</f>
        <v/>
      </c>
      <c r="D77" s="19" t="n">
        <v>560</v>
      </c>
      <c r="E77" s="18" t="n">
        <v>66.34937354</v>
      </c>
      <c r="F77" s="20" t="n">
        <v>2.14907426</v>
      </c>
      <c r="G77" s="18" t="n">
        <v>16.64046222</v>
      </c>
      <c r="H77" s="20" t="n">
        <v>1.6267844</v>
      </c>
      <c r="I77" s="18" t="n">
        <v>0</v>
      </c>
      <c r="J77" s="20" t="n">
        <v>0</v>
      </c>
      <c r="K77" s="18" t="n">
        <v>11.03640877</v>
      </c>
      <c r="L77" s="20" t="n">
        <v>1.34964693</v>
      </c>
      <c r="M77" s="18" t="n">
        <v>0</v>
      </c>
      <c r="N77" s="20" t="n">
        <v>0</v>
      </c>
      <c r="O77" s="18" t="n">
        <v>0</v>
      </c>
      <c r="P77" s="20" t="n">
        <v>0</v>
      </c>
      <c r="Q77" s="18" t="n">
        <v>5.97375547</v>
      </c>
      <c r="R77" s="20" t="n">
        <v>1.09081065</v>
      </c>
    </row>
    <row r="78" spans="1:18">
      <c r="A78" s="15" t="s">
        <v>502</v>
      </c>
      <c r="B78" s="17" t="n">
        <v>14167</v>
      </c>
      <c r="C78" s="18">
        <f>(12488.0/B78*100)</f>
        <v/>
      </c>
      <c r="D78" s="19" t="n">
        <v>1679</v>
      </c>
      <c r="E78" s="18" t="n">
        <v>49.2245885</v>
      </c>
      <c r="F78" s="20" t="n">
        <v>1.64321997</v>
      </c>
      <c r="G78" s="18" t="n">
        <v>45.04967099</v>
      </c>
      <c r="H78" s="20" t="n">
        <v>1.77265048</v>
      </c>
      <c r="I78" s="18" t="n">
        <v>0</v>
      </c>
      <c r="J78" s="20" t="n">
        <v>0</v>
      </c>
      <c r="K78" s="18" t="n">
        <v>3.2986584</v>
      </c>
      <c r="L78" s="20" t="n">
        <v>0.5489034699999999</v>
      </c>
      <c r="M78" s="18" t="n">
        <v>0</v>
      </c>
      <c r="N78" s="20" t="n">
        <v>0</v>
      </c>
      <c r="O78" s="18" t="n">
        <v>0</v>
      </c>
      <c r="P78" s="20" t="n">
        <v>0</v>
      </c>
      <c r="Q78" s="18" t="n">
        <v>2.42708211</v>
      </c>
      <c r="R78" s="20" t="n">
        <v>0.52126392</v>
      </c>
    </row>
    <row r="79" spans="1:18">
      <c r="A79" s="15" t="s">
        <v>503</v>
      </c>
      <c r="B79" s="17" t="n">
        <v>6062</v>
      </c>
      <c r="C79" s="18">
        <f>(5368.0/B79*100)</f>
        <v/>
      </c>
      <c r="D79" s="19" t="n">
        <v>694</v>
      </c>
      <c r="E79" s="18" t="n">
        <v>39.8955899</v>
      </c>
      <c r="F79" s="20" t="n">
        <v>1.91071155</v>
      </c>
      <c r="G79" s="18" t="n">
        <v>45.27030585</v>
      </c>
      <c r="H79" s="20" t="n">
        <v>2.07461718</v>
      </c>
      <c r="I79" s="18" t="n">
        <v>0</v>
      </c>
      <c r="J79" s="20" t="n">
        <v>0</v>
      </c>
      <c r="K79" s="18" t="n">
        <v>9.34996035</v>
      </c>
      <c r="L79" s="20" t="n">
        <v>1.43272126</v>
      </c>
      <c r="M79" s="18" t="n">
        <v>0</v>
      </c>
      <c r="N79" s="20" t="n">
        <v>0</v>
      </c>
      <c r="O79" s="18" t="n">
        <v>0</v>
      </c>
      <c r="P79" s="20" t="n">
        <v>0</v>
      </c>
      <c r="Q79" s="18" t="n">
        <v>5.48414389</v>
      </c>
      <c r="R79" s="20" t="n">
        <v>0.76798279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(28472.0/B82*100)</f>
        <v/>
      </c>
      <c r="D82" s="19" t="n">
        <v>3858</v>
      </c>
      <c r="E82" s="18" t="n">
        <v>37.28004426</v>
      </c>
      <c r="F82" s="20" t="n">
        <v>1.224119</v>
      </c>
      <c r="G82" s="18" t="n">
        <v>57.90276414</v>
      </c>
      <c r="H82" s="20" t="n">
        <v>1.23768868</v>
      </c>
      <c r="I82" s="18" t="n">
        <v>0</v>
      </c>
      <c r="J82" s="20" t="n">
        <v>0</v>
      </c>
      <c r="K82" s="18" t="n">
        <v>2.16601523</v>
      </c>
      <c r="L82" s="20" t="n">
        <v>0.32222017</v>
      </c>
      <c r="M82" s="18" t="n">
        <v>0</v>
      </c>
      <c r="N82" s="20" t="n">
        <v>0</v>
      </c>
      <c r="O82" s="18" t="n">
        <v>0</v>
      </c>
      <c r="P82" s="20" t="n">
        <v>0</v>
      </c>
      <c r="Q82" s="18" t="n">
        <v>2.65117638</v>
      </c>
      <c r="R82" s="20" t="n">
        <v>0.41266428</v>
      </c>
    </row>
    <row r="83" spans="1:18">
      <c r="A83" s="15" t="s">
        <v>507</v>
      </c>
      <c r="B83" s="17" t="n">
        <v>1652</v>
      </c>
      <c r="C83" s="18">
        <f>(1463.0/B83*100)</f>
        <v/>
      </c>
      <c r="D83" s="19" t="n">
        <v>189</v>
      </c>
      <c r="E83" s="18" t="n">
        <v>30.67376414</v>
      </c>
      <c r="F83" s="20" t="n">
        <v>3.74697344</v>
      </c>
      <c r="G83" s="18" t="n">
        <v>67.48143494999999</v>
      </c>
      <c r="H83" s="20" t="n">
        <v>3.77987729</v>
      </c>
      <c r="I83" s="18" t="n">
        <v>0</v>
      </c>
      <c r="J83" s="20" t="n">
        <v>0</v>
      </c>
      <c r="K83" s="18" t="n">
        <v>0.91281752</v>
      </c>
      <c r="L83" s="20" t="n">
        <v>0.63605126</v>
      </c>
      <c r="M83" s="18" t="n">
        <v>0</v>
      </c>
      <c r="N83" s="20" t="n">
        <v>0</v>
      </c>
      <c r="O83" s="18" t="n">
        <v>0</v>
      </c>
      <c r="P83" s="20" t="n">
        <v>0</v>
      </c>
      <c r="Q83" s="18" t="n">
        <v>0.93198339</v>
      </c>
      <c r="R83" s="20" t="n">
        <v>0.66660478</v>
      </c>
    </row>
    <row r="84" spans="1:18">
      <c r="A84" s="23" t="s">
        <v>508</v>
      </c>
      <c r="B84" s="24" t="n">
        <v>1887</v>
      </c>
      <c r="C84" s="25">
        <f>(1664.0/B84*100)</f>
        <v/>
      </c>
      <c r="D84" s="19" t="n">
        <v>223</v>
      </c>
      <c r="E84" s="18" t="n">
        <v>43.5979076</v>
      </c>
      <c r="F84" s="20" t="n">
        <v>3.92906822</v>
      </c>
      <c r="G84" s="18" t="n">
        <v>53.73838682</v>
      </c>
      <c r="H84" s="20" t="n">
        <v>4.34785485</v>
      </c>
      <c r="I84" s="18" t="n">
        <v>0</v>
      </c>
      <c r="J84" s="20" t="n">
        <v>0</v>
      </c>
      <c r="K84" s="18" t="n">
        <v>1.28528375</v>
      </c>
      <c r="L84" s="20" t="n">
        <v>0.74587547</v>
      </c>
      <c r="M84" s="18" t="n">
        <v>0</v>
      </c>
      <c r="N84" s="20" t="n">
        <v>0</v>
      </c>
      <c r="O84" s="18" t="n">
        <v>0</v>
      </c>
      <c r="P84" s="20" t="n">
        <v>0</v>
      </c>
      <c r="Q84" s="18" t="n">
        <v>1.37842183</v>
      </c>
      <c r="R84" s="20" t="n">
        <v>0.80315489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549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(12854.0/B7*100)</f>
        <v/>
      </c>
      <c r="D7" s="19" t="n">
        <v>1676</v>
      </c>
      <c r="E7" s="18" t="n">
        <v>49.47625564</v>
      </c>
      <c r="F7" s="20" t="n">
        <v>1.51930833</v>
      </c>
      <c r="G7" s="18" t="n">
        <v>44.24581276</v>
      </c>
      <c r="H7" s="20" t="n">
        <v>1.49125917</v>
      </c>
      <c r="I7" s="18" t="n">
        <v>0</v>
      </c>
      <c r="J7" s="20" t="n">
        <v>0</v>
      </c>
      <c r="K7" s="18" t="n">
        <v>4.83331434</v>
      </c>
      <c r="L7" s="20" t="n">
        <v>0.58064986</v>
      </c>
      <c r="M7" s="18" t="n">
        <v>0</v>
      </c>
      <c r="N7" s="20" t="n">
        <v>0</v>
      </c>
      <c r="O7" s="18" t="n">
        <v>0</v>
      </c>
      <c r="P7" s="20" t="n">
        <v>0</v>
      </c>
      <c r="Q7" s="18" t="n">
        <v>1.44461725</v>
      </c>
      <c r="R7" s="20" t="n">
        <v>0.34550185</v>
      </c>
    </row>
    <row r="8" spans="1:18">
      <c r="A8" s="15" t="s">
        <v>430</v>
      </c>
      <c r="B8" s="17" t="n">
        <v>7007</v>
      </c>
      <c r="C8" s="18">
        <f>(6190.0/B8*100)</f>
        <v/>
      </c>
      <c r="D8" s="19" t="n">
        <v>817</v>
      </c>
      <c r="E8" s="18" t="n">
        <v>59.2303402</v>
      </c>
      <c r="F8" s="20" t="n">
        <v>1.81763022</v>
      </c>
      <c r="G8" s="18" t="n">
        <v>35.59983891</v>
      </c>
      <c r="H8" s="20" t="n">
        <v>1.81095044</v>
      </c>
      <c r="I8" s="18" t="n">
        <v>0</v>
      </c>
      <c r="J8" s="20" t="n">
        <v>0</v>
      </c>
      <c r="K8" s="18" t="n">
        <v>3.74808687</v>
      </c>
      <c r="L8" s="20" t="n">
        <v>0.76502941</v>
      </c>
      <c r="M8" s="18" t="n">
        <v>0</v>
      </c>
      <c r="N8" s="20" t="n">
        <v>0</v>
      </c>
      <c r="O8" s="18" t="n">
        <v>0</v>
      </c>
      <c r="P8" s="20" t="n">
        <v>0</v>
      </c>
      <c r="Q8" s="18" t="n">
        <v>1.42173402</v>
      </c>
      <c r="R8" s="20" t="n">
        <v>0.42282163</v>
      </c>
    </row>
    <row r="9" spans="1:18">
      <c r="A9" s="15" t="s">
        <v>431</v>
      </c>
      <c r="B9" s="17" t="n">
        <v>9651</v>
      </c>
      <c r="C9" s="18">
        <f>(8561.0/B9*100)</f>
        <v/>
      </c>
      <c r="D9" s="19" t="n">
        <v>1090</v>
      </c>
      <c r="E9" s="18" t="n">
        <v>47.93756495</v>
      </c>
      <c r="F9" s="20" t="n">
        <v>1.48030236</v>
      </c>
      <c r="G9" s="18" t="n">
        <v>47.60137946</v>
      </c>
      <c r="H9" s="20" t="n">
        <v>1.54966765</v>
      </c>
      <c r="I9" s="18" t="n">
        <v>0</v>
      </c>
      <c r="J9" s="20" t="n">
        <v>0</v>
      </c>
      <c r="K9" s="18" t="n">
        <v>3.43222309</v>
      </c>
      <c r="L9" s="20" t="n">
        <v>0.71600981</v>
      </c>
      <c r="M9" s="18" t="n">
        <v>0</v>
      </c>
      <c r="N9" s="20" t="n">
        <v>0</v>
      </c>
      <c r="O9" s="18" t="n">
        <v>0</v>
      </c>
      <c r="P9" s="20" t="n">
        <v>0</v>
      </c>
      <c r="Q9" s="18" t="n">
        <v>1.0288325</v>
      </c>
      <c r="R9" s="20" t="n">
        <v>0.3197264</v>
      </c>
    </row>
    <row r="10" spans="1:18">
      <c r="A10" s="15" t="s">
        <v>432</v>
      </c>
      <c r="B10" s="17" t="n">
        <v>20058</v>
      </c>
      <c r="C10" s="18">
        <f>(17648.0/B10*100)</f>
        <v/>
      </c>
      <c r="D10" s="19" t="n">
        <v>2410</v>
      </c>
      <c r="E10" s="18" t="n">
        <v>53.11987277</v>
      </c>
      <c r="F10" s="20" t="n">
        <v>1.2979142</v>
      </c>
      <c r="G10" s="18" t="n">
        <v>43.64167028</v>
      </c>
      <c r="H10" s="20" t="n">
        <v>1.31569195</v>
      </c>
      <c r="I10" s="18" t="n">
        <v>0</v>
      </c>
      <c r="J10" s="20" t="n">
        <v>0</v>
      </c>
      <c r="K10" s="18" t="n">
        <v>2.50098084</v>
      </c>
      <c r="L10" s="20" t="n">
        <v>0.41433237</v>
      </c>
      <c r="M10" s="18" t="n">
        <v>0</v>
      </c>
      <c r="N10" s="20" t="n">
        <v>0</v>
      </c>
      <c r="O10" s="18" t="n">
        <v>0</v>
      </c>
      <c r="P10" s="20" t="n">
        <v>0</v>
      </c>
      <c r="Q10" s="18" t="n">
        <v>0.73747611</v>
      </c>
      <c r="R10" s="20" t="n">
        <v>0.22470911</v>
      </c>
    </row>
    <row r="11" spans="1:18">
      <c r="A11" s="15" t="s">
        <v>433</v>
      </c>
      <c r="B11" s="17" t="n">
        <v>7053</v>
      </c>
      <c r="C11" s="18">
        <f>(6217.0/B11*100)</f>
        <v/>
      </c>
      <c r="D11" s="19" t="n">
        <v>836</v>
      </c>
      <c r="E11" s="18" t="n">
        <v>57.96650476</v>
      </c>
      <c r="F11" s="20" t="n">
        <v>1.99712338</v>
      </c>
      <c r="G11" s="18" t="n">
        <v>34.06879537</v>
      </c>
      <c r="H11" s="20" t="n">
        <v>2.04622547</v>
      </c>
      <c r="I11" s="18" t="n">
        <v>0</v>
      </c>
      <c r="J11" s="20" t="n">
        <v>0</v>
      </c>
      <c r="K11" s="18" t="n">
        <v>5.65957315</v>
      </c>
      <c r="L11" s="20" t="n">
        <v>0.98942162</v>
      </c>
      <c r="M11" s="18" t="n">
        <v>0</v>
      </c>
      <c r="N11" s="20" t="n">
        <v>0</v>
      </c>
      <c r="O11" s="18" t="n">
        <v>0</v>
      </c>
      <c r="P11" s="20" t="n">
        <v>0</v>
      </c>
      <c r="Q11" s="18" t="n">
        <v>2.30512673</v>
      </c>
      <c r="R11" s="20" t="n">
        <v>0.56023298</v>
      </c>
    </row>
    <row r="12" spans="1:18">
      <c r="A12" s="15" t="s">
        <v>434</v>
      </c>
      <c r="B12" s="17" t="n">
        <v>6894</v>
      </c>
      <c r="C12" s="18">
        <f>(6068.0/B12*100)</f>
        <v/>
      </c>
      <c r="D12" s="19" t="n">
        <v>826</v>
      </c>
      <c r="E12" s="18" t="n">
        <v>44.6733752</v>
      </c>
      <c r="F12" s="20" t="n">
        <v>1.79850317</v>
      </c>
      <c r="G12" s="18" t="n">
        <v>48.45824877</v>
      </c>
      <c r="H12" s="20" t="n">
        <v>2.08614606</v>
      </c>
      <c r="I12" s="18" t="n">
        <v>0</v>
      </c>
      <c r="J12" s="20" t="n">
        <v>0</v>
      </c>
      <c r="K12" s="18" t="n">
        <v>4.75911529</v>
      </c>
      <c r="L12" s="20" t="n">
        <v>0.8440172</v>
      </c>
      <c r="M12" s="18" t="n">
        <v>0</v>
      </c>
      <c r="N12" s="20" t="n">
        <v>0</v>
      </c>
      <c r="O12" s="18" t="n">
        <v>0</v>
      </c>
      <c r="P12" s="20" t="n">
        <v>0</v>
      </c>
      <c r="Q12" s="18" t="n">
        <v>2.10926075</v>
      </c>
      <c r="R12" s="20" t="n">
        <v>0.5346657</v>
      </c>
    </row>
    <row r="13" spans="1:18">
      <c r="A13" s="15" t="s">
        <v>435</v>
      </c>
      <c r="B13" s="17" t="n">
        <v>7161</v>
      </c>
      <c r="C13" s="18">
        <f>(6348.0/B13*100)</f>
        <v/>
      </c>
      <c r="D13" s="19" t="n">
        <v>813</v>
      </c>
      <c r="E13" s="18" t="n">
        <v>44.58148004</v>
      </c>
      <c r="F13" s="20" t="n">
        <v>1.90114792</v>
      </c>
      <c r="G13" s="18" t="n">
        <v>50.94413696</v>
      </c>
      <c r="H13" s="20" t="n">
        <v>1.85130764</v>
      </c>
      <c r="I13" s="18" t="n">
        <v>0</v>
      </c>
      <c r="J13" s="20" t="n">
        <v>0</v>
      </c>
      <c r="K13" s="18" t="n">
        <v>3.37397503</v>
      </c>
      <c r="L13" s="20" t="n">
        <v>0.82650175</v>
      </c>
      <c r="M13" s="18" t="n">
        <v>0</v>
      </c>
      <c r="N13" s="20" t="n">
        <v>0</v>
      </c>
      <c r="O13" s="18" t="n">
        <v>0</v>
      </c>
      <c r="P13" s="20" t="n">
        <v>0</v>
      </c>
      <c r="Q13" s="18" t="n">
        <v>1.10040796</v>
      </c>
      <c r="R13" s="20" t="n">
        <v>0.41216323</v>
      </c>
    </row>
    <row r="14" spans="1:18">
      <c r="A14" s="15" t="s">
        <v>436</v>
      </c>
      <c r="B14" s="17" t="n">
        <v>5587</v>
      </c>
      <c r="C14" s="18">
        <f>(4927.0/B14*100)</f>
        <v/>
      </c>
      <c r="D14" s="19" t="n">
        <v>660</v>
      </c>
      <c r="E14" s="18" t="n">
        <v>59.49542163</v>
      </c>
      <c r="F14" s="20" t="n">
        <v>1.98865426</v>
      </c>
      <c r="G14" s="18" t="n">
        <v>38.28447988</v>
      </c>
      <c r="H14" s="20" t="n">
        <v>2.0208588</v>
      </c>
      <c r="I14" s="18" t="n">
        <v>0</v>
      </c>
      <c r="J14" s="20" t="n">
        <v>0</v>
      </c>
      <c r="K14" s="18" t="n">
        <v>1.65667379</v>
      </c>
      <c r="L14" s="20" t="n">
        <v>0.52113559</v>
      </c>
      <c r="M14" s="18" t="n">
        <v>0</v>
      </c>
      <c r="N14" s="20" t="n">
        <v>0</v>
      </c>
      <c r="O14" s="18" t="n">
        <v>0</v>
      </c>
      <c r="P14" s="20" t="n">
        <v>0</v>
      </c>
      <c r="Q14" s="18" t="n">
        <v>0.5634247100000001</v>
      </c>
      <c r="R14" s="20" t="n">
        <v>0.36220357</v>
      </c>
    </row>
    <row r="15" spans="1:18">
      <c r="A15" s="15" t="s">
        <v>437</v>
      </c>
      <c r="B15" s="17" t="n">
        <v>5882</v>
      </c>
      <c r="C15" s="18">
        <f>(5159.0/B15*100)</f>
        <v/>
      </c>
      <c r="D15" s="19" t="n">
        <v>723</v>
      </c>
      <c r="E15" s="18" t="n">
        <v>56.22371831</v>
      </c>
      <c r="F15" s="20" t="n">
        <v>1.91650326</v>
      </c>
      <c r="G15" s="18" t="n">
        <v>38.74386292</v>
      </c>
      <c r="H15" s="20" t="n">
        <v>1.98561993</v>
      </c>
      <c r="I15" s="18" t="n">
        <v>0</v>
      </c>
      <c r="J15" s="20" t="n">
        <v>0</v>
      </c>
      <c r="K15" s="18" t="n">
        <v>3.82650643</v>
      </c>
      <c r="L15" s="20" t="n">
        <v>0.7179116</v>
      </c>
      <c r="M15" s="18" t="n">
        <v>0</v>
      </c>
      <c r="N15" s="20" t="n">
        <v>0</v>
      </c>
      <c r="O15" s="18" t="n">
        <v>0</v>
      </c>
      <c r="P15" s="20" t="n">
        <v>0</v>
      </c>
      <c r="Q15" s="18" t="n">
        <v>1.20591233</v>
      </c>
      <c r="R15" s="20" t="n">
        <v>0.35943568</v>
      </c>
    </row>
    <row r="16" spans="1:18">
      <c r="A16" s="15" t="s">
        <v>438</v>
      </c>
      <c r="B16" s="17" t="n">
        <v>6108</v>
      </c>
      <c r="C16" s="18">
        <f>(5361.0/B16*100)</f>
        <v/>
      </c>
      <c r="D16" s="19" t="n">
        <v>747</v>
      </c>
      <c r="E16" s="18" t="n">
        <v>46.79760945</v>
      </c>
      <c r="F16" s="20" t="n">
        <v>1.68146046</v>
      </c>
      <c r="G16" s="18" t="n">
        <v>44.54741116</v>
      </c>
      <c r="H16" s="20" t="n">
        <v>1.72085651</v>
      </c>
      <c r="I16" s="18" t="n">
        <v>0</v>
      </c>
      <c r="J16" s="20" t="n">
        <v>0</v>
      </c>
      <c r="K16" s="18" t="n">
        <v>6.21214447</v>
      </c>
      <c r="L16" s="20" t="n">
        <v>0.8872577</v>
      </c>
      <c r="M16" s="18" t="n">
        <v>0</v>
      </c>
      <c r="N16" s="20" t="n">
        <v>0</v>
      </c>
      <c r="O16" s="18" t="n">
        <v>0</v>
      </c>
      <c r="P16" s="20" t="n">
        <v>0</v>
      </c>
      <c r="Q16" s="18" t="n">
        <v>2.44283492</v>
      </c>
      <c r="R16" s="20" t="n">
        <v>0.50501748</v>
      </c>
    </row>
    <row r="17" spans="1:18">
      <c r="A17" s="15" t="s">
        <v>439</v>
      </c>
      <c r="B17" s="17" t="n">
        <v>6504</v>
      </c>
      <c r="C17" s="18">
        <f>(5748.0/B17*100)</f>
        <v/>
      </c>
      <c r="D17" s="19" t="n">
        <v>756</v>
      </c>
      <c r="E17" s="18" t="n">
        <v>68.937928</v>
      </c>
      <c r="F17" s="20" t="n">
        <v>1.7761663</v>
      </c>
      <c r="G17" s="18" t="n">
        <v>24.12828053</v>
      </c>
      <c r="H17" s="20" t="n">
        <v>1.71008526</v>
      </c>
      <c r="I17" s="18" t="n">
        <v>0</v>
      </c>
      <c r="J17" s="20" t="n">
        <v>0</v>
      </c>
      <c r="K17" s="18" t="n">
        <v>4.82318682</v>
      </c>
      <c r="L17" s="20" t="n">
        <v>0.85354642</v>
      </c>
      <c r="M17" s="18" t="n">
        <v>0</v>
      </c>
      <c r="N17" s="20" t="n">
        <v>0</v>
      </c>
      <c r="O17" s="18" t="n">
        <v>0</v>
      </c>
      <c r="P17" s="20" t="n">
        <v>0</v>
      </c>
      <c r="Q17" s="18" t="n">
        <v>2.11060465</v>
      </c>
      <c r="R17" s="20" t="n">
        <v>0.61077654</v>
      </c>
    </row>
    <row r="18" spans="1:18">
      <c r="A18" s="15" t="s">
        <v>440</v>
      </c>
      <c r="B18" s="17" t="n">
        <v>5532</v>
      </c>
      <c r="C18" s="18">
        <f>(4853.0/B18*100)</f>
        <v/>
      </c>
      <c r="D18" s="19" t="n">
        <v>679</v>
      </c>
      <c r="E18" s="18" t="n">
        <v>55.6814037</v>
      </c>
      <c r="F18" s="20" t="n">
        <v>1.99998678</v>
      </c>
      <c r="G18" s="18" t="n">
        <v>35.89154591</v>
      </c>
      <c r="H18" s="20" t="n">
        <v>1.99900123</v>
      </c>
      <c r="I18" s="18" t="n">
        <v>0</v>
      </c>
      <c r="J18" s="20" t="n">
        <v>0</v>
      </c>
      <c r="K18" s="18" t="n">
        <v>6.63521941</v>
      </c>
      <c r="L18" s="20" t="n">
        <v>0.95759934</v>
      </c>
      <c r="M18" s="18" t="n">
        <v>0</v>
      </c>
      <c r="N18" s="20" t="n">
        <v>0</v>
      </c>
      <c r="O18" s="18" t="n">
        <v>0</v>
      </c>
      <c r="P18" s="20" t="n">
        <v>0</v>
      </c>
      <c r="Q18" s="18" t="n">
        <v>1.79183097</v>
      </c>
      <c r="R18" s="20" t="n">
        <v>0.53272463</v>
      </c>
    </row>
    <row r="19" spans="1:18">
      <c r="A19" s="15" t="s">
        <v>441</v>
      </c>
      <c r="B19" s="17" t="n">
        <v>5658</v>
      </c>
      <c r="C19" s="18">
        <f>(4972.0/B19*100)</f>
        <v/>
      </c>
      <c r="D19" s="19" t="n">
        <v>686</v>
      </c>
      <c r="E19" s="18" t="n">
        <v>54.19560442</v>
      </c>
      <c r="F19" s="20" t="n">
        <v>2.01502577</v>
      </c>
      <c r="G19" s="18" t="n">
        <v>39.36956015</v>
      </c>
      <c r="H19" s="20" t="n">
        <v>1.88487776</v>
      </c>
      <c r="I19" s="18" t="n">
        <v>0</v>
      </c>
      <c r="J19" s="20" t="n">
        <v>0</v>
      </c>
      <c r="K19" s="18" t="n">
        <v>3.95033164</v>
      </c>
      <c r="L19" s="20" t="n">
        <v>0.99281403</v>
      </c>
      <c r="M19" s="18" t="n">
        <v>0</v>
      </c>
      <c r="N19" s="20" t="n">
        <v>0</v>
      </c>
      <c r="O19" s="18" t="n">
        <v>0</v>
      </c>
      <c r="P19" s="20" t="n">
        <v>0</v>
      </c>
      <c r="Q19" s="18" t="n">
        <v>2.48450378</v>
      </c>
      <c r="R19" s="20" t="n">
        <v>0.79769272</v>
      </c>
    </row>
    <row r="20" spans="1:18">
      <c r="A20" s="15" t="s">
        <v>442</v>
      </c>
      <c r="B20" s="17" t="n">
        <v>3371</v>
      </c>
      <c r="C20" s="18">
        <f>(2964.0/B20*100)</f>
        <v/>
      </c>
      <c r="D20" s="19" t="n">
        <v>407</v>
      </c>
      <c r="E20" s="18" t="n">
        <v>57.17138962</v>
      </c>
      <c r="F20" s="20" t="n">
        <v>2.43801245</v>
      </c>
      <c r="G20" s="18" t="n">
        <v>35.07194164</v>
      </c>
      <c r="H20" s="20" t="n">
        <v>2.25640936</v>
      </c>
      <c r="I20" s="18" t="n">
        <v>0</v>
      </c>
      <c r="J20" s="20" t="n">
        <v>0</v>
      </c>
      <c r="K20" s="18" t="n">
        <v>5.34496571</v>
      </c>
      <c r="L20" s="20" t="n">
        <v>0.9662915399999999</v>
      </c>
      <c r="M20" s="18" t="n">
        <v>0</v>
      </c>
      <c r="N20" s="20" t="n">
        <v>0</v>
      </c>
      <c r="O20" s="18" t="n">
        <v>0</v>
      </c>
      <c r="P20" s="20" t="n">
        <v>0</v>
      </c>
      <c r="Q20" s="18" t="n">
        <v>2.41170303</v>
      </c>
      <c r="R20" s="20" t="n">
        <v>0.76059981</v>
      </c>
    </row>
    <row r="21" spans="1:18">
      <c r="A21" s="15" t="s">
        <v>443</v>
      </c>
      <c r="B21" s="17" t="n">
        <v>5741</v>
      </c>
      <c r="C21" s="18">
        <f>(4824.0/B21*100)</f>
        <v/>
      </c>
      <c r="D21" s="19" t="n">
        <v>917</v>
      </c>
      <c r="E21" s="18" t="n">
        <v>51.14821072</v>
      </c>
      <c r="F21" s="20" t="n">
        <v>1.61206121</v>
      </c>
      <c r="G21" s="18" t="n">
        <v>44.70590339</v>
      </c>
      <c r="H21" s="20" t="n">
        <v>1.57093957</v>
      </c>
      <c r="I21" s="18" t="n">
        <v>0</v>
      </c>
      <c r="J21" s="20" t="n">
        <v>0</v>
      </c>
      <c r="K21" s="18" t="n">
        <v>3.8136705</v>
      </c>
      <c r="L21" s="20" t="n">
        <v>0.54970876</v>
      </c>
      <c r="M21" s="18" t="n">
        <v>0</v>
      </c>
      <c r="N21" s="20" t="n">
        <v>0</v>
      </c>
      <c r="O21" s="18" t="n">
        <v>0</v>
      </c>
      <c r="P21" s="20" t="n">
        <v>0</v>
      </c>
      <c r="Q21" s="18" t="n">
        <v>0.3322154</v>
      </c>
      <c r="R21" s="20" t="n">
        <v>0.16697748</v>
      </c>
    </row>
    <row r="22" spans="1:18">
      <c r="A22" s="15" t="s">
        <v>444</v>
      </c>
      <c r="B22" s="17" t="n">
        <v>6598</v>
      </c>
      <c r="C22" s="18">
        <f>(5814.0/B22*100)</f>
        <v/>
      </c>
      <c r="D22" s="19" t="n">
        <v>784</v>
      </c>
      <c r="E22" s="18" t="n">
        <v>59.2276681</v>
      </c>
      <c r="F22" s="20" t="n">
        <v>2.3216781</v>
      </c>
      <c r="G22" s="18" t="n">
        <v>33.76050967</v>
      </c>
      <c r="H22" s="20" t="n">
        <v>2.01261277</v>
      </c>
      <c r="I22" s="18" t="n">
        <v>0</v>
      </c>
      <c r="J22" s="20" t="n">
        <v>0</v>
      </c>
      <c r="K22" s="18" t="n">
        <v>4.84865523</v>
      </c>
      <c r="L22" s="20" t="n">
        <v>0.76419327</v>
      </c>
      <c r="M22" s="18" t="n">
        <v>0</v>
      </c>
      <c r="N22" s="20" t="n">
        <v>0</v>
      </c>
      <c r="O22" s="18" t="n">
        <v>0</v>
      </c>
      <c r="P22" s="20" t="n">
        <v>0</v>
      </c>
      <c r="Q22" s="18" t="n">
        <v>2.163167</v>
      </c>
      <c r="R22" s="20" t="n">
        <v>0.74158473</v>
      </c>
    </row>
    <row r="23" spans="1:18">
      <c r="A23" s="15" t="s">
        <v>445</v>
      </c>
      <c r="B23" s="17" t="n">
        <v>11583</v>
      </c>
      <c r="C23" s="18">
        <f>(10192.0/B23*100)</f>
        <v/>
      </c>
      <c r="D23" s="19" t="n">
        <v>1391</v>
      </c>
      <c r="E23" s="18" t="n">
        <v>51.83831395</v>
      </c>
      <c r="F23" s="20" t="n">
        <v>1.77181438</v>
      </c>
      <c r="G23" s="18" t="n">
        <v>41.42022941</v>
      </c>
      <c r="H23" s="20" t="n">
        <v>1.85407451</v>
      </c>
      <c r="I23" s="18" t="n">
        <v>0</v>
      </c>
      <c r="J23" s="20" t="n">
        <v>0</v>
      </c>
      <c r="K23" s="18" t="n">
        <v>5.18068882</v>
      </c>
      <c r="L23" s="20" t="n">
        <v>0.94752739</v>
      </c>
      <c r="M23" s="18" t="n">
        <v>0</v>
      </c>
      <c r="N23" s="20" t="n">
        <v>0</v>
      </c>
      <c r="O23" s="18" t="n">
        <v>0</v>
      </c>
      <c r="P23" s="20" t="n">
        <v>0</v>
      </c>
      <c r="Q23" s="18" t="n">
        <v>1.56076782</v>
      </c>
      <c r="R23" s="20" t="n">
        <v>0.47126795</v>
      </c>
    </row>
    <row r="24" spans="1:18">
      <c r="A24" s="15" t="s">
        <v>446</v>
      </c>
      <c r="B24" s="17" t="n">
        <v>6647</v>
      </c>
      <c r="C24" s="18">
        <f>(5902.0/B24*100)</f>
        <v/>
      </c>
      <c r="D24" s="19" t="n">
        <v>745</v>
      </c>
      <c r="E24" s="18" t="n">
        <v>59.27821777</v>
      </c>
      <c r="F24" s="20" t="n">
        <v>1.75719637</v>
      </c>
      <c r="G24" s="18" t="n">
        <v>34.26504779</v>
      </c>
      <c r="H24" s="20" t="n">
        <v>1.7037243</v>
      </c>
      <c r="I24" s="18" t="n">
        <v>0</v>
      </c>
      <c r="J24" s="20" t="n">
        <v>0</v>
      </c>
      <c r="K24" s="18" t="n">
        <v>5.22201234</v>
      </c>
      <c r="L24" s="20" t="n">
        <v>0.80871708</v>
      </c>
      <c r="M24" s="18" t="n">
        <v>0</v>
      </c>
      <c r="N24" s="20" t="n">
        <v>0</v>
      </c>
      <c r="O24" s="18" t="n">
        <v>0</v>
      </c>
      <c r="P24" s="20" t="n">
        <v>0</v>
      </c>
      <c r="Q24" s="18" t="n">
        <v>1.2347221</v>
      </c>
      <c r="R24" s="20" t="n">
        <v>0.4050694</v>
      </c>
    </row>
    <row r="25" spans="1:18">
      <c r="A25" s="15" t="s">
        <v>447</v>
      </c>
      <c r="B25" s="17" t="n">
        <v>5581</v>
      </c>
      <c r="C25" s="18">
        <f>(4896.0/B25*100)</f>
        <v/>
      </c>
      <c r="D25" s="19" t="n">
        <v>685</v>
      </c>
      <c r="E25" s="18" t="n">
        <v>49.26383463</v>
      </c>
      <c r="F25" s="20" t="n">
        <v>1.9956582</v>
      </c>
      <c r="G25" s="18" t="n">
        <v>48.14464746</v>
      </c>
      <c r="H25" s="20" t="n">
        <v>1.91732084</v>
      </c>
      <c r="I25" s="18" t="n">
        <v>0</v>
      </c>
      <c r="J25" s="20" t="n">
        <v>0</v>
      </c>
      <c r="K25" s="18" t="n">
        <v>2.03132515</v>
      </c>
      <c r="L25" s="20" t="n">
        <v>0.53451989</v>
      </c>
      <c r="M25" s="18" t="n">
        <v>0</v>
      </c>
      <c r="N25" s="20" t="n">
        <v>0</v>
      </c>
      <c r="O25" s="18" t="n">
        <v>0</v>
      </c>
      <c r="P25" s="20" t="n">
        <v>0</v>
      </c>
      <c r="Q25" s="18" t="n">
        <v>0.56019275</v>
      </c>
      <c r="R25" s="20" t="n">
        <v>0.28096143</v>
      </c>
    </row>
    <row r="26" spans="1:18">
      <c r="A26" s="15" t="s">
        <v>448</v>
      </c>
      <c r="B26" s="17" t="n">
        <v>4869</v>
      </c>
      <c r="C26" s="18">
        <f>(4295.0/B26*100)</f>
        <v/>
      </c>
      <c r="D26" s="19" t="n">
        <v>574</v>
      </c>
      <c r="E26" s="18" t="n">
        <v>54.07122851</v>
      </c>
      <c r="F26" s="20" t="n">
        <v>2.38878555</v>
      </c>
      <c r="G26" s="18" t="n">
        <v>41.67455913</v>
      </c>
      <c r="H26" s="20" t="n">
        <v>2.33635854</v>
      </c>
      <c r="I26" s="18" t="n">
        <v>0</v>
      </c>
      <c r="J26" s="20" t="n">
        <v>0</v>
      </c>
      <c r="K26" s="18" t="n">
        <v>2.54132641</v>
      </c>
      <c r="L26" s="20" t="n">
        <v>0.61250685</v>
      </c>
      <c r="M26" s="18" t="n">
        <v>0</v>
      </c>
      <c r="N26" s="20" t="n">
        <v>0</v>
      </c>
      <c r="O26" s="18" t="n">
        <v>0</v>
      </c>
      <c r="P26" s="20" t="n">
        <v>0</v>
      </c>
      <c r="Q26" s="18" t="n">
        <v>1.71288595</v>
      </c>
      <c r="R26" s="20" t="n">
        <v>0.52164148</v>
      </c>
    </row>
    <row r="27" spans="1:18">
      <c r="A27" s="15" t="s">
        <v>449</v>
      </c>
      <c r="B27" s="17" t="n">
        <v>5299</v>
      </c>
      <c r="C27" s="18">
        <f>(4699.0/B27*100)</f>
        <v/>
      </c>
      <c r="D27" s="19" t="n">
        <v>600</v>
      </c>
      <c r="E27" s="18" t="n">
        <v>70.21477886</v>
      </c>
      <c r="F27" s="20" t="n">
        <v>2.01453674</v>
      </c>
      <c r="G27" s="18" t="n">
        <v>24.57979159</v>
      </c>
      <c r="H27" s="20" t="n">
        <v>1.85838862</v>
      </c>
      <c r="I27" s="18" t="n">
        <v>0</v>
      </c>
      <c r="J27" s="20" t="n">
        <v>0</v>
      </c>
      <c r="K27" s="18" t="n">
        <v>3.04703394</v>
      </c>
      <c r="L27" s="20" t="n">
        <v>0.66646935</v>
      </c>
      <c r="M27" s="18" t="n">
        <v>0</v>
      </c>
      <c r="N27" s="20" t="n">
        <v>0</v>
      </c>
      <c r="O27" s="18" t="n">
        <v>0</v>
      </c>
      <c r="P27" s="20" t="n">
        <v>0</v>
      </c>
      <c r="Q27" s="18" t="n">
        <v>2.15839561</v>
      </c>
      <c r="R27" s="20" t="n">
        <v>0.63750644</v>
      </c>
    </row>
    <row r="28" spans="1:18">
      <c r="A28" s="15" t="s">
        <v>450</v>
      </c>
      <c r="B28" s="17" t="n">
        <v>7568</v>
      </c>
      <c r="C28" s="18">
        <f>(6741.0/B28*100)</f>
        <v/>
      </c>
      <c r="D28" s="19" t="n">
        <v>827</v>
      </c>
      <c r="E28" s="18" t="n">
        <v>65.99244661</v>
      </c>
      <c r="F28" s="20" t="n">
        <v>1.84027272</v>
      </c>
      <c r="G28" s="18" t="n">
        <v>31.45887177</v>
      </c>
      <c r="H28" s="20" t="n">
        <v>1.76916509</v>
      </c>
      <c r="I28" s="18" t="n">
        <v>0</v>
      </c>
      <c r="J28" s="20" t="n">
        <v>0</v>
      </c>
      <c r="K28" s="18" t="n">
        <v>1.60098449</v>
      </c>
      <c r="L28" s="20" t="n">
        <v>0.56825319</v>
      </c>
      <c r="M28" s="18" t="n">
        <v>0</v>
      </c>
      <c r="N28" s="20" t="n">
        <v>0</v>
      </c>
      <c r="O28" s="18" t="n">
        <v>0</v>
      </c>
      <c r="P28" s="20" t="n">
        <v>0</v>
      </c>
      <c r="Q28" s="18" t="n">
        <v>0.94769714</v>
      </c>
      <c r="R28" s="20" t="n">
        <v>0.32211006</v>
      </c>
    </row>
    <row r="29" spans="1:18">
      <c r="A29" s="15" t="s">
        <v>451</v>
      </c>
      <c r="B29" s="17" t="n">
        <v>5385</v>
      </c>
      <c r="C29" s="18">
        <f>(4742.0/B29*100)</f>
        <v/>
      </c>
      <c r="D29" s="19" t="n">
        <v>643</v>
      </c>
      <c r="E29" s="18" t="n">
        <v>60.43533787</v>
      </c>
      <c r="F29" s="20" t="n">
        <v>2.15121986</v>
      </c>
      <c r="G29" s="18" t="n">
        <v>38.13345215</v>
      </c>
      <c r="H29" s="20" t="n">
        <v>2.140739</v>
      </c>
      <c r="I29" s="18" t="n">
        <v>0</v>
      </c>
      <c r="J29" s="20" t="n">
        <v>0</v>
      </c>
      <c r="K29" s="18" t="n">
        <v>1.08998946</v>
      </c>
      <c r="L29" s="20" t="n">
        <v>0.32173033</v>
      </c>
      <c r="M29" s="18" t="n">
        <v>0</v>
      </c>
      <c r="N29" s="20" t="n">
        <v>0</v>
      </c>
      <c r="O29" s="18" t="n">
        <v>0</v>
      </c>
      <c r="P29" s="20" t="n">
        <v>0</v>
      </c>
      <c r="Q29" s="18" t="n">
        <v>0.34122052</v>
      </c>
      <c r="R29" s="20" t="n">
        <v>0.23531302</v>
      </c>
    </row>
    <row r="30" spans="1:18">
      <c r="A30" s="15" t="s">
        <v>452</v>
      </c>
      <c r="B30" s="17" t="n">
        <v>4520</v>
      </c>
      <c r="C30" s="18">
        <f>(3978.0/B30*100)</f>
        <v/>
      </c>
      <c r="D30" s="19" t="n">
        <v>542</v>
      </c>
      <c r="E30" s="18" t="n">
        <v>51.32303064</v>
      </c>
      <c r="F30" s="20" t="n">
        <v>2.23066815</v>
      </c>
      <c r="G30" s="18" t="n">
        <v>42.5474961</v>
      </c>
      <c r="H30" s="20" t="n">
        <v>2.42581039</v>
      </c>
      <c r="I30" s="18" t="n">
        <v>0</v>
      </c>
      <c r="J30" s="20" t="n">
        <v>0</v>
      </c>
      <c r="K30" s="18" t="n">
        <v>4.62045876</v>
      </c>
      <c r="L30" s="20" t="n">
        <v>0.9050511999999999</v>
      </c>
      <c r="M30" s="18" t="n">
        <v>0</v>
      </c>
      <c r="N30" s="20" t="n">
        <v>0</v>
      </c>
      <c r="O30" s="18" t="n">
        <v>0</v>
      </c>
      <c r="P30" s="20" t="n">
        <v>0</v>
      </c>
      <c r="Q30" s="18" t="n">
        <v>1.50901449</v>
      </c>
      <c r="R30" s="20" t="n">
        <v>0.49909266</v>
      </c>
    </row>
    <row r="31" spans="1:18">
      <c r="A31" s="15" t="s">
        <v>453</v>
      </c>
      <c r="B31" s="17" t="n">
        <v>5456</v>
      </c>
      <c r="C31" s="18">
        <f>(4806.0/B31*100)</f>
        <v/>
      </c>
      <c r="D31" s="19" t="n">
        <v>650</v>
      </c>
      <c r="E31" s="18" t="n">
        <v>56.56859851</v>
      </c>
      <c r="F31" s="20" t="n">
        <v>2.01183112</v>
      </c>
      <c r="G31" s="18" t="n">
        <v>32.89335619</v>
      </c>
      <c r="H31" s="20" t="n">
        <v>1.77715286</v>
      </c>
      <c r="I31" s="18" t="n">
        <v>0</v>
      </c>
      <c r="J31" s="20" t="n">
        <v>0</v>
      </c>
      <c r="K31" s="18" t="n">
        <v>8.305830739999999</v>
      </c>
      <c r="L31" s="20" t="n">
        <v>1.05389624</v>
      </c>
      <c r="M31" s="18" t="n">
        <v>0</v>
      </c>
      <c r="N31" s="20" t="n">
        <v>0</v>
      </c>
      <c r="O31" s="18" t="n">
        <v>0</v>
      </c>
      <c r="P31" s="20" t="n">
        <v>0</v>
      </c>
      <c r="Q31" s="18" t="n">
        <v>2.23221456</v>
      </c>
      <c r="R31" s="20" t="n">
        <v>0.6212153</v>
      </c>
    </row>
    <row r="32" spans="1:18">
      <c r="A32" s="15" t="s">
        <v>454</v>
      </c>
      <c r="B32" s="17" t="n">
        <v>4478</v>
      </c>
      <c r="C32" s="18">
        <f>(3783.0/B32*100)</f>
        <v/>
      </c>
      <c r="D32" s="19" t="n">
        <v>695</v>
      </c>
      <c r="E32" s="18" t="n">
        <v>48.68439464</v>
      </c>
      <c r="F32" s="20" t="n">
        <v>1.89815515</v>
      </c>
      <c r="G32" s="18" t="n">
        <v>46.25728463</v>
      </c>
      <c r="H32" s="20" t="n">
        <v>1.93303492</v>
      </c>
      <c r="I32" s="18" t="n">
        <v>0</v>
      </c>
      <c r="J32" s="20" t="n">
        <v>0</v>
      </c>
      <c r="K32" s="18" t="n">
        <v>3.24352705</v>
      </c>
      <c r="L32" s="20" t="n">
        <v>0.74250791</v>
      </c>
      <c r="M32" s="18" t="n">
        <v>0</v>
      </c>
      <c r="N32" s="20" t="n">
        <v>0</v>
      </c>
      <c r="O32" s="18" t="n">
        <v>0</v>
      </c>
      <c r="P32" s="20" t="n">
        <v>0</v>
      </c>
      <c r="Q32" s="18" t="n">
        <v>1.81479367</v>
      </c>
      <c r="R32" s="20" t="n">
        <v>0.55634087</v>
      </c>
    </row>
    <row r="33" spans="1:18">
      <c r="A33" s="15" t="s">
        <v>455</v>
      </c>
      <c r="B33" s="17" t="n">
        <v>7325</v>
      </c>
      <c r="C33" s="18">
        <f>(6477.0/B33*100)</f>
        <v/>
      </c>
      <c r="D33" s="19" t="n">
        <v>848</v>
      </c>
      <c r="E33" s="18" t="n">
        <v>49.84562558</v>
      </c>
      <c r="F33" s="20" t="n">
        <v>2.10719367</v>
      </c>
      <c r="G33" s="18" t="n">
        <v>47.96827786</v>
      </c>
      <c r="H33" s="20" t="n">
        <v>2.09387242</v>
      </c>
      <c r="I33" s="18" t="n">
        <v>0</v>
      </c>
      <c r="J33" s="20" t="n">
        <v>0</v>
      </c>
      <c r="K33" s="18" t="n">
        <v>1.64910709</v>
      </c>
      <c r="L33" s="20" t="n">
        <v>0.48674754</v>
      </c>
      <c r="M33" s="18" t="n">
        <v>0</v>
      </c>
      <c r="N33" s="20" t="n">
        <v>0</v>
      </c>
      <c r="O33" s="18" t="n">
        <v>0</v>
      </c>
      <c r="P33" s="20" t="n">
        <v>0</v>
      </c>
      <c r="Q33" s="18" t="n">
        <v>0.53698947</v>
      </c>
      <c r="R33" s="20" t="n">
        <v>0.29203533</v>
      </c>
    </row>
    <row r="34" spans="1:18">
      <c r="A34" s="15" t="s">
        <v>456</v>
      </c>
      <c r="B34" s="17" t="n">
        <v>6350</v>
      </c>
      <c r="C34" s="18">
        <f>(5599.0/B34*100)</f>
        <v/>
      </c>
      <c r="D34" s="19" t="n">
        <v>751</v>
      </c>
      <c r="E34" s="18" t="n">
        <v>52.06599045</v>
      </c>
      <c r="F34" s="20" t="n">
        <v>1.88099706</v>
      </c>
      <c r="G34" s="18" t="n">
        <v>42.87185336</v>
      </c>
      <c r="H34" s="20" t="n">
        <v>1.88478961</v>
      </c>
      <c r="I34" s="18" t="n">
        <v>0</v>
      </c>
      <c r="J34" s="20" t="n">
        <v>0</v>
      </c>
      <c r="K34" s="18" t="n">
        <v>3.35989905</v>
      </c>
      <c r="L34" s="20" t="n">
        <v>0.62659353</v>
      </c>
      <c r="M34" s="18" t="n">
        <v>0</v>
      </c>
      <c r="N34" s="20" t="n">
        <v>0</v>
      </c>
      <c r="O34" s="18" t="n">
        <v>0</v>
      </c>
      <c r="P34" s="20" t="n">
        <v>0</v>
      </c>
      <c r="Q34" s="18" t="n">
        <v>1.70225715</v>
      </c>
      <c r="R34" s="20" t="n">
        <v>0.5617831599999999</v>
      </c>
    </row>
    <row r="35" spans="1:18">
      <c r="A35" s="15" t="s">
        <v>457</v>
      </c>
      <c r="B35" s="17" t="n">
        <v>6406</v>
      </c>
      <c r="C35" s="18">
        <f>(5646.0/B35*100)</f>
        <v/>
      </c>
      <c r="D35" s="19" t="n">
        <v>760</v>
      </c>
      <c r="E35" s="18" t="n">
        <v>44.28626902</v>
      </c>
      <c r="F35" s="20" t="n">
        <v>2.13953143</v>
      </c>
      <c r="G35" s="18" t="n">
        <v>49.85629511</v>
      </c>
      <c r="H35" s="20" t="n">
        <v>2.18328124</v>
      </c>
      <c r="I35" s="18" t="n">
        <v>0</v>
      </c>
      <c r="J35" s="20" t="n">
        <v>0</v>
      </c>
      <c r="K35" s="18" t="n">
        <v>3.31602007</v>
      </c>
      <c r="L35" s="20" t="n">
        <v>0.76924305</v>
      </c>
      <c r="M35" s="18" t="n">
        <v>0</v>
      </c>
      <c r="N35" s="20" t="n">
        <v>0</v>
      </c>
      <c r="O35" s="18" t="n">
        <v>0</v>
      </c>
      <c r="P35" s="20" t="n">
        <v>0</v>
      </c>
      <c r="Q35" s="18" t="n">
        <v>2.5414158</v>
      </c>
      <c r="R35" s="20" t="n">
        <v>0.63194777</v>
      </c>
    </row>
    <row r="36" spans="1:18">
      <c r="A36" s="15" t="s">
        <v>458</v>
      </c>
      <c r="B36" s="17" t="n">
        <v>6736</v>
      </c>
      <c r="C36" s="18">
        <f>(5941.0/B36*100)</f>
        <v/>
      </c>
      <c r="D36" s="19" t="n">
        <v>795</v>
      </c>
      <c r="E36" s="18" t="n">
        <v>62.57303726</v>
      </c>
      <c r="F36" s="20" t="n">
        <v>1.90510329</v>
      </c>
      <c r="G36" s="18" t="n">
        <v>33.67511742</v>
      </c>
      <c r="H36" s="20" t="n">
        <v>1.81627658</v>
      </c>
      <c r="I36" s="18" t="n">
        <v>0</v>
      </c>
      <c r="J36" s="20" t="n">
        <v>0</v>
      </c>
      <c r="K36" s="18" t="n">
        <v>2.15276533</v>
      </c>
      <c r="L36" s="20" t="n">
        <v>0.52526445</v>
      </c>
      <c r="M36" s="18" t="n">
        <v>0</v>
      </c>
      <c r="N36" s="20" t="n">
        <v>0</v>
      </c>
      <c r="O36" s="18" t="n">
        <v>0</v>
      </c>
      <c r="P36" s="20" t="n">
        <v>0</v>
      </c>
      <c r="Q36" s="18" t="n">
        <v>1.59907999</v>
      </c>
      <c r="R36" s="20" t="n">
        <v>0.45210033</v>
      </c>
    </row>
    <row r="37" spans="1:18">
      <c r="A37" s="15" t="s">
        <v>459</v>
      </c>
      <c r="B37" s="17" t="n">
        <v>5458</v>
      </c>
      <c r="C37" s="18">
        <f>(4797.0/B37*100)</f>
        <v/>
      </c>
      <c r="D37" s="19" t="n">
        <v>661</v>
      </c>
      <c r="E37" s="18" t="n">
        <v>53.60829632</v>
      </c>
      <c r="F37" s="20" t="n">
        <v>1.75475586</v>
      </c>
      <c r="G37" s="18" t="n">
        <v>36.01324943</v>
      </c>
      <c r="H37" s="20" t="n">
        <v>1.59516929</v>
      </c>
      <c r="I37" s="18" t="n">
        <v>0</v>
      </c>
      <c r="J37" s="20" t="n">
        <v>0</v>
      </c>
      <c r="K37" s="18" t="n">
        <v>6.37277597</v>
      </c>
      <c r="L37" s="20" t="n">
        <v>1.1146157</v>
      </c>
      <c r="M37" s="18" t="n">
        <v>0</v>
      </c>
      <c r="N37" s="20" t="n">
        <v>0</v>
      </c>
      <c r="O37" s="18" t="n">
        <v>0</v>
      </c>
      <c r="P37" s="20" t="n">
        <v>0</v>
      </c>
      <c r="Q37" s="18" t="n">
        <v>4.00567827</v>
      </c>
      <c r="R37" s="20" t="n">
        <v>0.8057706</v>
      </c>
    </row>
    <row r="38" spans="1:18">
      <c r="A38" s="15" t="s">
        <v>460</v>
      </c>
      <c r="B38" s="17" t="n">
        <v>5860</v>
      </c>
      <c r="C38" s="18">
        <f>(4980.0/B38*100)</f>
        <v/>
      </c>
      <c r="D38" s="19" t="n">
        <v>880</v>
      </c>
      <c r="E38" s="18" t="n">
        <v>55.26973939</v>
      </c>
      <c r="F38" s="20" t="n">
        <v>1.96191236</v>
      </c>
      <c r="G38" s="18" t="n">
        <v>38.50834998</v>
      </c>
      <c r="H38" s="20" t="n">
        <v>1.97821898</v>
      </c>
      <c r="I38" s="18" t="n">
        <v>0</v>
      </c>
      <c r="J38" s="20" t="n">
        <v>0</v>
      </c>
      <c r="K38" s="18" t="n">
        <v>4.08322606</v>
      </c>
      <c r="L38" s="20" t="n">
        <v>0.68729198</v>
      </c>
      <c r="M38" s="18" t="n">
        <v>0</v>
      </c>
      <c r="N38" s="20" t="n">
        <v>0</v>
      </c>
      <c r="O38" s="18" t="n">
        <v>0</v>
      </c>
      <c r="P38" s="20" t="n">
        <v>0</v>
      </c>
      <c r="Q38" s="18" t="n">
        <v>2.13868457</v>
      </c>
      <c r="R38" s="20" t="n">
        <v>0.45966884</v>
      </c>
    </row>
    <row r="39" spans="1:18">
      <c r="A39" s="15" t="s">
        <v>461</v>
      </c>
      <c r="B39" s="17" t="n">
        <v>5895</v>
      </c>
      <c r="C39" s="18">
        <f>(5180.0/B39*100)</f>
        <v/>
      </c>
      <c r="D39" s="19" t="n">
        <v>715</v>
      </c>
      <c r="E39" s="18" t="n">
        <v>56.59641796</v>
      </c>
      <c r="F39" s="20" t="n">
        <v>2.00774167</v>
      </c>
      <c r="G39" s="18" t="n">
        <v>38.66627821</v>
      </c>
      <c r="H39" s="20" t="n">
        <v>2.12737088</v>
      </c>
      <c r="I39" s="18" t="n">
        <v>0</v>
      </c>
      <c r="J39" s="20" t="n">
        <v>0</v>
      </c>
      <c r="K39" s="18" t="n">
        <v>3.10493765</v>
      </c>
      <c r="L39" s="20" t="n">
        <v>0.7137087</v>
      </c>
      <c r="M39" s="18" t="n">
        <v>0</v>
      </c>
      <c r="N39" s="20" t="n">
        <v>0</v>
      </c>
      <c r="O39" s="18" t="n">
        <v>0</v>
      </c>
      <c r="P39" s="20" t="n">
        <v>0</v>
      </c>
      <c r="Q39" s="18" t="n">
        <v>1.63236619</v>
      </c>
      <c r="R39" s="20" t="n">
        <v>0.44771389</v>
      </c>
    </row>
    <row r="40" spans="1:18">
      <c r="A40" s="15" t="s">
        <v>462</v>
      </c>
      <c r="B40" s="17" t="n">
        <v>14157</v>
      </c>
      <c r="C40" s="18">
        <f>(12470.0/B40*100)</f>
        <v/>
      </c>
      <c r="D40" s="19" t="n">
        <v>1687</v>
      </c>
      <c r="E40" s="18" t="n">
        <v>53.57596601</v>
      </c>
      <c r="F40" s="20" t="n">
        <v>2.10102089</v>
      </c>
      <c r="G40" s="18" t="n">
        <v>41.23744517</v>
      </c>
      <c r="H40" s="20" t="n">
        <v>1.87676489</v>
      </c>
      <c r="I40" s="18" t="n">
        <v>0</v>
      </c>
      <c r="J40" s="20" t="n">
        <v>0</v>
      </c>
      <c r="K40" s="18" t="n">
        <v>4.03669108</v>
      </c>
      <c r="L40" s="20" t="n">
        <v>0.72775014</v>
      </c>
      <c r="M40" s="18" t="n">
        <v>0</v>
      </c>
      <c r="N40" s="20" t="n">
        <v>0</v>
      </c>
      <c r="O40" s="18" t="n">
        <v>0</v>
      </c>
      <c r="P40" s="20" t="n">
        <v>0</v>
      </c>
      <c r="Q40" s="18" t="n">
        <v>1.14989773</v>
      </c>
      <c r="R40" s="20" t="n">
        <v>0.41471557</v>
      </c>
    </row>
    <row r="41" spans="1:18">
      <c r="A41" s="15" t="s">
        <v>463</v>
      </c>
      <c r="B41" s="17" t="n">
        <v>5712</v>
      </c>
      <c r="C41" s="18">
        <f>(5069.0/B41*100)</f>
        <v/>
      </c>
      <c r="D41" s="19" t="n">
        <v>643</v>
      </c>
      <c r="E41" s="18" t="n">
        <v>55.27427344</v>
      </c>
      <c r="F41" s="20" t="n">
        <v>1.99725212</v>
      </c>
      <c r="G41" s="18" t="n">
        <v>42.6911096</v>
      </c>
      <c r="H41" s="20" t="n">
        <v>1.91088802</v>
      </c>
      <c r="I41" s="18" t="n">
        <v>0</v>
      </c>
      <c r="J41" s="20" t="n">
        <v>0</v>
      </c>
      <c r="K41" s="18" t="n">
        <v>1.62718751</v>
      </c>
      <c r="L41" s="20" t="n">
        <v>0.58691366</v>
      </c>
      <c r="M41" s="18" t="n">
        <v>0</v>
      </c>
      <c r="N41" s="20" t="n">
        <v>0</v>
      </c>
      <c r="O41" s="18" t="n">
        <v>0</v>
      </c>
      <c r="P41" s="20" t="n">
        <v>0</v>
      </c>
      <c r="Q41" s="18" t="n">
        <v>0.40742945</v>
      </c>
      <c r="R41" s="20" t="n">
        <v>0.23307864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(21146.0/B46*100)</f>
        <v/>
      </c>
      <c r="D46" s="19" t="n">
        <v>1995</v>
      </c>
      <c r="E46" s="18" t="n">
        <v>67.21015395000001</v>
      </c>
      <c r="F46" s="20" t="n">
        <v>1.50817702</v>
      </c>
      <c r="G46" s="18" t="n">
        <v>20.80862971</v>
      </c>
      <c r="H46" s="20" t="n">
        <v>1.31310697</v>
      </c>
      <c r="I46" s="18" t="n">
        <v>0</v>
      </c>
      <c r="J46" s="20" t="n">
        <v>0</v>
      </c>
      <c r="K46" s="18" t="n">
        <v>8.46517414</v>
      </c>
      <c r="L46" s="20" t="n">
        <v>0.87412965</v>
      </c>
      <c r="M46" s="18" t="n">
        <v>0</v>
      </c>
      <c r="N46" s="20" t="n">
        <v>0</v>
      </c>
      <c r="O46" s="18" t="n">
        <v>0</v>
      </c>
      <c r="P46" s="20" t="n">
        <v>0</v>
      </c>
      <c r="Q46" s="18" t="n">
        <v>3.5160422</v>
      </c>
      <c r="R46" s="20" t="n">
        <v>0.55534613</v>
      </c>
    </row>
    <row r="47" spans="1:18">
      <c r="A47" s="15" t="s">
        <v>470</v>
      </c>
      <c r="B47" s="17" t="n">
        <v>5928</v>
      </c>
      <c r="C47" s="18">
        <f>(5234.0/B47*100)</f>
        <v/>
      </c>
      <c r="D47" s="19" t="n">
        <v>694</v>
      </c>
      <c r="E47" s="18" t="n">
        <v>64.2838983</v>
      </c>
      <c r="F47" s="20" t="n">
        <v>1.86308662</v>
      </c>
      <c r="G47" s="18" t="n">
        <v>28.38178207</v>
      </c>
      <c r="H47" s="20" t="n">
        <v>1.70200003</v>
      </c>
      <c r="I47" s="18" t="n">
        <v>0</v>
      </c>
      <c r="J47" s="20" t="n">
        <v>0</v>
      </c>
      <c r="K47" s="18" t="n">
        <v>5.53336929</v>
      </c>
      <c r="L47" s="20" t="n">
        <v>0.8334762</v>
      </c>
      <c r="M47" s="18" t="n">
        <v>0</v>
      </c>
      <c r="N47" s="20" t="n">
        <v>0</v>
      </c>
      <c r="O47" s="18" t="n">
        <v>0</v>
      </c>
      <c r="P47" s="20" t="n">
        <v>0</v>
      </c>
      <c r="Q47" s="18" t="n">
        <v>1.80095035</v>
      </c>
      <c r="R47" s="20" t="n">
        <v>0.5747123</v>
      </c>
    </row>
    <row r="48" spans="1:18">
      <c r="A48" s="15" t="s">
        <v>471</v>
      </c>
      <c r="B48" s="17" t="n">
        <v>9841</v>
      </c>
      <c r="C48" s="18">
        <f>(8642.0/B48*100)</f>
        <v/>
      </c>
      <c r="D48" s="19" t="n">
        <v>1199</v>
      </c>
      <c r="E48" s="18" t="n">
        <v>64.80167253</v>
      </c>
      <c r="F48" s="20" t="n">
        <v>1.92643874</v>
      </c>
      <c r="G48" s="18" t="n">
        <v>31.65630526</v>
      </c>
      <c r="H48" s="20" t="n">
        <v>1.95292419</v>
      </c>
      <c r="I48" s="18" t="n">
        <v>0</v>
      </c>
      <c r="J48" s="20" t="n">
        <v>0</v>
      </c>
      <c r="K48" s="18" t="n">
        <v>2.98009331</v>
      </c>
      <c r="L48" s="20" t="n">
        <v>0.66024821</v>
      </c>
      <c r="M48" s="18" t="n">
        <v>0</v>
      </c>
      <c r="N48" s="20" t="n">
        <v>0</v>
      </c>
      <c r="O48" s="18" t="n">
        <v>0</v>
      </c>
      <c r="P48" s="20" t="n">
        <v>0</v>
      </c>
      <c r="Q48" s="18" t="n">
        <v>0.5619289</v>
      </c>
      <c r="R48" s="20" t="n">
        <v>0.26162094</v>
      </c>
    </row>
    <row r="49" spans="1:18">
      <c r="A49" s="15" t="s">
        <v>472</v>
      </c>
      <c r="B49" s="17" t="n">
        <v>11795</v>
      </c>
      <c r="C49" s="18">
        <f>(10390.0/B49*100)</f>
        <v/>
      </c>
      <c r="D49" s="19" t="n">
        <v>1405</v>
      </c>
      <c r="E49" s="18" t="n">
        <v>68.57511637</v>
      </c>
      <c r="F49" s="20" t="n">
        <v>1.76131358</v>
      </c>
      <c r="G49" s="18" t="n">
        <v>24.15501903</v>
      </c>
      <c r="H49" s="20" t="n">
        <v>1.53388322</v>
      </c>
      <c r="I49" s="18" t="n">
        <v>0</v>
      </c>
      <c r="J49" s="20" t="n">
        <v>0</v>
      </c>
      <c r="K49" s="18" t="n">
        <v>5.79162517</v>
      </c>
      <c r="L49" s="20" t="n">
        <v>0.8329559600000001</v>
      </c>
      <c r="M49" s="18" t="n">
        <v>0</v>
      </c>
      <c r="N49" s="20" t="n">
        <v>0</v>
      </c>
      <c r="O49" s="18" t="n">
        <v>0</v>
      </c>
      <c r="P49" s="20" t="n">
        <v>0</v>
      </c>
      <c r="Q49" s="18" t="n">
        <v>1.47823943</v>
      </c>
      <c r="R49" s="20" t="n">
        <v>0.45754342</v>
      </c>
    </row>
    <row r="50" spans="1:18">
      <c r="A50" s="15" t="s">
        <v>473</v>
      </c>
      <c r="B50" s="17" t="n">
        <v>6866</v>
      </c>
      <c r="C50" s="18">
        <f>(6163.0/B50*100)</f>
        <v/>
      </c>
      <c r="D50" s="19" t="n">
        <v>703</v>
      </c>
      <c r="E50" s="18" t="n">
        <v>58.74552392</v>
      </c>
      <c r="F50" s="20" t="n">
        <v>2.09392765</v>
      </c>
      <c r="G50" s="18" t="n">
        <v>36.26601917</v>
      </c>
      <c r="H50" s="20" t="n">
        <v>2.07181821</v>
      </c>
      <c r="I50" s="18" t="n">
        <v>0</v>
      </c>
      <c r="J50" s="20" t="n">
        <v>0</v>
      </c>
      <c r="K50" s="18" t="n">
        <v>3.76095904</v>
      </c>
      <c r="L50" s="20" t="n">
        <v>0.87994046</v>
      </c>
      <c r="M50" s="18" t="n">
        <v>0</v>
      </c>
      <c r="N50" s="20" t="n">
        <v>0</v>
      </c>
      <c r="O50" s="18" t="n">
        <v>0</v>
      </c>
      <c r="P50" s="20" t="n">
        <v>0</v>
      </c>
      <c r="Q50" s="18" t="n">
        <v>1.22749787</v>
      </c>
      <c r="R50" s="20" t="n">
        <v>0.43815958</v>
      </c>
    </row>
    <row r="51" spans="1:18">
      <c r="A51" s="15" t="s">
        <v>474</v>
      </c>
      <c r="B51" s="17" t="n">
        <v>5809</v>
      </c>
      <c r="C51" s="18">
        <f>(5107.0/B51*100)</f>
        <v/>
      </c>
      <c r="D51" s="19" t="n">
        <v>702</v>
      </c>
      <c r="E51" s="18" t="n">
        <v>59.23676599</v>
      </c>
      <c r="F51" s="20" t="n">
        <v>1.88528423</v>
      </c>
      <c r="G51" s="18" t="n">
        <v>35.27535191</v>
      </c>
      <c r="H51" s="20" t="n">
        <v>1.96396557</v>
      </c>
      <c r="I51" s="18" t="n">
        <v>0</v>
      </c>
      <c r="J51" s="20" t="n">
        <v>0</v>
      </c>
      <c r="K51" s="18" t="n">
        <v>2.84735223</v>
      </c>
      <c r="L51" s="20" t="n">
        <v>0.57530413</v>
      </c>
      <c r="M51" s="18" t="n">
        <v>0</v>
      </c>
      <c r="N51" s="20" t="n">
        <v>0</v>
      </c>
      <c r="O51" s="18" t="n">
        <v>0</v>
      </c>
      <c r="P51" s="20" t="n">
        <v>0</v>
      </c>
      <c r="Q51" s="18" t="n">
        <v>2.64052987</v>
      </c>
      <c r="R51" s="20" t="n">
        <v>0.6700598800000001</v>
      </c>
    </row>
    <row r="52" spans="1:18">
      <c r="A52" s="15" t="s">
        <v>475</v>
      </c>
      <c r="B52" s="17" t="n">
        <v>5571</v>
      </c>
      <c r="C52" s="18">
        <f>(4912.0/B52*100)</f>
        <v/>
      </c>
      <c r="D52" s="19" t="n">
        <v>659</v>
      </c>
      <c r="E52" s="18" t="n">
        <v>61.45262213</v>
      </c>
      <c r="F52" s="20" t="n">
        <v>1.81662708</v>
      </c>
      <c r="G52" s="18" t="n">
        <v>30.70947411</v>
      </c>
      <c r="H52" s="20" t="n">
        <v>1.88014204</v>
      </c>
      <c r="I52" s="18" t="n">
        <v>0</v>
      </c>
      <c r="J52" s="20" t="n">
        <v>0</v>
      </c>
      <c r="K52" s="18" t="n">
        <v>6.1137919</v>
      </c>
      <c r="L52" s="20" t="n">
        <v>1.07381008</v>
      </c>
      <c r="M52" s="18" t="n">
        <v>0</v>
      </c>
      <c r="N52" s="20" t="n">
        <v>0</v>
      </c>
      <c r="O52" s="18" t="n">
        <v>0</v>
      </c>
      <c r="P52" s="20" t="n">
        <v>0</v>
      </c>
      <c r="Q52" s="18" t="n">
        <v>1.72411186</v>
      </c>
      <c r="R52" s="20" t="n">
        <v>0.51611353</v>
      </c>
    </row>
    <row r="53" spans="1:18">
      <c r="A53" s="15" t="s">
        <v>476</v>
      </c>
      <c r="B53" s="17" t="n">
        <v>4740</v>
      </c>
      <c r="C53" s="18">
        <f>(3981.0/B53*100)</f>
        <v/>
      </c>
      <c r="D53" s="19" t="n">
        <v>759</v>
      </c>
      <c r="E53" s="18" t="n">
        <v>59.75890703</v>
      </c>
      <c r="F53" s="20" t="n">
        <v>1.93552803</v>
      </c>
      <c r="G53" s="18" t="n">
        <v>8.76388431</v>
      </c>
      <c r="H53" s="20" t="n">
        <v>1.0169029</v>
      </c>
      <c r="I53" s="18" t="n">
        <v>0</v>
      </c>
      <c r="J53" s="20" t="n">
        <v>0</v>
      </c>
      <c r="K53" s="18" t="n">
        <v>28.44407855</v>
      </c>
      <c r="L53" s="20" t="n">
        <v>1.71990559</v>
      </c>
      <c r="M53" s="18" t="n">
        <v>0</v>
      </c>
      <c r="N53" s="20" t="n">
        <v>0</v>
      </c>
      <c r="O53" s="18" t="n">
        <v>0</v>
      </c>
      <c r="P53" s="20" t="n">
        <v>0</v>
      </c>
      <c r="Q53" s="18" t="n">
        <v>3.03313012</v>
      </c>
      <c r="R53" s="20" t="n">
        <v>0.66799535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(4707.0/B55*100)</f>
        <v/>
      </c>
      <c r="D55" s="19" t="n">
        <v>652</v>
      </c>
      <c r="E55" s="18" t="n">
        <v>52.08335444</v>
      </c>
      <c r="F55" s="20" t="n">
        <v>2.20945016</v>
      </c>
      <c r="G55" s="18" t="n">
        <v>46.51181535</v>
      </c>
      <c r="H55" s="20" t="n">
        <v>2.24153459</v>
      </c>
      <c r="I55" s="18" t="n">
        <v>0</v>
      </c>
      <c r="J55" s="20" t="n">
        <v>0</v>
      </c>
      <c r="K55" s="18" t="n">
        <v>1.07789615</v>
      </c>
      <c r="L55" s="20" t="n">
        <v>0.45094086</v>
      </c>
      <c r="M55" s="18" t="n">
        <v>0</v>
      </c>
      <c r="N55" s="20" t="n">
        <v>0</v>
      </c>
      <c r="O55" s="18" t="n">
        <v>0</v>
      </c>
      <c r="P55" s="20" t="n">
        <v>0</v>
      </c>
      <c r="Q55" s="18" t="n">
        <v>0.32693406</v>
      </c>
      <c r="R55" s="20" t="n">
        <v>0.22525361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(5720.0/B61*100)</f>
        <v/>
      </c>
      <c r="D61" s="19" t="n">
        <v>805</v>
      </c>
      <c r="E61" s="18" t="n">
        <v>57.45588264</v>
      </c>
      <c r="F61" s="20" t="n">
        <v>1.90511705</v>
      </c>
      <c r="G61" s="18" t="n">
        <v>36.43054229</v>
      </c>
      <c r="H61" s="20" t="n">
        <v>1.79060183</v>
      </c>
      <c r="I61" s="18" t="n">
        <v>0</v>
      </c>
      <c r="J61" s="20" t="n">
        <v>0</v>
      </c>
      <c r="K61" s="18" t="n">
        <v>4.80421068</v>
      </c>
      <c r="L61" s="20" t="n">
        <v>0.88507012</v>
      </c>
      <c r="M61" s="18" t="n">
        <v>0</v>
      </c>
      <c r="N61" s="20" t="n">
        <v>0</v>
      </c>
      <c r="O61" s="18" t="n">
        <v>0</v>
      </c>
      <c r="P61" s="20" t="n">
        <v>0</v>
      </c>
      <c r="Q61" s="18" t="n">
        <v>1.30936439</v>
      </c>
      <c r="R61" s="20" t="n">
        <v>0.45114866</v>
      </c>
    </row>
    <row r="62" spans="1:18">
      <c r="A62" s="15" t="s">
        <v>486</v>
      </c>
      <c r="B62" s="17" t="n">
        <v>4476</v>
      </c>
      <c r="C62" s="18">
        <f>(3964.0/B62*100)</f>
        <v/>
      </c>
      <c r="D62" s="19" t="n">
        <v>512</v>
      </c>
      <c r="E62" s="18" t="n">
        <v>63.47526641</v>
      </c>
      <c r="F62" s="20" t="n">
        <v>2.03446154</v>
      </c>
      <c r="G62" s="18" t="n">
        <v>35.94282095</v>
      </c>
      <c r="H62" s="20" t="n">
        <v>1.93909561</v>
      </c>
      <c r="I62" s="18" t="n">
        <v>0</v>
      </c>
      <c r="J62" s="20" t="n">
        <v>0</v>
      </c>
      <c r="K62" s="18" t="n">
        <v>0.19397088</v>
      </c>
      <c r="L62" s="20" t="n">
        <v>0.19567369</v>
      </c>
      <c r="M62" s="18" t="n">
        <v>0</v>
      </c>
      <c r="N62" s="20" t="n">
        <v>0</v>
      </c>
      <c r="O62" s="18" t="n">
        <v>0</v>
      </c>
      <c r="P62" s="20" t="n">
        <v>0</v>
      </c>
      <c r="Q62" s="18" t="n">
        <v>0.38794175</v>
      </c>
      <c r="R62" s="20" t="n">
        <v>0.27297242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(5004.0/B67*100)</f>
        <v/>
      </c>
      <c r="D67" s="19" t="n">
        <v>661</v>
      </c>
      <c r="E67" s="18" t="n">
        <v>48.68280521</v>
      </c>
      <c r="F67" s="20" t="n">
        <v>1.9714167</v>
      </c>
      <c r="G67" s="18" t="n">
        <v>39.19708027</v>
      </c>
      <c r="H67" s="20" t="n">
        <v>1.90427326</v>
      </c>
      <c r="I67" s="18" t="n">
        <v>0</v>
      </c>
      <c r="J67" s="20" t="n">
        <v>0</v>
      </c>
      <c r="K67" s="18" t="n">
        <v>6.97483751</v>
      </c>
      <c r="L67" s="20" t="n">
        <v>1.12550819</v>
      </c>
      <c r="M67" s="18" t="n">
        <v>0</v>
      </c>
      <c r="N67" s="20" t="n">
        <v>0</v>
      </c>
      <c r="O67" s="18" t="n">
        <v>0</v>
      </c>
      <c r="P67" s="20" t="n">
        <v>0</v>
      </c>
      <c r="Q67" s="18" t="n">
        <v>5.14527701</v>
      </c>
      <c r="R67" s="20" t="n">
        <v>0.9463244</v>
      </c>
    </row>
    <row r="68" spans="1:18">
      <c r="A68" s="15" t="s">
        <v>492</v>
      </c>
      <c r="B68" s="17" t="n">
        <v>6971</v>
      </c>
      <c r="C68" s="18">
        <f>(6305.0/B68*100)</f>
        <v/>
      </c>
      <c r="D68" s="19" t="n">
        <v>666</v>
      </c>
      <c r="E68" s="18" t="n">
        <v>70.79050538</v>
      </c>
      <c r="F68" s="20" t="n">
        <v>1.65876102</v>
      </c>
      <c r="G68" s="18" t="n">
        <v>22.69202924</v>
      </c>
      <c r="H68" s="20" t="n">
        <v>1.57138605</v>
      </c>
      <c r="I68" s="18" t="n">
        <v>0</v>
      </c>
      <c r="J68" s="20" t="n">
        <v>0</v>
      </c>
      <c r="K68" s="18" t="n">
        <v>3.43042643</v>
      </c>
      <c r="L68" s="20" t="n">
        <v>0.65553648</v>
      </c>
      <c r="M68" s="18" t="n">
        <v>0</v>
      </c>
      <c r="N68" s="20" t="n">
        <v>0</v>
      </c>
      <c r="O68" s="18" t="n">
        <v>0</v>
      </c>
      <c r="P68" s="20" t="n">
        <v>0</v>
      </c>
      <c r="Q68" s="18" t="n">
        <v>3.08703895</v>
      </c>
      <c r="R68" s="20" t="n">
        <v>0.70205377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(10072.0/B70*100)</f>
        <v/>
      </c>
      <c r="D70" s="19" t="n">
        <v>2011</v>
      </c>
      <c r="E70" s="18" t="n">
        <v>58.61028277</v>
      </c>
      <c r="F70" s="20" t="n">
        <v>1.05191551</v>
      </c>
      <c r="G70" s="18" t="n">
        <v>28.37146092</v>
      </c>
      <c r="H70" s="20" t="n">
        <v>1.10519104</v>
      </c>
      <c r="I70" s="18" t="n">
        <v>0</v>
      </c>
      <c r="J70" s="20" t="n">
        <v>0</v>
      </c>
      <c r="K70" s="18" t="n">
        <v>11.49182706</v>
      </c>
      <c r="L70" s="20" t="n">
        <v>0.71798235</v>
      </c>
      <c r="M70" s="18" t="n">
        <v>0</v>
      </c>
      <c r="N70" s="20" t="n">
        <v>0</v>
      </c>
      <c r="O70" s="18" t="n">
        <v>0</v>
      </c>
      <c r="P70" s="20" t="n">
        <v>0</v>
      </c>
      <c r="Q70" s="18" t="n">
        <v>1.52642925</v>
      </c>
      <c r="R70" s="20" t="n">
        <v>0.24947404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(5360.0/B72*100)</f>
        <v/>
      </c>
      <c r="D72" s="19" t="n">
        <v>676</v>
      </c>
      <c r="E72" s="18" t="n">
        <v>77.11367165999999</v>
      </c>
      <c r="F72" s="20" t="n">
        <v>2.20291632</v>
      </c>
      <c r="G72" s="18" t="n">
        <v>17.59547393</v>
      </c>
      <c r="H72" s="20" t="n">
        <v>1.96692432</v>
      </c>
      <c r="I72" s="18" t="n">
        <v>0</v>
      </c>
      <c r="J72" s="20" t="n">
        <v>0</v>
      </c>
      <c r="K72" s="18" t="n">
        <v>3.69653119</v>
      </c>
      <c r="L72" s="20" t="n">
        <v>0.72238864</v>
      </c>
      <c r="M72" s="18" t="n">
        <v>0</v>
      </c>
      <c r="N72" s="20" t="n">
        <v>0</v>
      </c>
      <c r="O72" s="18" t="n">
        <v>0</v>
      </c>
      <c r="P72" s="20" t="n">
        <v>0</v>
      </c>
      <c r="Q72" s="18" t="n">
        <v>1.59432322</v>
      </c>
      <c r="R72" s="20" t="n">
        <v>0.45883554</v>
      </c>
    </row>
    <row r="73" spans="1:18">
      <c r="A73" s="15" t="s">
        <v>497</v>
      </c>
      <c r="B73" s="17" t="n">
        <v>6115</v>
      </c>
      <c r="C73" s="18">
        <f>(5379.0/B73*100)</f>
        <v/>
      </c>
      <c r="D73" s="19" t="n">
        <v>736</v>
      </c>
      <c r="E73" s="18" t="n">
        <v>56.26695354</v>
      </c>
      <c r="F73" s="20" t="n">
        <v>1.95938383</v>
      </c>
      <c r="G73" s="18" t="n">
        <v>41.85309631</v>
      </c>
      <c r="H73" s="20" t="n">
        <v>1.96728396</v>
      </c>
      <c r="I73" s="18" t="n">
        <v>0</v>
      </c>
      <c r="J73" s="20" t="n">
        <v>0</v>
      </c>
      <c r="K73" s="18" t="n">
        <v>1.73313183</v>
      </c>
      <c r="L73" s="20" t="n">
        <v>0.41347761</v>
      </c>
      <c r="M73" s="18" t="n">
        <v>0</v>
      </c>
      <c r="N73" s="20" t="n">
        <v>0</v>
      </c>
      <c r="O73" s="18" t="n">
        <v>0</v>
      </c>
      <c r="P73" s="20" t="n">
        <v>0</v>
      </c>
      <c r="Q73" s="18" t="n">
        <v>0.14681831</v>
      </c>
      <c r="R73" s="20" t="n">
        <v>0.14733047</v>
      </c>
    </row>
    <row r="74" spans="1:18">
      <c r="A74" s="15" t="s">
        <v>498</v>
      </c>
      <c r="B74" s="17" t="n">
        <v>7708</v>
      </c>
      <c r="C74" s="18">
        <f>(6750.0/B74*100)</f>
        <v/>
      </c>
      <c r="D74" s="19" t="n">
        <v>958</v>
      </c>
      <c r="E74" s="18" t="n">
        <v>56.56657752</v>
      </c>
      <c r="F74" s="20" t="n">
        <v>1.74232814</v>
      </c>
      <c r="G74" s="18" t="n">
        <v>41.53439781</v>
      </c>
      <c r="H74" s="20" t="n">
        <v>1.7908554</v>
      </c>
      <c r="I74" s="18" t="n">
        <v>0</v>
      </c>
      <c r="J74" s="20" t="n">
        <v>0</v>
      </c>
      <c r="K74" s="18" t="n">
        <v>0.76891901</v>
      </c>
      <c r="L74" s="20" t="n">
        <v>0.25470069</v>
      </c>
      <c r="M74" s="18" t="n">
        <v>0</v>
      </c>
      <c r="N74" s="20" t="n">
        <v>0</v>
      </c>
      <c r="O74" s="18" t="n">
        <v>0</v>
      </c>
      <c r="P74" s="20" t="n">
        <v>0</v>
      </c>
      <c r="Q74" s="18" t="n">
        <v>1.13010566</v>
      </c>
      <c r="R74" s="20" t="n">
        <v>0.43177262</v>
      </c>
    </row>
    <row r="75" spans="1:18">
      <c r="A75" s="15" t="s">
        <v>499</v>
      </c>
      <c r="B75" s="17" t="n">
        <v>8249</v>
      </c>
      <c r="C75" s="18">
        <f>(7310.0/B75*100)</f>
        <v/>
      </c>
      <c r="D75" s="19" t="n">
        <v>939</v>
      </c>
      <c r="E75" s="18" t="n">
        <v>51.17110511</v>
      </c>
      <c r="F75" s="20" t="n">
        <v>1.95641461</v>
      </c>
      <c r="G75" s="18" t="n">
        <v>47.13810047</v>
      </c>
      <c r="H75" s="20" t="n">
        <v>1.95805742</v>
      </c>
      <c r="I75" s="18" t="n">
        <v>0</v>
      </c>
      <c r="J75" s="20" t="n">
        <v>0</v>
      </c>
      <c r="K75" s="18" t="n">
        <v>0.75092361</v>
      </c>
      <c r="L75" s="20" t="n">
        <v>0.3274129</v>
      </c>
      <c r="M75" s="18" t="n">
        <v>0</v>
      </c>
      <c r="N75" s="20" t="n">
        <v>0</v>
      </c>
      <c r="O75" s="18" t="n">
        <v>0</v>
      </c>
      <c r="P75" s="20" t="n">
        <v>0</v>
      </c>
      <c r="Q75" s="18" t="n">
        <v>0.93987082</v>
      </c>
      <c r="R75" s="20" t="n">
        <v>0.38845585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(4820.0/B77*100)</f>
        <v/>
      </c>
      <c r="D77" s="19" t="n">
        <v>555</v>
      </c>
      <c r="E77" s="18" t="n">
        <v>54.38922625</v>
      </c>
      <c r="F77" s="20" t="n">
        <v>2.07216316</v>
      </c>
      <c r="G77" s="18" t="n">
        <v>28.96304999</v>
      </c>
      <c r="H77" s="20" t="n">
        <v>1.94599452</v>
      </c>
      <c r="I77" s="18" t="n">
        <v>0</v>
      </c>
      <c r="J77" s="20" t="n">
        <v>0</v>
      </c>
      <c r="K77" s="18" t="n">
        <v>12.74574562</v>
      </c>
      <c r="L77" s="20" t="n">
        <v>1.47670989</v>
      </c>
      <c r="M77" s="18" t="n">
        <v>0</v>
      </c>
      <c r="N77" s="20" t="n">
        <v>0</v>
      </c>
      <c r="O77" s="18" t="n">
        <v>0</v>
      </c>
      <c r="P77" s="20" t="n">
        <v>0</v>
      </c>
      <c r="Q77" s="18" t="n">
        <v>3.90197814</v>
      </c>
      <c r="R77" s="20" t="n">
        <v>0.80342759</v>
      </c>
    </row>
    <row r="78" spans="1:18">
      <c r="A78" s="15" t="s">
        <v>502</v>
      </c>
      <c r="B78" s="17" t="n">
        <v>14167</v>
      </c>
      <c r="C78" s="18">
        <f>(12492.0/B78*100)</f>
        <v/>
      </c>
      <c r="D78" s="19" t="n">
        <v>1675</v>
      </c>
      <c r="E78" s="18" t="n">
        <v>64.9599218</v>
      </c>
      <c r="F78" s="20" t="n">
        <v>1.48202431</v>
      </c>
      <c r="G78" s="18" t="n">
        <v>29.67243871</v>
      </c>
      <c r="H78" s="20" t="n">
        <v>1.42306274</v>
      </c>
      <c r="I78" s="18" t="n">
        <v>0</v>
      </c>
      <c r="J78" s="20" t="n">
        <v>0</v>
      </c>
      <c r="K78" s="18" t="n">
        <v>3.99621987</v>
      </c>
      <c r="L78" s="20" t="n">
        <v>0.61418976</v>
      </c>
      <c r="M78" s="18" t="n">
        <v>0</v>
      </c>
      <c r="N78" s="20" t="n">
        <v>0</v>
      </c>
      <c r="O78" s="18" t="n">
        <v>0</v>
      </c>
      <c r="P78" s="20" t="n">
        <v>0</v>
      </c>
      <c r="Q78" s="18" t="n">
        <v>1.37141962</v>
      </c>
      <c r="R78" s="20" t="n">
        <v>0.35626087</v>
      </c>
    </row>
    <row r="79" spans="1:18">
      <c r="A79" s="15" t="s">
        <v>503</v>
      </c>
      <c r="B79" s="17" t="n">
        <v>6062</v>
      </c>
      <c r="C79" s="18">
        <f>(5372.0/B79*100)</f>
        <v/>
      </c>
      <c r="D79" s="19" t="n">
        <v>690</v>
      </c>
      <c r="E79" s="18" t="n">
        <v>57.8474289</v>
      </c>
      <c r="F79" s="20" t="n">
        <v>1.89889703</v>
      </c>
      <c r="G79" s="18" t="n">
        <v>26.71052866</v>
      </c>
      <c r="H79" s="20" t="n">
        <v>1.92059774</v>
      </c>
      <c r="I79" s="18" t="n">
        <v>0</v>
      </c>
      <c r="J79" s="20" t="n">
        <v>0</v>
      </c>
      <c r="K79" s="18" t="n">
        <v>12.13757826</v>
      </c>
      <c r="L79" s="20" t="n">
        <v>1.73033887</v>
      </c>
      <c r="M79" s="18" t="n">
        <v>0</v>
      </c>
      <c r="N79" s="20" t="n">
        <v>0</v>
      </c>
      <c r="O79" s="18" t="n">
        <v>0</v>
      </c>
      <c r="P79" s="20" t="n">
        <v>0</v>
      </c>
      <c r="Q79" s="18" t="n">
        <v>3.30446418</v>
      </c>
      <c r="R79" s="20" t="n">
        <v>0.72654083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(28498.0/B82*100)</f>
        <v/>
      </c>
      <c r="D82" s="19" t="n">
        <v>3832</v>
      </c>
      <c r="E82" s="18" t="n">
        <v>62.55445968</v>
      </c>
      <c r="F82" s="20" t="n">
        <v>1.16437198</v>
      </c>
      <c r="G82" s="18" t="n">
        <v>33.19290788</v>
      </c>
      <c r="H82" s="20" t="n">
        <v>1.1505813</v>
      </c>
      <c r="I82" s="18" t="n">
        <v>0</v>
      </c>
      <c r="J82" s="20" t="n">
        <v>0</v>
      </c>
      <c r="K82" s="18" t="n">
        <v>2.85250586</v>
      </c>
      <c r="L82" s="20" t="n">
        <v>0.37951731</v>
      </c>
      <c r="M82" s="18" t="n">
        <v>0</v>
      </c>
      <c r="N82" s="20" t="n">
        <v>0</v>
      </c>
      <c r="O82" s="18" t="n">
        <v>0</v>
      </c>
      <c r="P82" s="20" t="n">
        <v>0</v>
      </c>
      <c r="Q82" s="18" t="n">
        <v>1.40012658</v>
      </c>
      <c r="R82" s="20" t="n">
        <v>0.28115019</v>
      </c>
    </row>
    <row r="83" spans="1:18">
      <c r="A83" s="15" t="s">
        <v>507</v>
      </c>
      <c r="B83" s="17" t="n">
        <v>1652</v>
      </c>
      <c r="C83" s="18">
        <f>(1463.0/B83*100)</f>
        <v/>
      </c>
      <c r="D83" s="19" t="n">
        <v>189</v>
      </c>
      <c r="E83" s="18" t="n">
        <v>58.53974165</v>
      </c>
      <c r="F83" s="20" t="n">
        <v>3.51359346</v>
      </c>
      <c r="G83" s="18" t="n">
        <v>40.54744083</v>
      </c>
      <c r="H83" s="20" t="n">
        <v>3.44464698</v>
      </c>
      <c r="I83" s="18" t="n">
        <v>0</v>
      </c>
      <c r="J83" s="20" t="n">
        <v>0</v>
      </c>
      <c r="K83" s="18" t="n">
        <v>0.91281752</v>
      </c>
      <c r="L83" s="20" t="n">
        <v>0.63605126</v>
      </c>
      <c r="M83" s="18" t="n">
        <v>0</v>
      </c>
      <c r="N83" s="20" t="n">
        <v>0</v>
      </c>
      <c r="O83" s="18" t="n">
        <v>0</v>
      </c>
      <c r="P83" s="20" t="n">
        <v>0</v>
      </c>
      <c r="Q83" s="18" t="n">
        <v>0</v>
      </c>
      <c r="R83" s="20" t="n">
        <v>0</v>
      </c>
    </row>
    <row r="84" spans="1:18">
      <c r="A84" s="23" t="s">
        <v>508</v>
      </c>
      <c r="B84" s="24" t="n">
        <v>1887</v>
      </c>
      <c r="C84" s="25">
        <f>(1665.0/B84*100)</f>
        <v/>
      </c>
      <c r="D84" s="19" t="n">
        <v>222</v>
      </c>
      <c r="E84" s="18" t="n">
        <v>58.3390432</v>
      </c>
      <c r="F84" s="20" t="n">
        <v>3.4746309</v>
      </c>
      <c r="G84" s="18" t="n">
        <v>39.57925813</v>
      </c>
      <c r="H84" s="20" t="n">
        <v>3.51588399</v>
      </c>
      <c r="I84" s="18" t="n">
        <v>0</v>
      </c>
      <c r="J84" s="20" t="n">
        <v>0</v>
      </c>
      <c r="K84" s="18" t="n">
        <v>1.77741689</v>
      </c>
      <c r="L84" s="20" t="n">
        <v>0.8987083300000001</v>
      </c>
      <c r="M84" s="18" t="n">
        <v>0</v>
      </c>
      <c r="N84" s="20" t="n">
        <v>0</v>
      </c>
      <c r="O84" s="18" t="n">
        <v>0</v>
      </c>
      <c r="P84" s="20" t="n">
        <v>0</v>
      </c>
      <c r="Q84" s="18" t="n">
        <v>0.30428178</v>
      </c>
      <c r="R84" s="20" t="n">
        <v>0.30570799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550</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(12862.0/B7*100)</f>
        <v/>
      </c>
      <c r="D7" s="19" t="n">
        <v>1668</v>
      </c>
      <c r="E7" s="18" t="n">
        <v>70.43387318000001</v>
      </c>
      <c r="F7" s="20" t="n">
        <v>1.51314022</v>
      </c>
      <c r="G7" s="18" t="n">
        <v>20.13290117</v>
      </c>
      <c r="H7" s="20" t="n">
        <v>1.25593635</v>
      </c>
      <c r="I7" s="18" t="n">
        <v>1.17962097</v>
      </c>
      <c r="J7" s="20" t="n">
        <v>0.36404127</v>
      </c>
      <c r="K7" s="18" t="n">
        <v>0</v>
      </c>
      <c r="L7" s="20" t="n">
        <v>0</v>
      </c>
      <c r="M7" s="18" t="n">
        <v>8.25360468</v>
      </c>
      <c r="N7" s="20" t="n">
        <v>0.82360464</v>
      </c>
      <c r="O7" s="18" t="n">
        <v>0</v>
      </c>
      <c r="P7" s="20" t="n">
        <v>0</v>
      </c>
      <c r="Q7" s="18" t="n">
        <v>0</v>
      </c>
      <c r="R7" s="20" t="n">
        <v>0</v>
      </c>
      <c r="S7" s="18" t="n">
        <v>0</v>
      </c>
      <c r="T7" s="20" t="n">
        <v>0</v>
      </c>
    </row>
    <row r="8" spans="1:20">
      <c r="A8" s="15" t="s">
        <v>430</v>
      </c>
      <c r="B8" s="17" t="n">
        <v>7007</v>
      </c>
      <c r="C8" s="18">
        <f>(6192.0/B8*100)</f>
        <v/>
      </c>
      <c r="D8" s="19" t="n">
        <v>815</v>
      </c>
      <c r="E8" s="18" t="n">
        <v>68.16438973</v>
      </c>
      <c r="F8" s="20" t="n">
        <v>1.819524</v>
      </c>
      <c r="G8" s="18" t="n">
        <v>23.18866895</v>
      </c>
      <c r="H8" s="20" t="n">
        <v>1.44830255</v>
      </c>
      <c r="I8" s="18" t="n">
        <v>1.42856845</v>
      </c>
      <c r="J8" s="20" t="n">
        <v>0.43517115</v>
      </c>
      <c r="K8" s="18" t="n">
        <v>0</v>
      </c>
      <c r="L8" s="20" t="n">
        <v>0</v>
      </c>
      <c r="M8" s="18" t="n">
        <v>7.21837288</v>
      </c>
      <c r="N8" s="20" t="n">
        <v>0.95576174</v>
      </c>
      <c r="O8" s="18" t="n">
        <v>0</v>
      </c>
      <c r="P8" s="20" t="n">
        <v>0</v>
      </c>
      <c r="Q8" s="18" t="n">
        <v>0</v>
      </c>
      <c r="R8" s="20" t="n">
        <v>0</v>
      </c>
      <c r="S8" s="18" t="n">
        <v>0</v>
      </c>
      <c r="T8" s="20" t="n">
        <v>0</v>
      </c>
    </row>
    <row r="9" spans="1:20">
      <c r="A9" s="15" t="s">
        <v>431</v>
      </c>
      <c r="B9" s="17" t="n">
        <v>9651</v>
      </c>
      <c r="C9" s="18">
        <f>(8571.0/B9*100)</f>
        <v/>
      </c>
      <c r="D9" s="19" t="n">
        <v>1080</v>
      </c>
      <c r="E9" s="18" t="n">
        <v>73.81471868</v>
      </c>
      <c r="F9" s="20" t="n">
        <v>1.54631851</v>
      </c>
      <c r="G9" s="18" t="n">
        <v>20.33990094</v>
      </c>
      <c r="H9" s="20" t="n">
        <v>1.41036623</v>
      </c>
      <c r="I9" s="18" t="n">
        <v>0.86218445</v>
      </c>
      <c r="J9" s="20" t="n">
        <v>0.23696631</v>
      </c>
      <c r="K9" s="18" t="n">
        <v>0</v>
      </c>
      <c r="L9" s="20" t="n">
        <v>0</v>
      </c>
      <c r="M9" s="18" t="n">
        <v>4.98319592</v>
      </c>
      <c r="N9" s="20" t="n">
        <v>0.77970228</v>
      </c>
      <c r="O9" s="18" t="n">
        <v>0</v>
      </c>
      <c r="P9" s="20" t="n">
        <v>0</v>
      </c>
      <c r="Q9" s="18" t="n">
        <v>0</v>
      </c>
      <c r="R9" s="20" t="n">
        <v>0</v>
      </c>
      <c r="S9" s="18" t="n">
        <v>0</v>
      </c>
      <c r="T9" s="20" t="n">
        <v>0</v>
      </c>
    </row>
    <row r="10" spans="1:20">
      <c r="A10" s="15" t="s">
        <v>432</v>
      </c>
      <c r="B10" s="17" t="n">
        <v>20058</v>
      </c>
      <c r="C10" s="18">
        <f>(17660.0/B10*100)</f>
        <v/>
      </c>
      <c r="D10" s="19" t="n">
        <v>2398</v>
      </c>
      <c r="E10" s="18" t="n">
        <v>68.98422216</v>
      </c>
      <c r="F10" s="20" t="n">
        <v>1.30102689</v>
      </c>
      <c r="G10" s="18" t="n">
        <v>23.51685176</v>
      </c>
      <c r="H10" s="20" t="n">
        <v>1.26673563</v>
      </c>
      <c r="I10" s="18" t="n">
        <v>2.89956591</v>
      </c>
      <c r="J10" s="20" t="n">
        <v>0.49931532</v>
      </c>
      <c r="K10" s="18" t="n">
        <v>0</v>
      </c>
      <c r="L10" s="20" t="n">
        <v>0</v>
      </c>
      <c r="M10" s="18" t="n">
        <v>4.59936017</v>
      </c>
      <c r="N10" s="20" t="n">
        <v>0.60557039</v>
      </c>
      <c r="O10" s="18" t="n">
        <v>0</v>
      </c>
      <c r="P10" s="20" t="n">
        <v>0</v>
      </c>
      <c r="Q10" s="18" t="n">
        <v>0</v>
      </c>
      <c r="R10" s="20" t="n">
        <v>0</v>
      </c>
      <c r="S10" s="18" t="n">
        <v>0</v>
      </c>
      <c r="T10" s="20" t="n">
        <v>0</v>
      </c>
    </row>
    <row r="11" spans="1:20">
      <c r="A11" s="15" t="s">
        <v>433</v>
      </c>
      <c r="B11" s="17" t="n">
        <v>7053</v>
      </c>
      <c r="C11" s="18">
        <f>(6224.0/B11*100)</f>
        <v/>
      </c>
      <c r="D11" s="19" t="n">
        <v>829</v>
      </c>
      <c r="E11" s="18" t="n">
        <v>73.40098033</v>
      </c>
      <c r="F11" s="20" t="n">
        <v>1.94240575</v>
      </c>
      <c r="G11" s="18" t="n">
        <v>13.80164643</v>
      </c>
      <c r="H11" s="20" t="n">
        <v>1.37244041</v>
      </c>
      <c r="I11" s="18" t="n">
        <v>1.08684946</v>
      </c>
      <c r="J11" s="20" t="n">
        <v>0.35520533</v>
      </c>
      <c r="K11" s="18" t="n">
        <v>0</v>
      </c>
      <c r="L11" s="20" t="n">
        <v>0</v>
      </c>
      <c r="M11" s="18" t="n">
        <v>11.71052377</v>
      </c>
      <c r="N11" s="20" t="n">
        <v>1.18568766</v>
      </c>
      <c r="O11" s="18" t="n">
        <v>0</v>
      </c>
      <c r="P11" s="20" t="n">
        <v>0</v>
      </c>
      <c r="Q11" s="18" t="n">
        <v>0</v>
      </c>
      <c r="R11" s="20" t="n">
        <v>0</v>
      </c>
      <c r="S11" s="18" t="n">
        <v>0</v>
      </c>
      <c r="T11" s="20" t="n">
        <v>0</v>
      </c>
    </row>
    <row r="12" spans="1:20">
      <c r="A12" s="15" t="s">
        <v>434</v>
      </c>
      <c r="B12" s="17" t="n">
        <v>6894</v>
      </c>
      <c r="C12" s="18">
        <f>(6070.0/B12*100)</f>
        <v/>
      </c>
      <c r="D12" s="19" t="n">
        <v>824</v>
      </c>
      <c r="E12" s="18" t="n">
        <v>73.39881161</v>
      </c>
      <c r="F12" s="20" t="n">
        <v>1.37573825</v>
      </c>
      <c r="G12" s="18" t="n">
        <v>16.70370177</v>
      </c>
      <c r="H12" s="20" t="n">
        <v>1.30033164</v>
      </c>
      <c r="I12" s="18" t="n">
        <v>2.3136691</v>
      </c>
      <c r="J12" s="20" t="n">
        <v>0.53361951</v>
      </c>
      <c r="K12" s="18" t="n">
        <v>0</v>
      </c>
      <c r="L12" s="20" t="n">
        <v>0</v>
      </c>
      <c r="M12" s="18" t="n">
        <v>7.58381752</v>
      </c>
      <c r="N12" s="20" t="n">
        <v>1.1526055</v>
      </c>
      <c r="O12" s="18" t="n">
        <v>0</v>
      </c>
      <c r="P12" s="20" t="n">
        <v>0</v>
      </c>
      <c r="Q12" s="18" t="n">
        <v>0</v>
      </c>
      <c r="R12" s="20" t="n">
        <v>0</v>
      </c>
      <c r="S12" s="18" t="n">
        <v>0</v>
      </c>
      <c r="T12" s="20" t="n">
        <v>0</v>
      </c>
    </row>
    <row r="13" spans="1:20">
      <c r="A13" s="15" t="s">
        <v>435</v>
      </c>
      <c r="B13" s="17" t="n">
        <v>7161</v>
      </c>
      <c r="C13" s="18">
        <f>(6352.0/B13*100)</f>
        <v/>
      </c>
      <c r="D13" s="19" t="n">
        <v>809</v>
      </c>
      <c r="E13" s="18" t="n">
        <v>76.61964346000001</v>
      </c>
      <c r="F13" s="20" t="n">
        <v>1.76598091</v>
      </c>
      <c r="G13" s="18" t="n">
        <v>17.92502308</v>
      </c>
      <c r="H13" s="20" t="n">
        <v>1.91110619</v>
      </c>
      <c r="I13" s="18" t="n">
        <v>0.56979389</v>
      </c>
      <c r="J13" s="20" t="n">
        <v>0.26485731</v>
      </c>
      <c r="K13" s="18" t="n">
        <v>0</v>
      </c>
      <c r="L13" s="20" t="n">
        <v>0</v>
      </c>
      <c r="M13" s="18" t="n">
        <v>4.88553958</v>
      </c>
      <c r="N13" s="20" t="n">
        <v>0.96457195</v>
      </c>
      <c r="O13" s="18" t="n">
        <v>0</v>
      </c>
      <c r="P13" s="20" t="n">
        <v>0</v>
      </c>
      <c r="Q13" s="18" t="n">
        <v>0</v>
      </c>
      <c r="R13" s="20" t="n">
        <v>0</v>
      </c>
      <c r="S13" s="18" t="n">
        <v>0</v>
      </c>
      <c r="T13" s="20" t="n">
        <v>0</v>
      </c>
    </row>
    <row r="14" spans="1:20">
      <c r="A14" s="15" t="s">
        <v>436</v>
      </c>
      <c r="B14" s="17" t="n">
        <v>5587</v>
      </c>
      <c r="C14" s="18">
        <f>(4931.0/B14*100)</f>
        <v/>
      </c>
      <c r="D14" s="19" t="n">
        <v>656</v>
      </c>
      <c r="E14" s="18" t="n">
        <v>72.04309886999999</v>
      </c>
      <c r="F14" s="20" t="n">
        <v>2.069016</v>
      </c>
      <c r="G14" s="18" t="n">
        <v>23.40665791</v>
      </c>
      <c r="H14" s="20" t="n">
        <v>1.97441977</v>
      </c>
      <c r="I14" s="18" t="n">
        <v>1.61746504</v>
      </c>
      <c r="J14" s="20" t="n">
        <v>0.5046007</v>
      </c>
      <c r="K14" s="18" t="n">
        <v>0</v>
      </c>
      <c r="L14" s="20" t="n">
        <v>0</v>
      </c>
      <c r="M14" s="18" t="n">
        <v>2.93277818</v>
      </c>
      <c r="N14" s="20" t="n">
        <v>0.7170544</v>
      </c>
      <c r="O14" s="18" t="n">
        <v>0</v>
      </c>
      <c r="P14" s="20" t="n">
        <v>0</v>
      </c>
      <c r="Q14" s="18" t="n">
        <v>0</v>
      </c>
      <c r="R14" s="20" t="n">
        <v>0</v>
      </c>
      <c r="S14" s="18" t="n">
        <v>0</v>
      </c>
      <c r="T14" s="20" t="n">
        <v>0</v>
      </c>
    </row>
    <row r="15" spans="1:20">
      <c r="A15" s="15" t="s">
        <v>437</v>
      </c>
      <c r="B15" s="17" t="n">
        <v>5882</v>
      </c>
      <c r="C15" s="18">
        <f>(5163.0/B15*100)</f>
        <v/>
      </c>
      <c r="D15" s="19" t="n">
        <v>719</v>
      </c>
      <c r="E15" s="18" t="n">
        <v>71.83741759</v>
      </c>
      <c r="F15" s="20" t="n">
        <v>1.78371658</v>
      </c>
      <c r="G15" s="18" t="n">
        <v>20.73638799</v>
      </c>
      <c r="H15" s="20" t="n">
        <v>1.57193089</v>
      </c>
      <c r="I15" s="18" t="n">
        <v>1.54240386</v>
      </c>
      <c r="J15" s="20" t="n">
        <v>0.5034057199999999</v>
      </c>
      <c r="K15" s="18" t="n">
        <v>0</v>
      </c>
      <c r="L15" s="20" t="n">
        <v>0</v>
      </c>
      <c r="M15" s="18" t="n">
        <v>5.88379056</v>
      </c>
      <c r="N15" s="20" t="n">
        <v>0.86770097</v>
      </c>
      <c r="O15" s="18" t="n">
        <v>0</v>
      </c>
      <c r="P15" s="20" t="n">
        <v>0</v>
      </c>
      <c r="Q15" s="18" t="n">
        <v>0</v>
      </c>
      <c r="R15" s="20" t="n">
        <v>0</v>
      </c>
      <c r="S15" s="18" t="n">
        <v>0</v>
      </c>
      <c r="T15" s="20" t="n">
        <v>0</v>
      </c>
    </row>
    <row r="16" spans="1:20">
      <c r="A16" s="15" t="s">
        <v>438</v>
      </c>
      <c r="B16" s="17" t="n">
        <v>6108</v>
      </c>
      <c r="C16" s="18">
        <f>(5367.0/B16*100)</f>
        <v/>
      </c>
      <c r="D16" s="19" t="n">
        <v>741</v>
      </c>
      <c r="E16" s="18" t="n">
        <v>69.16642021</v>
      </c>
      <c r="F16" s="20" t="n">
        <v>1.69686436</v>
      </c>
      <c r="G16" s="18" t="n">
        <v>20.7323217</v>
      </c>
      <c r="H16" s="20" t="n">
        <v>1.33698518</v>
      </c>
      <c r="I16" s="18" t="n">
        <v>0.62983657</v>
      </c>
      <c r="J16" s="20" t="n">
        <v>0.19391153</v>
      </c>
      <c r="K16" s="18" t="n">
        <v>0</v>
      </c>
      <c r="L16" s="20" t="n">
        <v>0</v>
      </c>
      <c r="M16" s="18" t="n">
        <v>9.471421510000001</v>
      </c>
      <c r="N16" s="20" t="n">
        <v>1.10325024</v>
      </c>
      <c r="O16" s="18" t="n">
        <v>0</v>
      </c>
      <c r="P16" s="20" t="n">
        <v>0</v>
      </c>
      <c r="Q16" s="18" t="n">
        <v>0</v>
      </c>
      <c r="R16" s="20" t="n">
        <v>0</v>
      </c>
      <c r="S16" s="18" t="n">
        <v>0</v>
      </c>
      <c r="T16" s="20" t="n">
        <v>0</v>
      </c>
    </row>
    <row r="17" spans="1:20">
      <c r="A17" s="15" t="s">
        <v>439</v>
      </c>
      <c r="B17" s="17" t="n">
        <v>6504</v>
      </c>
      <c r="C17" s="18">
        <f>(5758.0/B17*100)</f>
        <v/>
      </c>
      <c r="D17" s="19" t="n">
        <v>746</v>
      </c>
      <c r="E17" s="18" t="n">
        <v>59.63525924</v>
      </c>
      <c r="F17" s="20" t="n">
        <v>1.96787024</v>
      </c>
      <c r="G17" s="18" t="n">
        <v>32.68278888</v>
      </c>
      <c r="H17" s="20" t="n">
        <v>2.10437358</v>
      </c>
      <c r="I17" s="18" t="n">
        <v>0.80278112</v>
      </c>
      <c r="J17" s="20" t="n">
        <v>0.37734723</v>
      </c>
      <c r="K17" s="18" t="n">
        <v>0</v>
      </c>
      <c r="L17" s="20" t="n">
        <v>0</v>
      </c>
      <c r="M17" s="18" t="n">
        <v>6.87917077</v>
      </c>
      <c r="N17" s="20" t="n">
        <v>0.9559773</v>
      </c>
      <c r="O17" s="18" t="n">
        <v>0</v>
      </c>
      <c r="P17" s="20" t="n">
        <v>0</v>
      </c>
      <c r="Q17" s="18" t="n">
        <v>0</v>
      </c>
      <c r="R17" s="20" t="n">
        <v>0</v>
      </c>
      <c r="S17" s="18" t="n">
        <v>0</v>
      </c>
      <c r="T17" s="20" t="n">
        <v>0</v>
      </c>
    </row>
    <row r="18" spans="1:20">
      <c r="A18" s="15" t="s">
        <v>440</v>
      </c>
      <c r="B18" s="17" t="n">
        <v>5532</v>
      </c>
      <c r="C18" s="18">
        <f>(4855.0/B18*100)</f>
        <v/>
      </c>
      <c r="D18" s="19" t="n">
        <v>677</v>
      </c>
      <c r="E18" s="18" t="n">
        <v>81.42237344999999</v>
      </c>
      <c r="F18" s="20" t="n">
        <v>1.3321577</v>
      </c>
      <c r="G18" s="18" t="n">
        <v>8.9740676</v>
      </c>
      <c r="H18" s="20" t="n">
        <v>0.91609367</v>
      </c>
      <c r="I18" s="18" t="n">
        <v>0.58914268</v>
      </c>
      <c r="J18" s="20" t="n">
        <v>0.20404102</v>
      </c>
      <c r="K18" s="18" t="n">
        <v>0</v>
      </c>
      <c r="L18" s="20" t="n">
        <v>0</v>
      </c>
      <c r="M18" s="18" t="n">
        <v>9.01441627</v>
      </c>
      <c r="N18" s="20" t="n">
        <v>1.11143968</v>
      </c>
      <c r="O18" s="18" t="n">
        <v>0</v>
      </c>
      <c r="P18" s="20" t="n">
        <v>0</v>
      </c>
      <c r="Q18" s="18" t="n">
        <v>0</v>
      </c>
      <c r="R18" s="20" t="n">
        <v>0</v>
      </c>
      <c r="S18" s="18" t="n">
        <v>0</v>
      </c>
      <c r="T18" s="20" t="n">
        <v>0</v>
      </c>
    </row>
    <row r="19" spans="1:20">
      <c r="A19" s="15" t="s">
        <v>441</v>
      </c>
      <c r="B19" s="17" t="n">
        <v>5658</v>
      </c>
      <c r="C19" s="18">
        <f>(4981.0/B19*100)</f>
        <v/>
      </c>
      <c r="D19" s="19" t="n">
        <v>677</v>
      </c>
      <c r="E19" s="18" t="n">
        <v>77.37688885</v>
      </c>
      <c r="F19" s="20" t="n">
        <v>1.61948908</v>
      </c>
      <c r="G19" s="18" t="n">
        <v>15.76637424</v>
      </c>
      <c r="H19" s="20" t="n">
        <v>1.32301313</v>
      </c>
      <c r="I19" s="18" t="n">
        <v>0.31080671</v>
      </c>
      <c r="J19" s="20" t="n">
        <v>0.18810014</v>
      </c>
      <c r="K19" s="18" t="n">
        <v>0</v>
      </c>
      <c r="L19" s="20" t="n">
        <v>0</v>
      </c>
      <c r="M19" s="18" t="n">
        <v>6.5459302</v>
      </c>
      <c r="N19" s="20" t="n">
        <v>1.1463774</v>
      </c>
      <c r="O19" s="18" t="n">
        <v>0</v>
      </c>
      <c r="P19" s="20" t="n">
        <v>0</v>
      </c>
      <c r="Q19" s="18" t="n">
        <v>0</v>
      </c>
      <c r="R19" s="20" t="n">
        <v>0</v>
      </c>
      <c r="S19" s="18" t="n">
        <v>0</v>
      </c>
      <c r="T19" s="20" t="n">
        <v>0</v>
      </c>
    </row>
    <row r="20" spans="1:20">
      <c r="A20" s="15" t="s">
        <v>442</v>
      </c>
      <c r="B20" s="17" t="n">
        <v>3371</v>
      </c>
      <c r="C20" s="18">
        <f>(2971.0/B20*100)</f>
        <v/>
      </c>
      <c r="D20" s="19" t="n">
        <v>400</v>
      </c>
      <c r="E20" s="18" t="n">
        <v>68.65050963</v>
      </c>
      <c r="F20" s="20" t="n">
        <v>2.12607243</v>
      </c>
      <c r="G20" s="18" t="n">
        <v>21.22695231</v>
      </c>
      <c r="H20" s="20" t="n">
        <v>2.12430155</v>
      </c>
      <c r="I20" s="18" t="n">
        <v>2.71078954</v>
      </c>
      <c r="J20" s="20" t="n">
        <v>0.86637505</v>
      </c>
      <c r="K20" s="18" t="n">
        <v>0</v>
      </c>
      <c r="L20" s="20" t="n">
        <v>0</v>
      </c>
      <c r="M20" s="18" t="n">
        <v>7.41174853</v>
      </c>
      <c r="N20" s="20" t="n">
        <v>1.1553709</v>
      </c>
      <c r="O20" s="18" t="n">
        <v>0</v>
      </c>
      <c r="P20" s="20" t="n">
        <v>0</v>
      </c>
      <c r="Q20" s="18" t="n">
        <v>0</v>
      </c>
      <c r="R20" s="20" t="n">
        <v>0</v>
      </c>
      <c r="S20" s="18" t="n">
        <v>0</v>
      </c>
      <c r="T20" s="20" t="n">
        <v>0</v>
      </c>
    </row>
    <row r="21" spans="1:20">
      <c r="A21" s="15" t="s">
        <v>443</v>
      </c>
      <c r="B21" s="17" t="n">
        <v>5741</v>
      </c>
      <c r="C21" s="18">
        <f>(4826.0/B21*100)</f>
        <v/>
      </c>
      <c r="D21" s="19" t="n">
        <v>915</v>
      </c>
      <c r="E21" s="18" t="n">
        <v>70.05740618</v>
      </c>
      <c r="F21" s="20" t="n">
        <v>1.30083939</v>
      </c>
      <c r="G21" s="18" t="n">
        <v>22.28202229</v>
      </c>
      <c r="H21" s="20" t="n">
        <v>1.291848</v>
      </c>
      <c r="I21" s="18" t="n">
        <v>0.82059064</v>
      </c>
      <c r="J21" s="20" t="n">
        <v>0.28862374</v>
      </c>
      <c r="K21" s="18" t="n">
        <v>0</v>
      </c>
      <c r="L21" s="20" t="n">
        <v>0</v>
      </c>
      <c r="M21" s="18" t="n">
        <v>6.83998089</v>
      </c>
      <c r="N21" s="20" t="n">
        <v>0.70504297</v>
      </c>
      <c r="O21" s="18" t="n">
        <v>0</v>
      </c>
      <c r="P21" s="20" t="n">
        <v>0</v>
      </c>
      <c r="Q21" s="18" t="n">
        <v>0</v>
      </c>
      <c r="R21" s="20" t="n">
        <v>0</v>
      </c>
      <c r="S21" s="18" t="n">
        <v>0</v>
      </c>
      <c r="T21" s="20" t="n">
        <v>0</v>
      </c>
    </row>
    <row r="22" spans="1:20">
      <c r="A22" s="15" t="s">
        <v>444</v>
      </c>
      <c r="B22" s="17" t="n">
        <v>6598</v>
      </c>
      <c r="C22" s="18">
        <f>(5820.0/B22*100)</f>
        <v/>
      </c>
      <c r="D22" s="19" t="n">
        <v>778</v>
      </c>
      <c r="E22" s="18" t="n">
        <v>71.24033677</v>
      </c>
      <c r="F22" s="20" t="n">
        <v>1.55568302</v>
      </c>
      <c r="G22" s="18" t="n">
        <v>20.0169057</v>
      </c>
      <c r="H22" s="20" t="n">
        <v>1.27075119</v>
      </c>
      <c r="I22" s="18" t="n">
        <v>1.07443662</v>
      </c>
      <c r="J22" s="20" t="n">
        <v>0.34234966</v>
      </c>
      <c r="K22" s="18" t="n">
        <v>0</v>
      </c>
      <c r="L22" s="20" t="n">
        <v>0</v>
      </c>
      <c r="M22" s="18" t="n">
        <v>7.6683209</v>
      </c>
      <c r="N22" s="20" t="n">
        <v>1.00628456</v>
      </c>
      <c r="O22" s="18" t="n">
        <v>0</v>
      </c>
      <c r="P22" s="20" t="n">
        <v>0</v>
      </c>
      <c r="Q22" s="18" t="n">
        <v>0</v>
      </c>
      <c r="R22" s="20" t="n">
        <v>0</v>
      </c>
      <c r="S22" s="18" t="n">
        <v>0</v>
      </c>
      <c r="T22" s="20" t="n">
        <v>0</v>
      </c>
    </row>
    <row r="23" spans="1:20">
      <c r="A23" s="15" t="s">
        <v>445</v>
      </c>
      <c r="B23" s="17" t="n">
        <v>11583</v>
      </c>
      <c r="C23" s="18">
        <f>(10199.0/B23*100)</f>
        <v/>
      </c>
      <c r="D23" s="19" t="n">
        <v>1384</v>
      </c>
      <c r="E23" s="18" t="n">
        <v>75.49406178</v>
      </c>
      <c r="F23" s="20" t="n">
        <v>1.52027338</v>
      </c>
      <c r="G23" s="18" t="n">
        <v>12.8380746</v>
      </c>
      <c r="H23" s="20" t="n">
        <v>1.11174716</v>
      </c>
      <c r="I23" s="18" t="n">
        <v>2.01044784</v>
      </c>
      <c r="J23" s="20" t="n">
        <v>0.51112449</v>
      </c>
      <c r="K23" s="18" t="n">
        <v>0</v>
      </c>
      <c r="L23" s="20" t="n">
        <v>0</v>
      </c>
      <c r="M23" s="18" t="n">
        <v>9.65741577</v>
      </c>
      <c r="N23" s="20" t="n">
        <v>1.11535079</v>
      </c>
      <c r="O23" s="18" t="n">
        <v>0</v>
      </c>
      <c r="P23" s="20" t="n">
        <v>0</v>
      </c>
      <c r="Q23" s="18" t="n">
        <v>0</v>
      </c>
      <c r="R23" s="20" t="n">
        <v>0</v>
      </c>
      <c r="S23" s="18" t="n">
        <v>0</v>
      </c>
      <c r="T23" s="20" t="n">
        <v>0</v>
      </c>
    </row>
    <row r="24" spans="1:20">
      <c r="A24" s="15" t="s">
        <v>446</v>
      </c>
      <c r="B24" s="17" t="n">
        <v>6647</v>
      </c>
      <c r="C24" s="18">
        <f>(5919.0/B24*100)</f>
        <v/>
      </c>
      <c r="D24" s="19" t="n">
        <v>728</v>
      </c>
      <c r="E24" s="18" t="n">
        <v>71.18600031</v>
      </c>
      <c r="F24" s="20" t="n">
        <v>1.66514621</v>
      </c>
      <c r="G24" s="18" t="n">
        <v>13.03287151</v>
      </c>
      <c r="H24" s="20" t="n">
        <v>1.13582378</v>
      </c>
      <c r="I24" s="18" t="n">
        <v>3.22034306</v>
      </c>
      <c r="J24" s="20" t="n">
        <v>0.62341452</v>
      </c>
      <c r="K24" s="18" t="n">
        <v>0</v>
      </c>
      <c r="L24" s="20" t="n">
        <v>0</v>
      </c>
      <c r="M24" s="18" t="n">
        <v>12.56078513</v>
      </c>
      <c r="N24" s="20" t="n">
        <v>1.24056741</v>
      </c>
      <c r="O24" s="18" t="n">
        <v>0</v>
      </c>
      <c r="P24" s="20" t="n">
        <v>0</v>
      </c>
      <c r="Q24" s="18" t="n">
        <v>0</v>
      </c>
      <c r="R24" s="20" t="n">
        <v>0</v>
      </c>
      <c r="S24" s="18" t="n">
        <v>0</v>
      </c>
      <c r="T24" s="20" t="n">
        <v>0</v>
      </c>
    </row>
    <row r="25" spans="1:20">
      <c r="A25" s="15" t="s">
        <v>447</v>
      </c>
      <c r="B25" s="17" t="n">
        <v>5581</v>
      </c>
      <c r="C25" s="18">
        <f>(4897.0/B25*100)</f>
        <v/>
      </c>
      <c r="D25" s="19" t="n">
        <v>684</v>
      </c>
      <c r="E25" s="18" t="n">
        <v>61.34713176</v>
      </c>
      <c r="F25" s="20" t="n">
        <v>1.75863529</v>
      </c>
      <c r="G25" s="18" t="n">
        <v>24.93592035</v>
      </c>
      <c r="H25" s="20" t="n">
        <v>1.54567503</v>
      </c>
      <c r="I25" s="18" t="n">
        <v>7.50395072</v>
      </c>
      <c r="J25" s="20" t="n">
        <v>0.98058195</v>
      </c>
      <c r="K25" s="18" t="n">
        <v>0</v>
      </c>
      <c r="L25" s="20" t="n">
        <v>0</v>
      </c>
      <c r="M25" s="18" t="n">
        <v>6.21299716</v>
      </c>
      <c r="N25" s="20" t="n">
        <v>0.96627957</v>
      </c>
      <c r="O25" s="18" t="n">
        <v>0</v>
      </c>
      <c r="P25" s="20" t="n">
        <v>0</v>
      </c>
      <c r="Q25" s="18" t="n">
        <v>0</v>
      </c>
      <c r="R25" s="20" t="n">
        <v>0</v>
      </c>
      <c r="S25" s="18" t="n">
        <v>0</v>
      </c>
      <c r="T25" s="20" t="n">
        <v>0</v>
      </c>
    </row>
    <row r="26" spans="1:20">
      <c r="A26" s="15" t="s">
        <v>448</v>
      </c>
      <c r="B26" s="17" t="n">
        <v>4869</v>
      </c>
      <c r="C26" s="18">
        <f>(4297.0/B26*100)</f>
        <v/>
      </c>
      <c r="D26" s="19" t="n">
        <v>572</v>
      </c>
      <c r="E26" s="18" t="n">
        <v>82.47774457</v>
      </c>
      <c r="F26" s="20" t="n">
        <v>1.63460227</v>
      </c>
      <c r="G26" s="18" t="n">
        <v>13.02280429</v>
      </c>
      <c r="H26" s="20" t="n">
        <v>1.45676778</v>
      </c>
      <c r="I26" s="18" t="n">
        <v>0.13725856</v>
      </c>
      <c r="J26" s="20" t="n">
        <v>0.14193622</v>
      </c>
      <c r="K26" s="18" t="n">
        <v>0</v>
      </c>
      <c r="L26" s="20" t="n">
        <v>0</v>
      </c>
      <c r="M26" s="18" t="n">
        <v>4.36219258</v>
      </c>
      <c r="N26" s="20" t="n">
        <v>0.85850833</v>
      </c>
      <c r="O26" s="18" t="n">
        <v>0</v>
      </c>
      <c r="P26" s="20" t="n">
        <v>0</v>
      </c>
      <c r="Q26" s="18" t="n">
        <v>0</v>
      </c>
      <c r="R26" s="20" t="n">
        <v>0</v>
      </c>
      <c r="S26" s="18" t="n">
        <v>0</v>
      </c>
      <c r="T26" s="20" t="n">
        <v>0</v>
      </c>
    </row>
    <row r="27" spans="1:20">
      <c r="A27" s="15" t="s">
        <v>449</v>
      </c>
      <c r="B27" s="17" t="n">
        <v>5299</v>
      </c>
      <c r="C27" s="18">
        <f>(4708.0/B27*100)</f>
        <v/>
      </c>
      <c r="D27" s="19" t="n">
        <v>591</v>
      </c>
      <c r="E27" s="18" t="n">
        <v>74.20960871</v>
      </c>
      <c r="F27" s="20" t="n">
        <v>1.94904806</v>
      </c>
      <c r="G27" s="18" t="n">
        <v>20.32543698</v>
      </c>
      <c r="H27" s="20" t="n">
        <v>1.75016099</v>
      </c>
      <c r="I27" s="18" t="n">
        <v>0.18291188</v>
      </c>
      <c r="J27" s="20" t="n">
        <v>0.18490228</v>
      </c>
      <c r="K27" s="18" t="n">
        <v>0</v>
      </c>
      <c r="L27" s="20" t="n">
        <v>0</v>
      </c>
      <c r="M27" s="18" t="n">
        <v>5.28204243</v>
      </c>
      <c r="N27" s="20" t="n">
        <v>0.78282677</v>
      </c>
      <c r="O27" s="18" t="n">
        <v>0</v>
      </c>
      <c r="P27" s="20" t="n">
        <v>0</v>
      </c>
      <c r="Q27" s="18" t="n">
        <v>0</v>
      </c>
      <c r="R27" s="20" t="n">
        <v>0</v>
      </c>
      <c r="S27" s="18" t="n">
        <v>0</v>
      </c>
      <c r="T27" s="20" t="n">
        <v>0</v>
      </c>
    </row>
    <row r="28" spans="1:20">
      <c r="A28" s="15" t="s">
        <v>450</v>
      </c>
      <c r="B28" s="17" t="n">
        <v>7568</v>
      </c>
      <c r="C28" s="18">
        <f>(6757.0/B28*100)</f>
        <v/>
      </c>
      <c r="D28" s="19" t="n">
        <v>811</v>
      </c>
      <c r="E28" s="18" t="n">
        <v>87.73997443</v>
      </c>
      <c r="F28" s="20" t="n">
        <v>1.09322715</v>
      </c>
      <c r="G28" s="18" t="n">
        <v>7.8661074</v>
      </c>
      <c r="H28" s="20" t="n">
        <v>0.82493015</v>
      </c>
      <c r="I28" s="18" t="n">
        <v>0.6083937699999999</v>
      </c>
      <c r="J28" s="20" t="n">
        <v>0.297463</v>
      </c>
      <c r="K28" s="18" t="n">
        <v>0</v>
      </c>
      <c r="L28" s="20" t="n">
        <v>0</v>
      </c>
      <c r="M28" s="18" t="n">
        <v>3.7855244</v>
      </c>
      <c r="N28" s="20" t="n">
        <v>0.72787947</v>
      </c>
      <c r="O28" s="18" t="n">
        <v>0</v>
      </c>
      <c r="P28" s="20" t="n">
        <v>0</v>
      </c>
      <c r="Q28" s="18" t="n">
        <v>0</v>
      </c>
      <c r="R28" s="20" t="n">
        <v>0</v>
      </c>
      <c r="S28" s="18" t="n">
        <v>0</v>
      </c>
      <c r="T28" s="20" t="n">
        <v>0</v>
      </c>
    </row>
    <row r="29" spans="1:20">
      <c r="A29" s="15" t="s">
        <v>451</v>
      </c>
      <c r="B29" s="17" t="n">
        <v>5385</v>
      </c>
      <c r="C29" s="18">
        <f>(4742.0/B29*100)</f>
        <v/>
      </c>
      <c r="D29" s="19" t="n">
        <v>643</v>
      </c>
      <c r="E29" s="18" t="n">
        <v>78.80126617000001</v>
      </c>
      <c r="F29" s="20" t="n">
        <v>1.8657471</v>
      </c>
      <c r="G29" s="18" t="n">
        <v>16.59364982</v>
      </c>
      <c r="H29" s="20" t="n">
        <v>1.60531405</v>
      </c>
      <c r="I29" s="18" t="n">
        <v>1.68381013</v>
      </c>
      <c r="J29" s="20" t="n">
        <v>0.48142504</v>
      </c>
      <c r="K29" s="18" t="n">
        <v>0</v>
      </c>
      <c r="L29" s="20" t="n">
        <v>0</v>
      </c>
      <c r="M29" s="18" t="n">
        <v>2.92127389</v>
      </c>
      <c r="N29" s="20" t="n">
        <v>0.64610532</v>
      </c>
      <c r="O29" s="18" t="n">
        <v>0</v>
      </c>
      <c r="P29" s="20" t="n">
        <v>0</v>
      </c>
      <c r="Q29" s="18" t="n">
        <v>0</v>
      </c>
      <c r="R29" s="20" t="n">
        <v>0</v>
      </c>
      <c r="S29" s="18" t="n">
        <v>0</v>
      </c>
      <c r="T29" s="20" t="n">
        <v>0</v>
      </c>
    </row>
    <row r="30" spans="1:20">
      <c r="A30" s="15" t="s">
        <v>452</v>
      </c>
      <c r="B30" s="17" t="n">
        <v>4520</v>
      </c>
      <c r="C30" s="18">
        <f>(3980.0/B30*100)</f>
        <v/>
      </c>
      <c r="D30" s="19" t="n">
        <v>540</v>
      </c>
      <c r="E30" s="18" t="n">
        <v>65.76908321000001</v>
      </c>
      <c r="F30" s="20" t="n">
        <v>2.18622602</v>
      </c>
      <c r="G30" s="18" t="n">
        <v>24.14999741</v>
      </c>
      <c r="H30" s="20" t="n">
        <v>2.09096908</v>
      </c>
      <c r="I30" s="18" t="n">
        <v>1.88655132</v>
      </c>
      <c r="J30" s="20" t="n">
        <v>0.60050754</v>
      </c>
      <c r="K30" s="18" t="n">
        <v>0</v>
      </c>
      <c r="L30" s="20" t="n">
        <v>0</v>
      </c>
      <c r="M30" s="18" t="n">
        <v>8.19436806</v>
      </c>
      <c r="N30" s="20" t="n">
        <v>0.93367839</v>
      </c>
      <c r="O30" s="18" t="n">
        <v>0</v>
      </c>
      <c r="P30" s="20" t="n">
        <v>0</v>
      </c>
      <c r="Q30" s="18" t="n">
        <v>0</v>
      </c>
      <c r="R30" s="20" t="n">
        <v>0</v>
      </c>
      <c r="S30" s="18" t="n">
        <v>0</v>
      </c>
      <c r="T30" s="20" t="n">
        <v>0</v>
      </c>
    </row>
    <row r="31" spans="1:20">
      <c r="A31" s="15" t="s">
        <v>453</v>
      </c>
      <c r="B31" s="17" t="n">
        <v>5456</v>
      </c>
      <c r="C31" s="18">
        <f>(4811.0/B31*100)</f>
        <v/>
      </c>
      <c r="D31" s="19" t="n">
        <v>645</v>
      </c>
      <c r="E31" s="18" t="n">
        <v>68.36302107</v>
      </c>
      <c r="F31" s="20" t="n">
        <v>1.48875835</v>
      </c>
      <c r="G31" s="18" t="n">
        <v>18.52128749</v>
      </c>
      <c r="H31" s="20" t="n">
        <v>1.46157448</v>
      </c>
      <c r="I31" s="18" t="n">
        <v>1.3882514</v>
      </c>
      <c r="J31" s="20" t="n">
        <v>0.44881691</v>
      </c>
      <c r="K31" s="18" t="n">
        <v>0</v>
      </c>
      <c r="L31" s="20" t="n">
        <v>0</v>
      </c>
      <c r="M31" s="18" t="n">
        <v>11.72744004</v>
      </c>
      <c r="N31" s="20" t="n">
        <v>1.24244511</v>
      </c>
      <c r="O31" s="18" t="n">
        <v>0</v>
      </c>
      <c r="P31" s="20" t="n">
        <v>0</v>
      </c>
      <c r="Q31" s="18" t="n">
        <v>0</v>
      </c>
      <c r="R31" s="20" t="n">
        <v>0</v>
      </c>
      <c r="S31" s="18" t="n">
        <v>0</v>
      </c>
      <c r="T31" s="20" t="n">
        <v>0</v>
      </c>
    </row>
    <row r="32" spans="1:20">
      <c r="A32" s="15" t="s">
        <v>454</v>
      </c>
      <c r="B32" s="17" t="n">
        <v>4478</v>
      </c>
      <c r="C32" s="18">
        <f>(3786.0/B32*100)</f>
        <v/>
      </c>
      <c r="D32" s="19" t="n">
        <v>692</v>
      </c>
      <c r="E32" s="18" t="n">
        <v>73.38411073</v>
      </c>
      <c r="F32" s="20" t="n">
        <v>2.0604748</v>
      </c>
      <c r="G32" s="18" t="n">
        <v>18.54596864</v>
      </c>
      <c r="H32" s="20" t="n">
        <v>1.6754772</v>
      </c>
      <c r="I32" s="18" t="n">
        <v>2.28617466</v>
      </c>
      <c r="J32" s="20" t="n">
        <v>0.55162974</v>
      </c>
      <c r="K32" s="18" t="n">
        <v>0</v>
      </c>
      <c r="L32" s="20" t="n">
        <v>0</v>
      </c>
      <c r="M32" s="18" t="n">
        <v>5.78374597</v>
      </c>
      <c r="N32" s="20" t="n">
        <v>0.9995276</v>
      </c>
      <c r="O32" s="18" t="n">
        <v>0</v>
      </c>
      <c r="P32" s="20" t="n">
        <v>0</v>
      </c>
      <c r="Q32" s="18" t="n">
        <v>0</v>
      </c>
      <c r="R32" s="20" t="n">
        <v>0</v>
      </c>
      <c r="S32" s="18" t="n">
        <v>0</v>
      </c>
      <c r="T32" s="20" t="n">
        <v>0</v>
      </c>
    </row>
    <row r="33" spans="1:20">
      <c r="A33" s="15" t="s">
        <v>455</v>
      </c>
      <c r="B33" s="17" t="n">
        <v>7325</v>
      </c>
      <c r="C33" s="18">
        <f>(6498.0/B33*100)</f>
        <v/>
      </c>
      <c r="D33" s="19" t="n">
        <v>827</v>
      </c>
      <c r="E33" s="18" t="n">
        <v>73.88674875</v>
      </c>
      <c r="F33" s="20" t="n">
        <v>1.83887045</v>
      </c>
      <c r="G33" s="18" t="n">
        <v>21.07835102</v>
      </c>
      <c r="H33" s="20" t="n">
        <v>1.70375899</v>
      </c>
      <c r="I33" s="18" t="n">
        <v>1.30055512</v>
      </c>
      <c r="J33" s="20" t="n">
        <v>0.30454784</v>
      </c>
      <c r="K33" s="18" t="n">
        <v>0</v>
      </c>
      <c r="L33" s="20" t="n">
        <v>0</v>
      </c>
      <c r="M33" s="18" t="n">
        <v>3.73434511</v>
      </c>
      <c r="N33" s="20" t="n">
        <v>0.88627282</v>
      </c>
      <c r="O33" s="18" t="n">
        <v>0</v>
      </c>
      <c r="P33" s="20" t="n">
        <v>0</v>
      </c>
      <c r="Q33" s="18" t="n">
        <v>0</v>
      </c>
      <c r="R33" s="20" t="n">
        <v>0</v>
      </c>
      <c r="S33" s="18" t="n">
        <v>0</v>
      </c>
      <c r="T33" s="20" t="n">
        <v>0</v>
      </c>
    </row>
    <row r="34" spans="1:20">
      <c r="A34" s="15" t="s">
        <v>456</v>
      </c>
      <c r="B34" s="17" t="n">
        <v>6350</v>
      </c>
      <c r="C34" s="18">
        <f>(5604.0/B34*100)</f>
        <v/>
      </c>
      <c r="D34" s="19" t="n">
        <v>746</v>
      </c>
      <c r="E34" s="18" t="n">
        <v>80.17298913</v>
      </c>
      <c r="F34" s="20" t="n">
        <v>1.57363851</v>
      </c>
      <c r="G34" s="18" t="n">
        <v>12.28802092</v>
      </c>
      <c r="H34" s="20" t="n">
        <v>1.28299637</v>
      </c>
      <c r="I34" s="18" t="n">
        <v>0.71620218</v>
      </c>
      <c r="J34" s="20" t="n">
        <v>0.31238837</v>
      </c>
      <c r="K34" s="18" t="n">
        <v>0</v>
      </c>
      <c r="L34" s="20" t="n">
        <v>0</v>
      </c>
      <c r="M34" s="18" t="n">
        <v>6.82278776</v>
      </c>
      <c r="N34" s="20" t="n">
        <v>0.98235353</v>
      </c>
      <c r="O34" s="18" t="n">
        <v>0</v>
      </c>
      <c r="P34" s="20" t="n">
        <v>0</v>
      </c>
      <c r="Q34" s="18" t="n">
        <v>0</v>
      </c>
      <c r="R34" s="20" t="n">
        <v>0</v>
      </c>
      <c r="S34" s="18" t="n">
        <v>0</v>
      </c>
      <c r="T34" s="20" t="n">
        <v>0</v>
      </c>
    </row>
    <row r="35" spans="1:20">
      <c r="A35" s="15" t="s">
        <v>457</v>
      </c>
      <c r="B35" s="17" t="n">
        <v>6406</v>
      </c>
      <c r="C35" s="18">
        <f>(5649.0/B35*100)</f>
        <v/>
      </c>
      <c r="D35" s="19" t="n">
        <v>757</v>
      </c>
      <c r="E35" s="18" t="n">
        <v>75.69823886</v>
      </c>
      <c r="F35" s="20" t="n">
        <v>2.37933076</v>
      </c>
      <c r="G35" s="18" t="n">
        <v>17.14343648</v>
      </c>
      <c r="H35" s="20" t="n">
        <v>2.13261643</v>
      </c>
      <c r="I35" s="18" t="n">
        <v>0.97307994</v>
      </c>
      <c r="J35" s="20" t="n">
        <v>0.34696426</v>
      </c>
      <c r="K35" s="18" t="n">
        <v>0</v>
      </c>
      <c r="L35" s="20" t="n">
        <v>0</v>
      </c>
      <c r="M35" s="18" t="n">
        <v>6.18524472</v>
      </c>
      <c r="N35" s="20" t="n">
        <v>1.1502449</v>
      </c>
      <c r="O35" s="18" t="n">
        <v>0</v>
      </c>
      <c r="P35" s="20" t="n">
        <v>0</v>
      </c>
      <c r="Q35" s="18" t="n">
        <v>0</v>
      </c>
      <c r="R35" s="20" t="n">
        <v>0</v>
      </c>
      <c r="S35" s="18" t="n">
        <v>0</v>
      </c>
      <c r="T35" s="20" t="n">
        <v>0</v>
      </c>
    </row>
    <row r="36" spans="1:20">
      <c r="A36" s="15" t="s">
        <v>458</v>
      </c>
      <c r="B36" s="17" t="n">
        <v>6736</v>
      </c>
      <c r="C36" s="18">
        <f>(5948.0/B36*100)</f>
        <v/>
      </c>
      <c r="D36" s="19" t="n">
        <v>788</v>
      </c>
      <c r="E36" s="18" t="n">
        <v>73.80779366</v>
      </c>
      <c r="F36" s="20" t="n">
        <v>1.73384403</v>
      </c>
      <c r="G36" s="18" t="n">
        <v>19.86153509</v>
      </c>
      <c r="H36" s="20" t="n">
        <v>1.82361332</v>
      </c>
      <c r="I36" s="18" t="n">
        <v>1.18555618</v>
      </c>
      <c r="J36" s="20" t="n">
        <v>0.30974414</v>
      </c>
      <c r="K36" s="18" t="n">
        <v>0</v>
      </c>
      <c r="L36" s="20" t="n">
        <v>0</v>
      </c>
      <c r="M36" s="18" t="n">
        <v>5.14511507</v>
      </c>
      <c r="N36" s="20" t="n">
        <v>0.89890538</v>
      </c>
      <c r="O36" s="18" t="n">
        <v>0</v>
      </c>
      <c r="P36" s="20" t="n">
        <v>0</v>
      </c>
      <c r="Q36" s="18" t="n">
        <v>0</v>
      </c>
      <c r="R36" s="20" t="n">
        <v>0</v>
      </c>
      <c r="S36" s="18" t="n">
        <v>0</v>
      </c>
      <c r="T36" s="20" t="n">
        <v>0</v>
      </c>
    </row>
    <row r="37" spans="1:20">
      <c r="A37" s="15" t="s">
        <v>459</v>
      </c>
      <c r="B37" s="17" t="n">
        <v>5458</v>
      </c>
      <c r="C37" s="18">
        <f>(4810.0/B37*100)</f>
        <v/>
      </c>
      <c r="D37" s="19" t="n">
        <v>648</v>
      </c>
      <c r="E37" s="18" t="n">
        <v>61.17196768</v>
      </c>
      <c r="F37" s="20" t="n">
        <v>1.84074414</v>
      </c>
      <c r="G37" s="18" t="n">
        <v>26.31708266</v>
      </c>
      <c r="H37" s="20" t="n">
        <v>1.76671154</v>
      </c>
      <c r="I37" s="18" t="n">
        <v>1.60453649</v>
      </c>
      <c r="J37" s="20" t="n">
        <v>0.52194673</v>
      </c>
      <c r="K37" s="18" t="n">
        <v>0</v>
      </c>
      <c r="L37" s="20" t="n">
        <v>0</v>
      </c>
      <c r="M37" s="18" t="n">
        <v>10.90641318</v>
      </c>
      <c r="N37" s="20" t="n">
        <v>1.45838757</v>
      </c>
      <c r="O37" s="18" t="n">
        <v>0</v>
      </c>
      <c r="P37" s="20" t="n">
        <v>0</v>
      </c>
      <c r="Q37" s="18" t="n">
        <v>0</v>
      </c>
      <c r="R37" s="20" t="n">
        <v>0</v>
      </c>
      <c r="S37" s="18" t="n">
        <v>0</v>
      </c>
      <c r="T37" s="20" t="n">
        <v>0</v>
      </c>
    </row>
    <row r="38" spans="1:20">
      <c r="A38" s="15" t="s">
        <v>460</v>
      </c>
      <c r="B38" s="17" t="n">
        <v>5860</v>
      </c>
      <c r="C38" s="18">
        <f>(4987.0/B38*100)</f>
        <v/>
      </c>
      <c r="D38" s="19" t="n">
        <v>873</v>
      </c>
      <c r="E38" s="18" t="n">
        <v>63.55206844</v>
      </c>
      <c r="F38" s="20" t="n">
        <v>1.8057779</v>
      </c>
      <c r="G38" s="18" t="n">
        <v>28.98226815</v>
      </c>
      <c r="H38" s="20" t="n">
        <v>1.91391986</v>
      </c>
      <c r="I38" s="18" t="n">
        <v>0.85850384</v>
      </c>
      <c r="J38" s="20" t="n">
        <v>0.38274951</v>
      </c>
      <c r="K38" s="18" t="n">
        <v>0</v>
      </c>
      <c r="L38" s="20" t="n">
        <v>0</v>
      </c>
      <c r="M38" s="18" t="n">
        <v>6.60715956</v>
      </c>
      <c r="N38" s="20" t="n">
        <v>0.8422557000000001</v>
      </c>
      <c r="O38" s="18" t="n">
        <v>0</v>
      </c>
      <c r="P38" s="20" t="n">
        <v>0</v>
      </c>
      <c r="Q38" s="18" t="n">
        <v>0</v>
      </c>
      <c r="R38" s="20" t="n">
        <v>0</v>
      </c>
      <c r="S38" s="18" t="n">
        <v>0</v>
      </c>
      <c r="T38" s="20" t="n">
        <v>0</v>
      </c>
    </row>
    <row r="39" spans="1:20">
      <c r="A39" s="15" t="s">
        <v>461</v>
      </c>
      <c r="B39" s="17" t="n">
        <v>5895</v>
      </c>
      <c r="C39" s="18">
        <f>(5180.0/B39*100)</f>
        <v/>
      </c>
      <c r="D39" s="19" t="n">
        <v>715</v>
      </c>
      <c r="E39" s="18" t="n">
        <v>88.48573583</v>
      </c>
      <c r="F39" s="20" t="n">
        <v>1.41891385</v>
      </c>
      <c r="G39" s="18" t="n">
        <v>5.7256554</v>
      </c>
      <c r="H39" s="20" t="n">
        <v>0.9829062</v>
      </c>
      <c r="I39" s="18" t="n">
        <v>0.97745162</v>
      </c>
      <c r="J39" s="20" t="n">
        <v>0.50431534</v>
      </c>
      <c r="K39" s="18" t="n">
        <v>0</v>
      </c>
      <c r="L39" s="20" t="n">
        <v>0</v>
      </c>
      <c r="M39" s="18" t="n">
        <v>4.81115715</v>
      </c>
      <c r="N39" s="20" t="n">
        <v>0.89174562</v>
      </c>
      <c r="O39" s="18" t="n">
        <v>0</v>
      </c>
      <c r="P39" s="20" t="n">
        <v>0</v>
      </c>
      <c r="Q39" s="18" t="n">
        <v>0</v>
      </c>
      <c r="R39" s="20" t="n">
        <v>0</v>
      </c>
      <c r="S39" s="18" t="n">
        <v>0</v>
      </c>
      <c r="T39" s="20" t="n">
        <v>0</v>
      </c>
    </row>
    <row r="40" spans="1:20">
      <c r="A40" s="15" t="s">
        <v>462</v>
      </c>
      <c r="B40" s="17" t="n">
        <v>14157</v>
      </c>
      <c r="C40" s="18">
        <f>(12471.0/B40*100)</f>
        <v/>
      </c>
      <c r="D40" s="19" t="n">
        <v>1686</v>
      </c>
      <c r="E40" s="18" t="n">
        <v>73.64811032</v>
      </c>
      <c r="F40" s="20" t="n">
        <v>1.60182178</v>
      </c>
      <c r="G40" s="18" t="n">
        <v>17.55958522</v>
      </c>
      <c r="H40" s="20" t="n">
        <v>1.27581386</v>
      </c>
      <c r="I40" s="18" t="n">
        <v>0.94135619</v>
      </c>
      <c r="J40" s="20" t="n">
        <v>0.32254789</v>
      </c>
      <c r="K40" s="18" t="n">
        <v>0</v>
      </c>
      <c r="L40" s="20" t="n">
        <v>0</v>
      </c>
      <c r="M40" s="18" t="n">
        <v>7.85094828</v>
      </c>
      <c r="N40" s="20" t="n">
        <v>1.03481267</v>
      </c>
      <c r="O40" s="18" t="n">
        <v>0</v>
      </c>
      <c r="P40" s="20" t="n">
        <v>0</v>
      </c>
      <c r="Q40" s="18" t="n">
        <v>0</v>
      </c>
      <c r="R40" s="20" t="n">
        <v>0</v>
      </c>
      <c r="S40" s="18" t="n">
        <v>0</v>
      </c>
      <c r="T40" s="20" t="n">
        <v>0</v>
      </c>
    </row>
    <row r="41" spans="1:20">
      <c r="A41" s="15" t="s">
        <v>463</v>
      </c>
      <c r="B41" s="17" t="n">
        <v>5712</v>
      </c>
      <c r="C41" s="18">
        <f>(5070.0/B41*100)</f>
        <v/>
      </c>
      <c r="D41" s="19" t="n">
        <v>642</v>
      </c>
      <c r="E41" s="18" t="n">
        <v>78.36827604</v>
      </c>
      <c r="F41" s="20" t="n">
        <v>1.55534272</v>
      </c>
      <c r="G41" s="18" t="n">
        <v>17.99187264</v>
      </c>
      <c r="H41" s="20" t="n">
        <v>1.52027964</v>
      </c>
      <c r="I41" s="18" t="n">
        <v>1.03445422</v>
      </c>
      <c r="J41" s="20" t="n">
        <v>0.40328322</v>
      </c>
      <c r="K41" s="18" t="n">
        <v>0</v>
      </c>
      <c r="L41" s="20" t="n">
        <v>0</v>
      </c>
      <c r="M41" s="18" t="n">
        <v>2.6053971</v>
      </c>
      <c r="N41" s="20" t="n">
        <v>0.69930727</v>
      </c>
      <c r="O41" s="18" t="n">
        <v>0</v>
      </c>
      <c r="P41" s="20" t="n">
        <v>0</v>
      </c>
      <c r="Q41" s="18" t="n">
        <v>0</v>
      </c>
      <c r="R41" s="20" t="n">
        <v>0</v>
      </c>
      <c r="S41" s="18" t="n">
        <v>0</v>
      </c>
      <c r="T41" s="20" t="n">
        <v>0</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(21215.0/B46*100)</f>
        <v/>
      </c>
      <c r="D46" s="19" t="n">
        <v>1926</v>
      </c>
      <c r="E46" s="18" t="n">
        <v>80.76616672999999</v>
      </c>
      <c r="F46" s="20" t="n">
        <v>1.34554681</v>
      </c>
      <c r="G46" s="18" t="n">
        <v>5.49198515</v>
      </c>
      <c r="H46" s="20" t="n">
        <v>0.7504914</v>
      </c>
      <c r="I46" s="18" t="n">
        <v>0.22599233</v>
      </c>
      <c r="J46" s="20" t="n">
        <v>0.12925196</v>
      </c>
      <c r="K46" s="18" t="n">
        <v>0</v>
      </c>
      <c r="L46" s="20" t="n">
        <v>0</v>
      </c>
      <c r="M46" s="18" t="n">
        <v>13.51585579</v>
      </c>
      <c r="N46" s="20" t="n">
        <v>1.0422731</v>
      </c>
      <c r="O46" s="18" t="n">
        <v>0</v>
      </c>
      <c r="P46" s="20" t="n">
        <v>0</v>
      </c>
      <c r="Q46" s="18" t="n">
        <v>0</v>
      </c>
      <c r="R46" s="20" t="n">
        <v>0</v>
      </c>
      <c r="S46" s="18" t="n">
        <v>0</v>
      </c>
      <c r="T46" s="20" t="n">
        <v>0</v>
      </c>
    </row>
    <row r="47" spans="1:20">
      <c r="A47" s="15" t="s">
        <v>470</v>
      </c>
      <c r="B47" s="17" t="n">
        <v>5928</v>
      </c>
      <c r="C47" s="18">
        <f>(5244.0/B47*100)</f>
        <v/>
      </c>
      <c r="D47" s="19" t="n">
        <v>684</v>
      </c>
      <c r="E47" s="18" t="n">
        <v>76.54089930000001</v>
      </c>
      <c r="F47" s="20" t="n">
        <v>1.86604598</v>
      </c>
      <c r="G47" s="18" t="n">
        <v>13.63979481</v>
      </c>
      <c r="H47" s="20" t="n">
        <v>1.61176224</v>
      </c>
      <c r="I47" s="18" t="n">
        <v>0.286496</v>
      </c>
      <c r="J47" s="20" t="n">
        <v>0.20132648</v>
      </c>
      <c r="K47" s="18" t="n">
        <v>0</v>
      </c>
      <c r="L47" s="20" t="n">
        <v>0</v>
      </c>
      <c r="M47" s="18" t="n">
        <v>9.53280988</v>
      </c>
      <c r="N47" s="20" t="n">
        <v>1.33418133</v>
      </c>
      <c r="O47" s="18" t="n">
        <v>0</v>
      </c>
      <c r="P47" s="20" t="n">
        <v>0</v>
      </c>
      <c r="Q47" s="18" t="n">
        <v>0</v>
      </c>
      <c r="R47" s="20" t="n">
        <v>0</v>
      </c>
      <c r="S47" s="18" t="n">
        <v>0</v>
      </c>
      <c r="T47" s="20" t="n">
        <v>0</v>
      </c>
    </row>
    <row r="48" spans="1:20">
      <c r="A48" s="15" t="s">
        <v>471</v>
      </c>
      <c r="B48" s="17" t="n">
        <v>9841</v>
      </c>
      <c r="C48" s="18">
        <f>(8650.0/B48*100)</f>
        <v/>
      </c>
      <c r="D48" s="19" t="n">
        <v>1191</v>
      </c>
      <c r="E48" s="18" t="n">
        <v>67.15714738</v>
      </c>
      <c r="F48" s="20" t="n">
        <v>1.7569426</v>
      </c>
      <c r="G48" s="18" t="n">
        <v>21.38920929</v>
      </c>
      <c r="H48" s="20" t="n">
        <v>1.45117951</v>
      </c>
      <c r="I48" s="18" t="n">
        <v>6.54288157</v>
      </c>
      <c r="J48" s="20" t="n">
        <v>1.16034369</v>
      </c>
      <c r="K48" s="18" t="n">
        <v>0</v>
      </c>
      <c r="L48" s="20" t="n">
        <v>0</v>
      </c>
      <c r="M48" s="18" t="n">
        <v>4.91076177</v>
      </c>
      <c r="N48" s="20" t="n">
        <v>0.81784102</v>
      </c>
      <c r="O48" s="18" t="n">
        <v>0</v>
      </c>
      <c r="P48" s="20" t="n">
        <v>0</v>
      </c>
      <c r="Q48" s="18" t="n">
        <v>0</v>
      </c>
      <c r="R48" s="20" t="n">
        <v>0</v>
      </c>
      <c r="S48" s="18" t="n">
        <v>0</v>
      </c>
      <c r="T48" s="20" t="n">
        <v>0</v>
      </c>
    </row>
    <row r="49" spans="1:20">
      <c r="A49" s="15" t="s">
        <v>472</v>
      </c>
      <c r="B49" s="17" t="n">
        <v>11795</v>
      </c>
      <c r="C49" s="18">
        <f>(10397.0/B49*100)</f>
        <v/>
      </c>
      <c r="D49" s="19" t="n">
        <v>1398</v>
      </c>
      <c r="E49" s="18" t="n">
        <v>81.31441914</v>
      </c>
      <c r="F49" s="20" t="n">
        <v>1.54942868</v>
      </c>
      <c r="G49" s="18" t="n">
        <v>9.51978102</v>
      </c>
      <c r="H49" s="20" t="n">
        <v>1.07255682</v>
      </c>
      <c r="I49" s="18" t="n">
        <v>0.94728123</v>
      </c>
      <c r="J49" s="20" t="n">
        <v>0.479611</v>
      </c>
      <c r="K49" s="18" t="n">
        <v>0</v>
      </c>
      <c r="L49" s="20" t="n">
        <v>0</v>
      </c>
      <c r="M49" s="18" t="n">
        <v>8.218518599999999</v>
      </c>
      <c r="N49" s="20" t="n">
        <v>0.9744604</v>
      </c>
      <c r="O49" s="18" t="n">
        <v>0</v>
      </c>
      <c r="P49" s="20" t="n">
        <v>0</v>
      </c>
      <c r="Q49" s="18" t="n">
        <v>0</v>
      </c>
      <c r="R49" s="20" t="n">
        <v>0</v>
      </c>
      <c r="S49" s="18" t="n">
        <v>0</v>
      </c>
      <c r="T49" s="20" t="n">
        <v>0</v>
      </c>
    </row>
    <row r="50" spans="1:20">
      <c r="A50" s="15" t="s">
        <v>473</v>
      </c>
      <c r="B50" s="17" t="n">
        <v>6866</v>
      </c>
      <c r="C50" s="18">
        <f>(6174.0/B50*100)</f>
        <v/>
      </c>
      <c r="D50" s="19" t="n">
        <v>692</v>
      </c>
      <c r="E50" s="18" t="n">
        <v>79.15877671</v>
      </c>
      <c r="F50" s="20" t="n">
        <v>1.65047629</v>
      </c>
      <c r="G50" s="18" t="n">
        <v>13.04308721</v>
      </c>
      <c r="H50" s="20" t="n">
        <v>1.49537264</v>
      </c>
      <c r="I50" s="18" t="n">
        <v>0.66481395</v>
      </c>
      <c r="J50" s="20" t="n">
        <v>0.27031355</v>
      </c>
      <c r="K50" s="18" t="n">
        <v>0</v>
      </c>
      <c r="L50" s="20" t="n">
        <v>0</v>
      </c>
      <c r="M50" s="18" t="n">
        <v>7.13332214</v>
      </c>
      <c r="N50" s="20" t="n">
        <v>1.39258228</v>
      </c>
      <c r="O50" s="18" t="n">
        <v>0</v>
      </c>
      <c r="P50" s="20" t="n">
        <v>0</v>
      </c>
      <c r="Q50" s="18" t="n">
        <v>0</v>
      </c>
      <c r="R50" s="20" t="n">
        <v>0</v>
      </c>
      <c r="S50" s="18" t="n">
        <v>0</v>
      </c>
      <c r="T50" s="20" t="n">
        <v>0</v>
      </c>
    </row>
    <row r="51" spans="1:20">
      <c r="A51" s="15" t="s">
        <v>474</v>
      </c>
      <c r="B51" s="17" t="n">
        <v>5809</v>
      </c>
      <c r="C51" s="18">
        <f>(5112.0/B51*100)</f>
        <v/>
      </c>
      <c r="D51" s="19" t="n">
        <v>697</v>
      </c>
      <c r="E51" s="18" t="n">
        <v>69.53050306</v>
      </c>
      <c r="F51" s="20" t="n">
        <v>1.85843464</v>
      </c>
      <c r="G51" s="18" t="n">
        <v>21.54604204</v>
      </c>
      <c r="H51" s="20" t="n">
        <v>1.85363721</v>
      </c>
      <c r="I51" s="18" t="n">
        <v>2.12884019</v>
      </c>
      <c r="J51" s="20" t="n">
        <v>0.50756594</v>
      </c>
      <c r="K51" s="18" t="n">
        <v>0</v>
      </c>
      <c r="L51" s="20" t="n">
        <v>0</v>
      </c>
      <c r="M51" s="18" t="n">
        <v>6.79461471</v>
      </c>
      <c r="N51" s="20" t="n">
        <v>0.92523126</v>
      </c>
      <c r="O51" s="18" t="n">
        <v>0</v>
      </c>
      <c r="P51" s="20" t="n">
        <v>0</v>
      </c>
      <c r="Q51" s="18" t="n">
        <v>0</v>
      </c>
      <c r="R51" s="20" t="n">
        <v>0</v>
      </c>
      <c r="S51" s="18" t="n">
        <v>0</v>
      </c>
      <c r="T51" s="20" t="n">
        <v>0</v>
      </c>
    </row>
    <row r="52" spans="1:20">
      <c r="A52" s="15" t="s">
        <v>475</v>
      </c>
      <c r="B52" s="17" t="n">
        <v>5571</v>
      </c>
      <c r="C52" s="18">
        <f>(4916.0/B52*100)</f>
        <v/>
      </c>
      <c r="D52" s="19" t="n">
        <v>655</v>
      </c>
      <c r="E52" s="18" t="n">
        <v>82.39086139</v>
      </c>
      <c r="F52" s="20" t="n">
        <v>1.63696451</v>
      </c>
      <c r="G52" s="18" t="n">
        <v>7.58876356</v>
      </c>
      <c r="H52" s="20" t="n">
        <v>1.09909899</v>
      </c>
      <c r="I52" s="18" t="n">
        <v>0.48270053</v>
      </c>
      <c r="J52" s="20" t="n">
        <v>0.31245121</v>
      </c>
      <c r="K52" s="18" t="n">
        <v>0</v>
      </c>
      <c r="L52" s="20" t="n">
        <v>0</v>
      </c>
      <c r="M52" s="18" t="n">
        <v>9.53767451</v>
      </c>
      <c r="N52" s="20" t="n">
        <v>1.16895134</v>
      </c>
      <c r="O52" s="18" t="n">
        <v>0</v>
      </c>
      <c r="P52" s="20" t="n">
        <v>0</v>
      </c>
      <c r="Q52" s="18" t="n">
        <v>0</v>
      </c>
      <c r="R52" s="20" t="n">
        <v>0</v>
      </c>
      <c r="S52" s="18" t="n">
        <v>0</v>
      </c>
      <c r="T52" s="20" t="n">
        <v>0</v>
      </c>
    </row>
    <row r="53" spans="1:20">
      <c r="A53" s="15" t="s">
        <v>476</v>
      </c>
      <c r="B53" s="17" t="n">
        <v>4740</v>
      </c>
      <c r="C53" s="18">
        <f>(3983.0/B53*100)</f>
        <v/>
      </c>
      <c r="D53" s="19" t="n">
        <v>757</v>
      </c>
      <c r="E53" s="18" t="n">
        <v>64.52003678</v>
      </c>
      <c r="F53" s="20" t="n">
        <v>1.84038494</v>
      </c>
      <c r="G53" s="18" t="n">
        <v>2.22006384</v>
      </c>
      <c r="H53" s="20" t="n">
        <v>0.49155866</v>
      </c>
      <c r="I53" s="18" t="n">
        <v>0</v>
      </c>
      <c r="J53" s="20" t="n">
        <v>0</v>
      </c>
      <c r="K53" s="18" t="n">
        <v>0</v>
      </c>
      <c r="L53" s="20" t="n">
        <v>0</v>
      </c>
      <c r="M53" s="18" t="n">
        <v>33.25989938</v>
      </c>
      <c r="N53" s="20" t="n">
        <v>1.8591255</v>
      </c>
      <c r="O53" s="18" t="n">
        <v>0</v>
      </c>
      <c r="P53" s="20" t="n">
        <v>0</v>
      </c>
      <c r="Q53" s="18" t="n">
        <v>0</v>
      </c>
      <c r="R53" s="20" t="n">
        <v>0</v>
      </c>
      <c r="S53" s="18" t="n">
        <v>0</v>
      </c>
      <c r="T53" s="20" t="n">
        <v>0</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(4709.0/B55*100)</f>
        <v/>
      </c>
      <c r="D55" s="19" t="n">
        <v>650</v>
      </c>
      <c r="E55" s="18" t="n">
        <v>50.03192383</v>
      </c>
      <c r="F55" s="20" t="n">
        <v>1.78861796</v>
      </c>
      <c r="G55" s="18" t="n">
        <v>43.24845147</v>
      </c>
      <c r="H55" s="20" t="n">
        <v>1.89837958</v>
      </c>
      <c r="I55" s="18" t="n">
        <v>4.20019697</v>
      </c>
      <c r="J55" s="20" t="n">
        <v>0.79971408</v>
      </c>
      <c r="K55" s="18" t="n">
        <v>0</v>
      </c>
      <c r="L55" s="20" t="n">
        <v>0</v>
      </c>
      <c r="M55" s="18" t="n">
        <v>2.51942773</v>
      </c>
      <c r="N55" s="20" t="n">
        <v>0.79901298</v>
      </c>
      <c r="O55" s="18" t="n">
        <v>0</v>
      </c>
      <c r="P55" s="20" t="n">
        <v>0</v>
      </c>
      <c r="Q55" s="18" t="n">
        <v>0</v>
      </c>
      <c r="R55" s="20" t="n">
        <v>0</v>
      </c>
      <c r="S55" s="18" t="n">
        <v>0</v>
      </c>
      <c r="T55" s="20" t="n">
        <v>0</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(5722.0/B61*100)</f>
        <v/>
      </c>
      <c r="D61" s="19" t="n">
        <v>803</v>
      </c>
      <c r="E61" s="18" t="n">
        <v>71.33507246000001</v>
      </c>
      <c r="F61" s="20" t="n">
        <v>1.87445063</v>
      </c>
      <c r="G61" s="18" t="n">
        <v>18.54983354</v>
      </c>
      <c r="H61" s="20" t="n">
        <v>1.53375872</v>
      </c>
      <c r="I61" s="18" t="n">
        <v>0.65236185</v>
      </c>
      <c r="J61" s="20" t="n">
        <v>0.35252797</v>
      </c>
      <c r="K61" s="18" t="n">
        <v>0</v>
      </c>
      <c r="L61" s="20" t="n">
        <v>0</v>
      </c>
      <c r="M61" s="18" t="n">
        <v>9.462732150000001</v>
      </c>
      <c r="N61" s="20" t="n">
        <v>1.2249498</v>
      </c>
      <c r="O61" s="18" t="n">
        <v>0</v>
      </c>
      <c r="P61" s="20" t="n">
        <v>0</v>
      </c>
      <c r="Q61" s="18" t="n">
        <v>0</v>
      </c>
      <c r="R61" s="20" t="n">
        <v>0</v>
      </c>
      <c r="S61" s="18" t="n">
        <v>0</v>
      </c>
      <c r="T61" s="20" t="n">
        <v>0</v>
      </c>
    </row>
    <row r="62" spans="1:20">
      <c r="A62" s="15" t="s">
        <v>486</v>
      </c>
      <c r="B62" s="17" t="n">
        <v>4476</v>
      </c>
      <c r="C62" s="18">
        <f>(3969.0/B62*100)</f>
        <v/>
      </c>
      <c r="D62" s="19" t="n">
        <v>507</v>
      </c>
      <c r="E62" s="18" t="n">
        <v>56.21223873</v>
      </c>
      <c r="F62" s="20" t="n">
        <v>2.0460268</v>
      </c>
      <c r="G62" s="18" t="n">
        <v>40.04008804</v>
      </c>
      <c r="H62" s="20" t="n">
        <v>1.84406659</v>
      </c>
      <c r="I62" s="18" t="n">
        <v>2.76623649</v>
      </c>
      <c r="J62" s="20" t="n">
        <v>0.72695814</v>
      </c>
      <c r="K62" s="18" t="n">
        <v>0</v>
      </c>
      <c r="L62" s="20" t="n">
        <v>0</v>
      </c>
      <c r="M62" s="18" t="n">
        <v>0.98143674</v>
      </c>
      <c r="N62" s="20" t="n">
        <v>0.44275251</v>
      </c>
      <c r="O62" s="18" t="n">
        <v>0</v>
      </c>
      <c r="P62" s="20" t="n">
        <v>0</v>
      </c>
      <c r="Q62" s="18" t="n">
        <v>0</v>
      </c>
      <c r="R62" s="20" t="n">
        <v>0</v>
      </c>
      <c r="S62" s="18" t="n">
        <v>0</v>
      </c>
      <c r="T62" s="20" t="n">
        <v>0</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(5009.0/B67*100)</f>
        <v/>
      </c>
      <c r="D67" s="19" t="n">
        <v>656</v>
      </c>
      <c r="E67" s="18" t="n">
        <v>80.06640096</v>
      </c>
      <c r="F67" s="20" t="n">
        <v>1.42436003</v>
      </c>
      <c r="G67" s="18" t="n">
        <v>7.41052044</v>
      </c>
      <c r="H67" s="20" t="n">
        <v>1.09553889</v>
      </c>
      <c r="I67" s="18" t="n">
        <v>0.16672153</v>
      </c>
      <c r="J67" s="20" t="n">
        <v>0.16588465</v>
      </c>
      <c r="K67" s="18" t="n">
        <v>0</v>
      </c>
      <c r="L67" s="20" t="n">
        <v>0</v>
      </c>
      <c r="M67" s="18" t="n">
        <v>12.35635706</v>
      </c>
      <c r="N67" s="20" t="n">
        <v>1.33040686</v>
      </c>
      <c r="O67" s="18" t="n">
        <v>0</v>
      </c>
      <c r="P67" s="20" t="n">
        <v>0</v>
      </c>
      <c r="Q67" s="18" t="n">
        <v>0</v>
      </c>
      <c r="R67" s="20" t="n">
        <v>0</v>
      </c>
      <c r="S67" s="18" t="n">
        <v>0</v>
      </c>
      <c r="T67" s="20" t="n">
        <v>0</v>
      </c>
    </row>
    <row r="68" spans="1:20">
      <c r="A68" s="15" t="s">
        <v>492</v>
      </c>
      <c r="B68" s="17" t="n">
        <v>6971</v>
      </c>
      <c r="C68" s="18">
        <f>(6339.0/B68*100)</f>
        <v/>
      </c>
      <c r="D68" s="19" t="n">
        <v>632</v>
      </c>
      <c r="E68" s="18" t="n">
        <v>83.87914852999999</v>
      </c>
      <c r="F68" s="20" t="n">
        <v>1.71951264</v>
      </c>
      <c r="G68" s="18" t="n">
        <v>8.99272317</v>
      </c>
      <c r="H68" s="20" t="n">
        <v>1.47476218</v>
      </c>
      <c r="I68" s="18" t="n">
        <v>0.82897843</v>
      </c>
      <c r="J68" s="20" t="n">
        <v>0.34087285</v>
      </c>
      <c r="K68" s="18" t="n">
        <v>0</v>
      </c>
      <c r="L68" s="20" t="n">
        <v>0</v>
      </c>
      <c r="M68" s="18" t="n">
        <v>6.29914987</v>
      </c>
      <c r="N68" s="20" t="n">
        <v>1.07780645</v>
      </c>
      <c r="O68" s="18" t="n">
        <v>0</v>
      </c>
      <c r="P68" s="20" t="n">
        <v>0</v>
      </c>
      <c r="Q68" s="18" t="n">
        <v>0</v>
      </c>
      <c r="R68" s="20" t="n">
        <v>0</v>
      </c>
      <c r="S68" s="18" t="n">
        <v>0</v>
      </c>
      <c r="T68" s="20" t="n">
        <v>0</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(10073.0/B70*100)</f>
        <v/>
      </c>
      <c r="D70" s="19" t="n">
        <v>2010</v>
      </c>
      <c r="E70" s="18" t="n">
        <v>74.69609281</v>
      </c>
      <c r="F70" s="20" t="n">
        <v>0.95469008</v>
      </c>
      <c r="G70" s="18" t="n">
        <v>10.73640952</v>
      </c>
      <c r="H70" s="20" t="n">
        <v>0.77372427</v>
      </c>
      <c r="I70" s="18" t="n">
        <v>0.34375832</v>
      </c>
      <c r="J70" s="20" t="n">
        <v>0.12847657</v>
      </c>
      <c r="K70" s="18" t="n">
        <v>0</v>
      </c>
      <c r="L70" s="20" t="n">
        <v>0</v>
      </c>
      <c r="M70" s="18" t="n">
        <v>14.22373935</v>
      </c>
      <c r="N70" s="20" t="n">
        <v>0.82603924</v>
      </c>
      <c r="O70" s="18" t="n">
        <v>0</v>
      </c>
      <c r="P70" s="20" t="n">
        <v>0</v>
      </c>
      <c r="Q70" s="18" t="n">
        <v>0</v>
      </c>
      <c r="R70" s="20" t="n">
        <v>0</v>
      </c>
      <c r="S70" s="18" t="n">
        <v>0</v>
      </c>
      <c r="T70" s="20" t="n">
        <v>0</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(5367.0/B72*100)</f>
        <v/>
      </c>
      <c r="D72" s="19" t="n">
        <v>669</v>
      </c>
      <c r="E72" s="18" t="n">
        <v>65.7599883</v>
      </c>
      <c r="F72" s="20" t="n">
        <v>2.40427758</v>
      </c>
      <c r="G72" s="18" t="n">
        <v>26.43201997</v>
      </c>
      <c r="H72" s="20" t="n">
        <v>2.19628352</v>
      </c>
      <c r="I72" s="18" t="n">
        <v>1.26991615</v>
      </c>
      <c r="J72" s="20" t="n">
        <v>0.64781519</v>
      </c>
      <c r="K72" s="18" t="n">
        <v>0</v>
      </c>
      <c r="L72" s="20" t="n">
        <v>0</v>
      </c>
      <c r="M72" s="18" t="n">
        <v>6.53807557</v>
      </c>
      <c r="N72" s="20" t="n">
        <v>1.10875032</v>
      </c>
      <c r="O72" s="18" t="n">
        <v>0</v>
      </c>
      <c r="P72" s="20" t="n">
        <v>0</v>
      </c>
      <c r="Q72" s="18" t="n">
        <v>0</v>
      </c>
      <c r="R72" s="20" t="n">
        <v>0</v>
      </c>
      <c r="S72" s="18" t="n">
        <v>0</v>
      </c>
      <c r="T72" s="20" t="n">
        <v>0</v>
      </c>
    </row>
    <row r="73" spans="1:20">
      <c r="A73" s="15" t="s">
        <v>497</v>
      </c>
      <c r="B73" s="17" t="n">
        <v>6115</v>
      </c>
      <c r="C73" s="18">
        <f>(5382.0/B73*100)</f>
        <v/>
      </c>
      <c r="D73" s="19" t="n">
        <v>733</v>
      </c>
      <c r="E73" s="18" t="n">
        <v>56.49336195</v>
      </c>
      <c r="F73" s="20" t="n">
        <v>1.94184732</v>
      </c>
      <c r="G73" s="18" t="n">
        <v>38.72179488</v>
      </c>
      <c r="H73" s="20" t="n">
        <v>1.83438102</v>
      </c>
      <c r="I73" s="18" t="n">
        <v>2.68672996</v>
      </c>
      <c r="J73" s="20" t="n">
        <v>0.64169705</v>
      </c>
      <c r="K73" s="18" t="n">
        <v>0</v>
      </c>
      <c r="L73" s="20" t="n">
        <v>0</v>
      </c>
      <c r="M73" s="18" t="n">
        <v>2.09811321</v>
      </c>
      <c r="N73" s="20" t="n">
        <v>0.45684095</v>
      </c>
      <c r="O73" s="18" t="n">
        <v>0</v>
      </c>
      <c r="P73" s="20" t="n">
        <v>0</v>
      </c>
      <c r="Q73" s="18" t="n">
        <v>0</v>
      </c>
      <c r="R73" s="20" t="n">
        <v>0</v>
      </c>
      <c r="S73" s="18" t="n">
        <v>0</v>
      </c>
      <c r="T73" s="20" t="n">
        <v>0</v>
      </c>
    </row>
    <row r="74" spans="1:20">
      <c r="A74" s="15" t="s">
        <v>498</v>
      </c>
      <c r="B74" s="17" t="n">
        <v>7708</v>
      </c>
      <c r="C74" s="18">
        <f>(6752.0/B74*100)</f>
        <v/>
      </c>
      <c r="D74" s="19" t="n">
        <v>956</v>
      </c>
      <c r="E74" s="18" t="n">
        <v>63.51859487</v>
      </c>
      <c r="F74" s="20" t="n">
        <v>1.64290707</v>
      </c>
      <c r="G74" s="18" t="n">
        <v>29.64751496</v>
      </c>
      <c r="H74" s="20" t="n">
        <v>1.59610503</v>
      </c>
      <c r="I74" s="18" t="n">
        <v>4.87320714</v>
      </c>
      <c r="J74" s="20" t="n">
        <v>0.68728772</v>
      </c>
      <c r="K74" s="18" t="n">
        <v>0</v>
      </c>
      <c r="L74" s="20" t="n">
        <v>0</v>
      </c>
      <c r="M74" s="18" t="n">
        <v>1.96068303</v>
      </c>
      <c r="N74" s="20" t="n">
        <v>0.4109697</v>
      </c>
      <c r="O74" s="18" t="n">
        <v>0</v>
      </c>
      <c r="P74" s="20" t="n">
        <v>0</v>
      </c>
      <c r="Q74" s="18" t="n">
        <v>0</v>
      </c>
      <c r="R74" s="20" t="n">
        <v>0</v>
      </c>
      <c r="S74" s="18" t="n">
        <v>0</v>
      </c>
      <c r="T74" s="20" t="n">
        <v>0</v>
      </c>
    </row>
    <row r="75" spans="1:20">
      <c r="A75" s="15" t="s">
        <v>499</v>
      </c>
      <c r="B75" s="17" t="n">
        <v>8249</v>
      </c>
      <c r="C75" s="18">
        <f>(7318.0/B75*100)</f>
        <v/>
      </c>
      <c r="D75" s="19" t="n">
        <v>931</v>
      </c>
      <c r="E75" s="18" t="n">
        <v>86.94399052</v>
      </c>
      <c r="F75" s="20" t="n">
        <v>1.31912006</v>
      </c>
      <c r="G75" s="18" t="n">
        <v>9.463918230000001</v>
      </c>
      <c r="H75" s="20" t="n">
        <v>1.05836517</v>
      </c>
      <c r="I75" s="18" t="n">
        <v>1.49611934</v>
      </c>
      <c r="J75" s="20" t="n">
        <v>0.40763317</v>
      </c>
      <c r="K75" s="18" t="n">
        <v>0</v>
      </c>
      <c r="L75" s="20" t="n">
        <v>0</v>
      </c>
      <c r="M75" s="18" t="n">
        <v>2.09597191</v>
      </c>
      <c r="N75" s="20" t="n">
        <v>0.57057435</v>
      </c>
      <c r="O75" s="18" t="n">
        <v>0</v>
      </c>
      <c r="P75" s="20" t="n">
        <v>0</v>
      </c>
      <c r="Q75" s="18" t="n">
        <v>0</v>
      </c>
      <c r="R75" s="20" t="n">
        <v>0</v>
      </c>
      <c r="S75" s="18" t="n">
        <v>0</v>
      </c>
      <c r="T75" s="20" t="n">
        <v>0</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(4825.0/B77*100)</f>
        <v/>
      </c>
      <c r="D77" s="19" t="n">
        <v>550</v>
      </c>
      <c r="E77" s="18" t="n">
        <v>80.08822741</v>
      </c>
      <c r="F77" s="20" t="n">
        <v>1.6707908</v>
      </c>
      <c r="G77" s="18" t="n">
        <v>2.11629937</v>
      </c>
      <c r="H77" s="20" t="n">
        <v>0.53215192</v>
      </c>
      <c r="I77" s="18" t="n">
        <v>0</v>
      </c>
      <c r="J77" s="20" t="n">
        <v>0</v>
      </c>
      <c r="K77" s="18" t="n">
        <v>0</v>
      </c>
      <c r="L77" s="20" t="n">
        <v>0</v>
      </c>
      <c r="M77" s="18" t="n">
        <v>17.79547322</v>
      </c>
      <c r="N77" s="20" t="n">
        <v>1.78900542</v>
      </c>
      <c r="O77" s="18" t="n">
        <v>0</v>
      </c>
      <c r="P77" s="20" t="n">
        <v>0</v>
      </c>
      <c r="Q77" s="18" t="n">
        <v>0</v>
      </c>
      <c r="R77" s="20" t="n">
        <v>0</v>
      </c>
      <c r="S77" s="18" t="n">
        <v>0</v>
      </c>
      <c r="T77" s="20" t="n">
        <v>0</v>
      </c>
    </row>
    <row r="78" spans="1:20">
      <c r="A78" s="15" t="s">
        <v>502</v>
      </c>
      <c r="B78" s="17" t="n">
        <v>14167</v>
      </c>
      <c r="C78" s="18">
        <f>(12493.0/B78*100)</f>
        <v/>
      </c>
      <c r="D78" s="19" t="n">
        <v>1674</v>
      </c>
      <c r="E78" s="18" t="n">
        <v>80.53314433</v>
      </c>
      <c r="F78" s="20" t="n">
        <v>1.21273332</v>
      </c>
      <c r="G78" s="18" t="n">
        <v>13.01367745</v>
      </c>
      <c r="H78" s="20" t="n">
        <v>1.11672523</v>
      </c>
      <c r="I78" s="18" t="n">
        <v>0.8730575699999999</v>
      </c>
      <c r="J78" s="20" t="n">
        <v>0.31351555</v>
      </c>
      <c r="K78" s="18" t="n">
        <v>0</v>
      </c>
      <c r="L78" s="20" t="n">
        <v>0</v>
      </c>
      <c r="M78" s="18" t="n">
        <v>5.58012065</v>
      </c>
      <c r="N78" s="20" t="n">
        <v>0.61994257</v>
      </c>
      <c r="O78" s="18" t="n">
        <v>0</v>
      </c>
      <c r="P78" s="20" t="n">
        <v>0</v>
      </c>
      <c r="Q78" s="18" t="n">
        <v>0</v>
      </c>
      <c r="R78" s="20" t="n">
        <v>0</v>
      </c>
      <c r="S78" s="18" t="n">
        <v>0</v>
      </c>
      <c r="T78" s="20" t="n">
        <v>0</v>
      </c>
    </row>
    <row r="79" spans="1:20">
      <c r="A79" s="15" t="s">
        <v>503</v>
      </c>
      <c r="B79" s="17" t="n">
        <v>6062</v>
      </c>
      <c r="C79" s="18">
        <f>(5382.0/B79*100)</f>
        <v/>
      </c>
      <c r="D79" s="19" t="n">
        <v>680</v>
      </c>
      <c r="E79" s="18" t="n">
        <v>69.87439329999999</v>
      </c>
      <c r="F79" s="20" t="n">
        <v>2.26256246</v>
      </c>
      <c r="G79" s="18" t="n">
        <v>12.05917328</v>
      </c>
      <c r="H79" s="20" t="n">
        <v>1.47432227</v>
      </c>
      <c r="I79" s="18" t="n">
        <v>0.55439536</v>
      </c>
      <c r="J79" s="20" t="n">
        <v>0.28461488</v>
      </c>
      <c r="K79" s="18" t="n">
        <v>0</v>
      </c>
      <c r="L79" s="20" t="n">
        <v>0</v>
      </c>
      <c r="M79" s="18" t="n">
        <v>17.51203806</v>
      </c>
      <c r="N79" s="20" t="n">
        <v>2.00901965</v>
      </c>
      <c r="O79" s="18" t="n">
        <v>0</v>
      </c>
      <c r="P79" s="20" t="n">
        <v>0</v>
      </c>
      <c r="Q79" s="18" t="n">
        <v>0</v>
      </c>
      <c r="R79" s="20" t="n">
        <v>0</v>
      </c>
      <c r="S79" s="18" t="n">
        <v>0</v>
      </c>
      <c r="T79" s="20" t="n">
        <v>0</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(28535.0/B82*100)</f>
        <v/>
      </c>
      <c r="D82" s="19" t="n">
        <v>3795</v>
      </c>
      <c r="E82" s="18" t="n">
        <v>72.0627361</v>
      </c>
      <c r="F82" s="20" t="n">
        <v>0.94408783</v>
      </c>
      <c r="G82" s="18" t="n">
        <v>20.51918564</v>
      </c>
      <c r="H82" s="20" t="n">
        <v>0.93041779</v>
      </c>
      <c r="I82" s="18" t="n">
        <v>1.27757391</v>
      </c>
      <c r="J82" s="20" t="n">
        <v>0.2165875</v>
      </c>
      <c r="K82" s="18" t="n">
        <v>0</v>
      </c>
      <c r="L82" s="20" t="n">
        <v>0</v>
      </c>
      <c r="M82" s="18" t="n">
        <v>6.14050435</v>
      </c>
      <c r="N82" s="20" t="n">
        <v>0.57912012</v>
      </c>
      <c r="O82" s="18" t="n">
        <v>0</v>
      </c>
      <c r="P82" s="20" t="n">
        <v>0</v>
      </c>
      <c r="Q82" s="18" t="n">
        <v>0</v>
      </c>
      <c r="R82" s="20" t="n">
        <v>0</v>
      </c>
      <c r="S82" s="18" t="n">
        <v>0</v>
      </c>
      <c r="T82" s="20" t="n">
        <v>0</v>
      </c>
    </row>
    <row r="83" spans="1:20">
      <c r="A83" s="15" t="s">
        <v>507</v>
      </c>
      <c r="B83" s="17" t="n">
        <v>1652</v>
      </c>
      <c r="C83" s="18">
        <f>(1463.0/B83*100)</f>
        <v/>
      </c>
      <c r="D83" s="19" t="n">
        <v>189</v>
      </c>
      <c r="E83" s="18" t="n">
        <v>75.54180952999999</v>
      </c>
      <c r="F83" s="20" t="n">
        <v>2.52186969</v>
      </c>
      <c r="G83" s="18" t="n">
        <v>20.50449673</v>
      </c>
      <c r="H83" s="20" t="n">
        <v>2.42563492</v>
      </c>
      <c r="I83" s="18" t="n">
        <v>2.52105655</v>
      </c>
      <c r="J83" s="20" t="n">
        <v>1.06080492</v>
      </c>
      <c r="K83" s="18" t="n">
        <v>0</v>
      </c>
      <c r="L83" s="20" t="n">
        <v>0</v>
      </c>
      <c r="M83" s="18" t="n">
        <v>1.43263719</v>
      </c>
      <c r="N83" s="20" t="n">
        <v>0.81168823</v>
      </c>
      <c r="O83" s="18" t="n">
        <v>0</v>
      </c>
      <c r="P83" s="20" t="n">
        <v>0</v>
      </c>
      <c r="Q83" s="18" t="n">
        <v>0</v>
      </c>
      <c r="R83" s="20" t="n">
        <v>0</v>
      </c>
      <c r="S83" s="18" t="n">
        <v>0</v>
      </c>
      <c r="T83" s="20" t="n">
        <v>0</v>
      </c>
    </row>
    <row r="84" spans="1:20">
      <c r="A84" s="23" t="s">
        <v>508</v>
      </c>
      <c r="B84" s="24" t="n">
        <v>1887</v>
      </c>
      <c r="C84" s="25">
        <f>(1666.0/B84*100)</f>
        <v/>
      </c>
      <c r="D84" s="19" t="n">
        <v>221</v>
      </c>
      <c r="E84" s="18" t="n">
        <v>76.25815084</v>
      </c>
      <c r="F84" s="20" t="n">
        <v>3.64028327</v>
      </c>
      <c r="G84" s="18" t="n">
        <v>18.53893853</v>
      </c>
      <c r="H84" s="20" t="n">
        <v>3.50733868</v>
      </c>
      <c r="I84" s="18" t="n">
        <v>2.07273257</v>
      </c>
      <c r="J84" s="20" t="n">
        <v>0.89579885</v>
      </c>
      <c r="K84" s="18" t="n">
        <v>0</v>
      </c>
      <c r="L84" s="20" t="n">
        <v>0</v>
      </c>
      <c r="M84" s="18" t="n">
        <v>3.13017805</v>
      </c>
      <c r="N84" s="20" t="n">
        <v>1.40148795</v>
      </c>
      <c r="O84" s="18" t="n">
        <v>0</v>
      </c>
      <c r="P84" s="20" t="n">
        <v>0</v>
      </c>
      <c r="Q84" s="18" t="n">
        <v>0</v>
      </c>
      <c r="R84" s="20" t="n">
        <v>0</v>
      </c>
      <c r="S84" s="18" t="n">
        <v>0</v>
      </c>
      <c r="T84" s="20" t="n">
        <v>0</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(12756.0/B7*100)</f>
        <v/>
      </c>
      <c r="D7" s="19" t="n">
        <v>1774</v>
      </c>
      <c r="E7" s="18" t="n">
        <v>32.26131432</v>
      </c>
      <c r="F7" s="20" t="n">
        <v>1.40185536</v>
      </c>
      <c r="G7" s="18" t="n">
        <v>65.096583</v>
      </c>
      <c r="H7" s="20" t="n">
        <v>1.45003342</v>
      </c>
      <c r="I7" s="18" t="n">
        <v>0</v>
      </c>
      <c r="J7" s="20" t="n">
        <v>0</v>
      </c>
      <c r="K7" s="18" t="n">
        <v>0.31868529</v>
      </c>
      <c r="L7" s="20" t="n">
        <v>0.16054107</v>
      </c>
      <c r="M7" s="18" t="n">
        <v>0.12598383</v>
      </c>
      <c r="N7" s="20" t="n">
        <v>0.10255186</v>
      </c>
      <c r="O7" s="18" t="n">
        <v>0</v>
      </c>
      <c r="P7" s="20" t="n">
        <v>0</v>
      </c>
      <c r="Q7" s="18" t="n">
        <v>2.19743357</v>
      </c>
      <c r="R7" s="20" t="n">
        <v>0.3840691</v>
      </c>
    </row>
    <row r="8" spans="1:18">
      <c r="A8" s="15" t="s">
        <v>430</v>
      </c>
      <c r="B8" s="17" t="n">
        <v>7007</v>
      </c>
      <c r="C8" s="18">
        <f>(6151.0/B8*100)</f>
        <v/>
      </c>
      <c r="D8" s="19" t="n">
        <v>856</v>
      </c>
      <c r="E8" s="18" t="n">
        <v>13.38045024</v>
      </c>
      <c r="F8" s="20" t="n">
        <v>1.27291284</v>
      </c>
      <c r="G8" s="18" t="n">
        <v>84.25276843</v>
      </c>
      <c r="H8" s="20" t="n">
        <v>1.41384794</v>
      </c>
      <c r="I8" s="18" t="n">
        <v>0</v>
      </c>
      <c r="J8" s="20" t="n">
        <v>0</v>
      </c>
      <c r="K8" s="18" t="n">
        <v>0</v>
      </c>
      <c r="L8" s="20" t="n">
        <v>0</v>
      </c>
      <c r="M8" s="18" t="n">
        <v>0</v>
      </c>
      <c r="N8" s="20" t="n">
        <v>0</v>
      </c>
      <c r="O8" s="18" t="n">
        <v>0</v>
      </c>
      <c r="P8" s="20" t="n">
        <v>0</v>
      </c>
      <c r="Q8" s="18" t="n">
        <v>2.36678133</v>
      </c>
      <c r="R8" s="20" t="n">
        <v>0.46506751</v>
      </c>
    </row>
    <row r="9" spans="1:18">
      <c r="A9" s="15" t="s">
        <v>431</v>
      </c>
      <c r="B9" s="17" t="n">
        <v>9651</v>
      </c>
      <c r="C9" s="18">
        <f>(8501.0/B9*100)</f>
        <v/>
      </c>
      <c r="D9" s="19" t="n">
        <v>1150</v>
      </c>
      <c r="E9" s="18" t="n">
        <v>21.29402037</v>
      </c>
      <c r="F9" s="20" t="n">
        <v>1.32658818</v>
      </c>
      <c r="G9" s="18" t="n">
        <v>76.10662198</v>
      </c>
      <c r="H9" s="20" t="n">
        <v>1.38823485</v>
      </c>
      <c r="I9" s="18" t="n">
        <v>0</v>
      </c>
      <c r="J9" s="20" t="n">
        <v>0</v>
      </c>
      <c r="K9" s="18" t="n">
        <v>0</v>
      </c>
      <c r="L9" s="20" t="n">
        <v>0</v>
      </c>
      <c r="M9" s="18" t="n">
        <v>0.06276545</v>
      </c>
      <c r="N9" s="20" t="n">
        <v>0.06412988999999999</v>
      </c>
      <c r="O9" s="18" t="n">
        <v>0</v>
      </c>
      <c r="P9" s="20" t="n">
        <v>0</v>
      </c>
      <c r="Q9" s="18" t="n">
        <v>2.5365922</v>
      </c>
      <c r="R9" s="20" t="n">
        <v>0.44310616</v>
      </c>
    </row>
    <row r="10" spans="1:18">
      <c r="A10" s="15" t="s">
        <v>432</v>
      </c>
      <c r="B10" s="17" t="n">
        <v>20058</v>
      </c>
      <c r="C10" s="18">
        <f>(17602.0/B10*100)</f>
        <v/>
      </c>
      <c r="D10" s="19" t="n">
        <v>2456</v>
      </c>
      <c r="E10" s="18" t="n">
        <v>26.79568708</v>
      </c>
      <c r="F10" s="20" t="n">
        <v>0.96780749</v>
      </c>
      <c r="G10" s="18" t="n">
        <v>71.51040269000001</v>
      </c>
      <c r="H10" s="20" t="n">
        <v>0.99054517</v>
      </c>
      <c r="I10" s="18" t="n">
        <v>0</v>
      </c>
      <c r="J10" s="20" t="n">
        <v>0</v>
      </c>
      <c r="K10" s="18" t="n">
        <v>0.09874041</v>
      </c>
      <c r="L10" s="20" t="n">
        <v>0.09116783000000001</v>
      </c>
      <c r="M10" s="18" t="n">
        <v>0.00962068</v>
      </c>
      <c r="N10" s="20" t="n">
        <v>0.009698139999999999</v>
      </c>
      <c r="O10" s="18" t="n">
        <v>0</v>
      </c>
      <c r="P10" s="20" t="n">
        <v>0</v>
      </c>
      <c r="Q10" s="18" t="n">
        <v>1.58554915</v>
      </c>
      <c r="R10" s="20" t="n">
        <v>0.35130506</v>
      </c>
    </row>
    <row r="11" spans="1:18">
      <c r="A11" s="15" t="s">
        <v>433</v>
      </c>
      <c r="B11" s="17" t="n">
        <v>7053</v>
      </c>
      <c r="C11" s="18">
        <f>(6206.0/B11*100)</f>
        <v/>
      </c>
      <c r="D11" s="19" t="n">
        <v>847</v>
      </c>
      <c r="E11" s="18" t="n">
        <v>22.23385876</v>
      </c>
      <c r="F11" s="20" t="n">
        <v>1.77894995</v>
      </c>
      <c r="G11" s="18" t="n">
        <v>71.92868518</v>
      </c>
      <c r="H11" s="20" t="n">
        <v>1.86717397</v>
      </c>
      <c r="I11" s="18" t="n">
        <v>0</v>
      </c>
      <c r="J11" s="20" t="n">
        <v>0</v>
      </c>
      <c r="K11" s="18" t="n">
        <v>0.1571928</v>
      </c>
      <c r="L11" s="20" t="n">
        <v>0.15752511</v>
      </c>
      <c r="M11" s="18" t="n">
        <v>0.11435572</v>
      </c>
      <c r="N11" s="20" t="n">
        <v>0.10387916</v>
      </c>
      <c r="O11" s="18" t="n">
        <v>0</v>
      </c>
      <c r="P11" s="20" t="n">
        <v>0</v>
      </c>
      <c r="Q11" s="18" t="n">
        <v>5.56590754</v>
      </c>
      <c r="R11" s="20" t="n">
        <v>0.96668337</v>
      </c>
    </row>
    <row r="12" spans="1:18">
      <c r="A12" s="15" t="s">
        <v>434</v>
      </c>
      <c r="B12" s="17" t="n">
        <v>6894</v>
      </c>
      <c r="C12" s="18">
        <f>(6049.0/B12*100)</f>
        <v/>
      </c>
      <c r="D12" s="19" t="n">
        <v>845</v>
      </c>
      <c r="E12" s="18" t="n">
        <v>14.66412934</v>
      </c>
      <c r="F12" s="20" t="n">
        <v>1.21504215</v>
      </c>
      <c r="G12" s="18" t="n">
        <v>81.12524849</v>
      </c>
      <c r="H12" s="20" t="n">
        <v>1.34284156</v>
      </c>
      <c r="I12" s="18" t="n">
        <v>0</v>
      </c>
      <c r="J12" s="20" t="n">
        <v>0</v>
      </c>
      <c r="K12" s="18" t="n">
        <v>0</v>
      </c>
      <c r="L12" s="20" t="n">
        <v>0</v>
      </c>
      <c r="M12" s="18" t="n">
        <v>0</v>
      </c>
      <c r="N12" s="20" t="n">
        <v>0</v>
      </c>
      <c r="O12" s="18" t="n">
        <v>0</v>
      </c>
      <c r="P12" s="20" t="n">
        <v>0</v>
      </c>
      <c r="Q12" s="18" t="n">
        <v>4.21062217</v>
      </c>
      <c r="R12" s="20" t="n">
        <v>0.76356987</v>
      </c>
    </row>
    <row r="13" spans="1:18">
      <c r="A13" s="15" t="s">
        <v>435</v>
      </c>
      <c r="B13" s="17" t="n">
        <v>7161</v>
      </c>
      <c r="C13" s="18">
        <f>(6311.0/B13*100)</f>
        <v/>
      </c>
      <c r="D13" s="19" t="n">
        <v>850</v>
      </c>
      <c r="E13" s="18" t="n">
        <v>24.66978294</v>
      </c>
      <c r="F13" s="20" t="n">
        <v>1.85880171</v>
      </c>
      <c r="G13" s="18" t="n">
        <v>73.99305962</v>
      </c>
      <c r="H13" s="20" t="n">
        <v>1.89529744</v>
      </c>
      <c r="I13" s="18" t="n">
        <v>0</v>
      </c>
      <c r="J13" s="20" t="n">
        <v>0</v>
      </c>
      <c r="K13" s="18" t="n">
        <v>0.12927759</v>
      </c>
      <c r="L13" s="20" t="n">
        <v>0.13326479</v>
      </c>
      <c r="M13" s="18" t="n">
        <v>0.03564211</v>
      </c>
      <c r="N13" s="20" t="n">
        <v>0.03584571</v>
      </c>
      <c r="O13" s="18" t="n">
        <v>0</v>
      </c>
      <c r="P13" s="20" t="n">
        <v>0</v>
      </c>
      <c r="Q13" s="18" t="n">
        <v>1.17223774</v>
      </c>
      <c r="R13" s="20" t="n">
        <v>0.32995506</v>
      </c>
    </row>
    <row r="14" spans="1:18">
      <c r="A14" s="15" t="s">
        <v>436</v>
      </c>
      <c r="B14" s="17" t="n">
        <v>5587</v>
      </c>
      <c r="C14" s="18">
        <f>(4889.0/B14*100)</f>
        <v/>
      </c>
      <c r="D14" s="19" t="n">
        <v>698</v>
      </c>
      <c r="E14" s="18" t="n">
        <v>15.92222527</v>
      </c>
      <c r="F14" s="20" t="n">
        <v>1.52317151</v>
      </c>
      <c r="G14" s="18" t="n">
        <v>83.26193345999999</v>
      </c>
      <c r="H14" s="20" t="n">
        <v>1.57071393</v>
      </c>
      <c r="I14" s="18" t="n">
        <v>0</v>
      </c>
      <c r="J14" s="20" t="n">
        <v>0</v>
      </c>
      <c r="K14" s="18" t="n">
        <v>0</v>
      </c>
      <c r="L14" s="20" t="n">
        <v>0</v>
      </c>
      <c r="M14" s="18" t="n">
        <v>0</v>
      </c>
      <c r="N14" s="20" t="n">
        <v>0</v>
      </c>
      <c r="O14" s="18" t="n">
        <v>0</v>
      </c>
      <c r="P14" s="20" t="n">
        <v>0</v>
      </c>
      <c r="Q14" s="18" t="n">
        <v>0.81584127</v>
      </c>
      <c r="R14" s="20" t="n">
        <v>0.305251</v>
      </c>
    </row>
    <row r="15" spans="1:18">
      <c r="A15" s="15" t="s">
        <v>437</v>
      </c>
      <c r="B15" s="17" t="n">
        <v>5882</v>
      </c>
      <c r="C15" s="18">
        <f>(5155.0/B15*100)</f>
        <v/>
      </c>
      <c r="D15" s="19" t="n">
        <v>727</v>
      </c>
      <c r="E15" s="18" t="n">
        <v>17.80130721</v>
      </c>
      <c r="F15" s="20" t="n">
        <v>1.42531389</v>
      </c>
      <c r="G15" s="18" t="n">
        <v>80.20508002</v>
      </c>
      <c r="H15" s="20" t="n">
        <v>1.46218687</v>
      </c>
      <c r="I15" s="18" t="n">
        <v>0</v>
      </c>
      <c r="J15" s="20" t="n">
        <v>0</v>
      </c>
      <c r="K15" s="18" t="n">
        <v>0</v>
      </c>
      <c r="L15" s="20" t="n">
        <v>0</v>
      </c>
      <c r="M15" s="18" t="n">
        <v>0</v>
      </c>
      <c r="N15" s="20" t="n">
        <v>0</v>
      </c>
      <c r="O15" s="18" t="n">
        <v>0</v>
      </c>
      <c r="P15" s="20" t="n">
        <v>0</v>
      </c>
      <c r="Q15" s="18" t="n">
        <v>1.99361277</v>
      </c>
      <c r="R15" s="20" t="n">
        <v>0.49235964</v>
      </c>
    </row>
    <row r="16" spans="1:18">
      <c r="A16" s="15" t="s">
        <v>438</v>
      </c>
      <c r="B16" s="17" t="n">
        <v>6108</v>
      </c>
      <c r="C16" s="18">
        <f>(5366.0/B16*100)</f>
        <v/>
      </c>
      <c r="D16" s="19" t="n">
        <v>742</v>
      </c>
      <c r="E16" s="18" t="n">
        <v>19.45733552</v>
      </c>
      <c r="F16" s="20" t="n">
        <v>1.59012884</v>
      </c>
      <c r="G16" s="18" t="n">
        <v>76.59446038999999</v>
      </c>
      <c r="H16" s="20" t="n">
        <v>1.59076272</v>
      </c>
      <c r="I16" s="18" t="n">
        <v>0</v>
      </c>
      <c r="J16" s="20" t="n">
        <v>0</v>
      </c>
      <c r="K16" s="18" t="n">
        <v>0.15683057</v>
      </c>
      <c r="L16" s="20" t="n">
        <v>0.20893131</v>
      </c>
      <c r="M16" s="18" t="n">
        <v>0</v>
      </c>
      <c r="N16" s="20" t="n">
        <v>0</v>
      </c>
      <c r="O16" s="18" t="n">
        <v>0</v>
      </c>
      <c r="P16" s="20" t="n">
        <v>0</v>
      </c>
      <c r="Q16" s="18" t="n">
        <v>3.79137352</v>
      </c>
      <c r="R16" s="20" t="n">
        <v>0.65288798</v>
      </c>
    </row>
    <row r="17" spans="1:18">
      <c r="A17" s="15" t="s">
        <v>439</v>
      </c>
      <c r="B17" s="17" t="n">
        <v>6504</v>
      </c>
      <c r="C17" s="18">
        <f>(5710.0/B17*100)</f>
        <v/>
      </c>
      <c r="D17" s="19" t="n">
        <v>794</v>
      </c>
      <c r="E17" s="18" t="n">
        <v>9.276424459999999</v>
      </c>
      <c r="F17" s="20" t="n">
        <v>1.24736269</v>
      </c>
      <c r="G17" s="18" t="n">
        <v>88.95737991</v>
      </c>
      <c r="H17" s="20" t="n">
        <v>1.2730648</v>
      </c>
      <c r="I17" s="18" t="n">
        <v>0</v>
      </c>
      <c r="J17" s="20" t="n">
        <v>0</v>
      </c>
      <c r="K17" s="18" t="n">
        <v>0.34185717</v>
      </c>
      <c r="L17" s="20" t="n">
        <v>0.19917644</v>
      </c>
      <c r="M17" s="18" t="n">
        <v>0</v>
      </c>
      <c r="N17" s="20" t="n">
        <v>0</v>
      </c>
      <c r="O17" s="18" t="n">
        <v>0</v>
      </c>
      <c r="P17" s="20" t="n">
        <v>0</v>
      </c>
      <c r="Q17" s="18" t="n">
        <v>1.42433846</v>
      </c>
      <c r="R17" s="20" t="n">
        <v>0.36842383</v>
      </c>
    </row>
    <row r="18" spans="1:18">
      <c r="A18" s="15" t="s">
        <v>440</v>
      </c>
      <c r="B18" s="17" t="n">
        <v>5532</v>
      </c>
      <c r="C18" s="18">
        <f>(4847.0/B18*100)</f>
        <v/>
      </c>
      <c r="D18" s="19" t="n">
        <v>685</v>
      </c>
      <c r="E18" s="18" t="n">
        <v>15.8600069</v>
      </c>
      <c r="F18" s="20" t="n">
        <v>1.82624813</v>
      </c>
      <c r="G18" s="18" t="n">
        <v>82.06572552999999</v>
      </c>
      <c r="H18" s="20" t="n">
        <v>1.97142661</v>
      </c>
      <c r="I18" s="18" t="n">
        <v>0</v>
      </c>
      <c r="J18" s="20" t="n">
        <v>0</v>
      </c>
      <c r="K18" s="18" t="n">
        <v>0</v>
      </c>
      <c r="L18" s="20" t="n">
        <v>0</v>
      </c>
      <c r="M18" s="18" t="n">
        <v>0</v>
      </c>
      <c r="N18" s="20" t="n">
        <v>0</v>
      </c>
      <c r="O18" s="18" t="n">
        <v>0</v>
      </c>
      <c r="P18" s="20" t="n">
        <v>0</v>
      </c>
      <c r="Q18" s="18" t="n">
        <v>2.07426758</v>
      </c>
      <c r="R18" s="20" t="n">
        <v>0.71075754</v>
      </c>
    </row>
    <row r="19" spans="1:18">
      <c r="A19" s="15" t="s">
        <v>441</v>
      </c>
      <c r="B19" s="17" t="n">
        <v>5658</v>
      </c>
      <c r="C19" s="18">
        <f>(4944.0/B19*100)</f>
        <v/>
      </c>
      <c r="D19" s="19" t="n">
        <v>714</v>
      </c>
      <c r="E19" s="18" t="n">
        <v>23.57675269</v>
      </c>
      <c r="F19" s="20" t="n">
        <v>1.73399525</v>
      </c>
      <c r="G19" s="18" t="n">
        <v>72.11580463999999</v>
      </c>
      <c r="H19" s="20" t="n">
        <v>1.65463438</v>
      </c>
      <c r="I19" s="18" t="n">
        <v>0</v>
      </c>
      <c r="J19" s="20" t="n">
        <v>0</v>
      </c>
      <c r="K19" s="18" t="n">
        <v>0</v>
      </c>
      <c r="L19" s="20" t="n">
        <v>0</v>
      </c>
      <c r="M19" s="18" t="n">
        <v>0</v>
      </c>
      <c r="N19" s="20" t="n">
        <v>0</v>
      </c>
      <c r="O19" s="18" t="n">
        <v>0</v>
      </c>
      <c r="P19" s="20" t="n">
        <v>0</v>
      </c>
      <c r="Q19" s="18" t="n">
        <v>4.30744268</v>
      </c>
      <c r="R19" s="20" t="n">
        <v>0.90719345</v>
      </c>
    </row>
    <row r="20" spans="1:18">
      <c r="A20" s="15" t="s">
        <v>442</v>
      </c>
      <c r="B20" s="17" t="n">
        <v>3371</v>
      </c>
      <c r="C20" s="18">
        <f>(2960.0/B20*100)</f>
        <v/>
      </c>
      <c r="D20" s="19" t="n">
        <v>411</v>
      </c>
      <c r="E20" s="18" t="n">
        <v>16.85448383</v>
      </c>
      <c r="F20" s="20" t="n">
        <v>1.77191864</v>
      </c>
      <c r="G20" s="18" t="n">
        <v>80.56986755</v>
      </c>
      <c r="H20" s="20" t="n">
        <v>1.82324035</v>
      </c>
      <c r="I20" s="18" t="n">
        <v>0</v>
      </c>
      <c r="J20" s="20" t="n">
        <v>0</v>
      </c>
      <c r="K20" s="18" t="n">
        <v>0.44692479</v>
      </c>
      <c r="L20" s="20" t="n">
        <v>0.31560707</v>
      </c>
      <c r="M20" s="18" t="n">
        <v>0.37399793</v>
      </c>
      <c r="N20" s="20" t="n">
        <v>0.35886727</v>
      </c>
      <c r="O20" s="18" t="n">
        <v>0</v>
      </c>
      <c r="P20" s="20" t="n">
        <v>0</v>
      </c>
      <c r="Q20" s="18" t="n">
        <v>1.7547259</v>
      </c>
      <c r="R20" s="20" t="n">
        <v>0.6614737000000001</v>
      </c>
    </row>
    <row r="21" spans="1:18">
      <c r="A21" s="15" t="s">
        <v>443</v>
      </c>
      <c r="B21" s="17" t="n">
        <v>5741</v>
      </c>
      <c r="C21" s="18">
        <f>(4790.0/B21*100)</f>
        <v/>
      </c>
      <c r="D21" s="19" t="n">
        <v>951</v>
      </c>
      <c r="E21" s="18" t="n">
        <v>34.79093134</v>
      </c>
      <c r="F21" s="20" t="n">
        <v>1.63489137</v>
      </c>
      <c r="G21" s="18" t="n">
        <v>64.01922612</v>
      </c>
      <c r="H21" s="20" t="n">
        <v>1.73109926</v>
      </c>
      <c r="I21" s="18" t="n">
        <v>0</v>
      </c>
      <c r="J21" s="20" t="n">
        <v>0</v>
      </c>
      <c r="K21" s="18" t="n">
        <v>0.08779974</v>
      </c>
      <c r="L21" s="20" t="n">
        <v>0.06205631</v>
      </c>
      <c r="M21" s="18" t="n">
        <v>0</v>
      </c>
      <c r="N21" s="20" t="n">
        <v>0</v>
      </c>
      <c r="O21" s="18" t="n">
        <v>0</v>
      </c>
      <c r="P21" s="20" t="n">
        <v>0</v>
      </c>
      <c r="Q21" s="18" t="n">
        <v>1.1020428</v>
      </c>
      <c r="R21" s="20" t="n">
        <v>0.3293189</v>
      </c>
    </row>
    <row r="22" spans="1:18">
      <c r="A22" s="15" t="s">
        <v>444</v>
      </c>
      <c r="B22" s="17" t="n">
        <v>6598</v>
      </c>
      <c r="C22" s="18">
        <f>(5781.0/B22*100)</f>
        <v/>
      </c>
      <c r="D22" s="19" t="n">
        <v>817</v>
      </c>
      <c r="E22" s="18" t="n">
        <v>21.50161465</v>
      </c>
      <c r="F22" s="20" t="n">
        <v>1.67481826</v>
      </c>
      <c r="G22" s="18" t="n">
        <v>75.83249573000001</v>
      </c>
      <c r="H22" s="20" t="n">
        <v>1.74196784</v>
      </c>
      <c r="I22" s="18" t="n">
        <v>0</v>
      </c>
      <c r="J22" s="20" t="n">
        <v>0</v>
      </c>
      <c r="K22" s="18" t="n">
        <v>0.2142792</v>
      </c>
      <c r="L22" s="20" t="n">
        <v>0.1510845</v>
      </c>
      <c r="M22" s="18" t="n">
        <v>0</v>
      </c>
      <c r="N22" s="20" t="n">
        <v>0</v>
      </c>
      <c r="O22" s="18" t="n">
        <v>0</v>
      </c>
      <c r="P22" s="20" t="n">
        <v>0</v>
      </c>
      <c r="Q22" s="18" t="n">
        <v>2.45161042</v>
      </c>
      <c r="R22" s="20" t="n">
        <v>0.53435392</v>
      </c>
    </row>
    <row r="23" spans="1:18">
      <c r="A23" s="15" t="s">
        <v>445</v>
      </c>
      <c r="B23" s="17" t="n">
        <v>11583</v>
      </c>
      <c r="C23" s="18">
        <f>(10140.0/B23*100)</f>
        <v/>
      </c>
      <c r="D23" s="19" t="n">
        <v>1443</v>
      </c>
      <c r="E23" s="18" t="n">
        <v>30.07238426</v>
      </c>
      <c r="F23" s="20" t="n">
        <v>2.12460126</v>
      </c>
      <c r="G23" s="18" t="n">
        <v>65.88658576</v>
      </c>
      <c r="H23" s="20" t="n">
        <v>2.14012839</v>
      </c>
      <c r="I23" s="18" t="n">
        <v>0</v>
      </c>
      <c r="J23" s="20" t="n">
        <v>0</v>
      </c>
      <c r="K23" s="18" t="n">
        <v>0.17509003</v>
      </c>
      <c r="L23" s="20" t="n">
        <v>0.19756439</v>
      </c>
      <c r="M23" s="18" t="n">
        <v>0.53157601</v>
      </c>
      <c r="N23" s="20" t="n">
        <v>0.20643597</v>
      </c>
      <c r="O23" s="18" t="n">
        <v>0</v>
      </c>
      <c r="P23" s="20" t="n">
        <v>0</v>
      </c>
      <c r="Q23" s="18" t="n">
        <v>3.33436394</v>
      </c>
      <c r="R23" s="20" t="n">
        <v>0.55521571</v>
      </c>
    </row>
    <row r="24" spans="1:18">
      <c r="A24" s="15" t="s">
        <v>446</v>
      </c>
      <c r="B24" s="17" t="n">
        <v>6647</v>
      </c>
      <c r="C24" s="18">
        <f>(5834.0/B24*100)</f>
        <v/>
      </c>
      <c r="D24" s="19" t="n">
        <v>813</v>
      </c>
      <c r="E24" s="18" t="n">
        <v>7.74231845</v>
      </c>
      <c r="F24" s="20" t="n">
        <v>1.11487282</v>
      </c>
      <c r="G24" s="18" t="n">
        <v>90.82180085</v>
      </c>
      <c r="H24" s="20" t="n">
        <v>1.20133907</v>
      </c>
      <c r="I24" s="18" t="n">
        <v>0</v>
      </c>
      <c r="J24" s="20" t="n">
        <v>0</v>
      </c>
      <c r="K24" s="18" t="n">
        <v>0</v>
      </c>
      <c r="L24" s="20" t="n">
        <v>0</v>
      </c>
      <c r="M24" s="18" t="n">
        <v>0</v>
      </c>
      <c r="N24" s="20" t="n">
        <v>0</v>
      </c>
      <c r="O24" s="18" t="n">
        <v>0</v>
      </c>
      <c r="P24" s="20" t="n">
        <v>0</v>
      </c>
      <c r="Q24" s="18" t="n">
        <v>1.4358807</v>
      </c>
      <c r="R24" s="20" t="n">
        <v>0.42426717</v>
      </c>
    </row>
    <row r="25" spans="1:18">
      <c r="A25" s="15" t="s">
        <v>447</v>
      </c>
      <c r="B25" s="17" t="n">
        <v>5581</v>
      </c>
      <c r="C25" s="18">
        <f>(4907.0/B25*100)</f>
        <v/>
      </c>
      <c r="D25" s="19" t="n">
        <v>674</v>
      </c>
      <c r="E25" s="18" t="n">
        <v>18.07227968</v>
      </c>
      <c r="F25" s="20" t="n">
        <v>1.55645399</v>
      </c>
      <c r="G25" s="18" t="n">
        <v>80.50428173</v>
      </c>
      <c r="H25" s="20" t="n">
        <v>1.73212935</v>
      </c>
      <c r="I25" s="18" t="n">
        <v>0</v>
      </c>
      <c r="J25" s="20" t="n">
        <v>0</v>
      </c>
      <c r="K25" s="18" t="n">
        <v>0</v>
      </c>
      <c r="L25" s="20" t="n">
        <v>0</v>
      </c>
      <c r="M25" s="18" t="n">
        <v>0</v>
      </c>
      <c r="N25" s="20" t="n">
        <v>0</v>
      </c>
      <c r="O25" s="18" t="n">
        <v>0</v>
      </c>
      <c r="P25" s="20" t="n">
        <v>0</v>
      </c>
      <c r="Q25" s="18" t="n">
        <v>1.42343859</v>
      </c>
      <c r="R25" s="20" t="n">
        <v>0.45840307</v>
      </c>
    </row>
    <row r="26" spans="1:18">
      <c r="A26" s="15" t="s">
        <v>448</v>
      </c>
      <c r="B26" s="17" t="n">
        <v>4869</v>
      </c>
      <c r="C26" s="18">
        <f>(4271.0/B26*100)</f>
        <v/>
      </c>
      <c r="D26" s="19" t="n">
        <v>598</v>
      </c>
      <c r="E26" s="18" t="n">
        <v>23.31764081</v>
      </c>
      <c r="F26" s="20" t="n">
        <v>1.98577884</v>
      </c>
      <c r="G26" s="18" t="n">
        <v>75.25046509000001</v>
      </c>
      <c r="H26" s="20" t="n">
        <v>1.96784808</v>
      </c>
      <c r="I26" s="18" t="n">
        <v>0</v>
      </c>
      <c r="J26" s="20" t="n">
        <v>0</v>
      </c>
      <c r="K26" s="18" t="n">
        <v>0</v>
      </c>
      <c r="L26" s="20" t="n">
        <v>0</v>
      </c>
      <c r="M26" s="18" t="n">
        <v>0.49323709</v>
      </c>
      <c r="N26" s="20" t="n">
        <v>0.37215845</v>
      </c>
      <c r="O26" s="18" t="n">
        <v>0</v>
      </c>
      <c r="P26" s="20" t="n">
        <v>0</v>
      </c>
      <c r="Q26" s="18" t="n">
        <v>0.93865701</v>
      </c>
      <c r="R26" s="20" t="n">
        <v>0.39364582</v>
      </c>
    </row>
    <row r="27" spans="1:18">
      <c r="A27" s="15" t="s">
        <v>449</v>
      </c>
      <c r="B27" s="17" t="n">
        <v>5299</v>
      </c>
      <c r="C27" s="18">
        <f>(4659.0/B27*100)</f>
        <v/>
      </c>
      <c r="D27" s="19" t="n">
        <v>640</v>
      </c>
      <c r="E27" s="18" t="n">
        <v>19.24865645</v>
      </c>
      <c r="F27" s="20" t="n">
        <v>1.61039859</v>
      </c>
      <c r="G27" s="18" t="n">
        <v>77.30986602</v>
      </c>
      <c r="H27" s="20" t="n">
        <v>1.58943232</v>
      </c>
      <c r="I27" s="18" t="n">
        <v>0</v>
      </c>
      <c r="J27" s="20" t="n">
        <v>0</v>
      </c>
      <c r="K27" s="18" t="n">
        <v>0</v>
      </c>
      <c r="L27" s="20" t="n">
        <v>0</v>
      </c>
      <c r="M27" s="18" t="n">
        <v>0</v>
      </c>
      <c r="N27" s="20" t="n">
        <v>0</v>
      </c>
      <c r="O27" s="18" t="n">
        <v>0</v>
      </c>
      <c r="P27" s="20" t="n">
        <v>0</v>
      </c>
      <c r="Q27" s="18" t="n">
        <v>3.44147753</v>
      </c>
      <c r="R27" s="20" t="n">
        <v>0.79164746</v>
      </c>
    </row>
    <row r="28" spans="1:18">
      <c r="A28" s="15" t="s">
        <v>450</v>
      </c>
      <c r="B28" s="17" t="n">
        <v>7568</v>
      </c>
      <c r="C28" s="18">
        <f>(6644.0/B28*100)</f>
        <v/>
      </c>
      <c r="D28" s="19" t="n">
        <v>924</v>
      </c>
      <c r="E28" s="18" t="n">
        <v>28.44485482</v>
      </c>
      <c r="F28" s="20" t="n">
        <v>1.85895592</v>
      </c>
      <c r="G28" s="18" t="n">
        <v>69.34499033</v>
      </c>
      <c r="H28" s="20" t="n">
        <v>2.0230919</v>
      </c>
      <c r="I28" s="18" t="n">
        <v>0</v>
      </c>
      <c r="J28" s="20" t="n">
        <v>0</v>
      </c>
      <c r="K28" s="18" t="n">
        <v>0.2683243</v>
      </c>
      <c r="L28" s="20" t="n">
        <v>0.19268901</v>
      </c>
      <c r="M28" s="18" t="n">
        <v>0</v>
      </c>
      <c r="N28" s="20" t="n">
        <v>0</v>
      </c>
      <c r="O28" s="18" t="n">
        <v>0</v>
      </c>
      <c r="P28" s="20" t="n">
        <v>0</v>
      </c>
      <c r="Q28" s="18" t="n">
        <v>1.94183055</v>
      </c>
      <c r="R28" s="20" t="n">
        <v>0.6426061199999999</v>
      </c>
    </row>
    <row r="29" spans="1:18">
      <c r="A29" s="15" t="s">
        <v>451</v>
      </c>
      <c r="B29" s="17" t="n">
        <v>5385</v>
      </c>
      <c r="C29" s="18">
        <f>(4739.0/B29*100)</f>
        <v/>
      </c>
      <c r="D29" s="19" t="n">
        <v>646</v>
      </c>
      <c r="E29" s="18" t="n">
        <v>12.14696744</v>
      </c>
      <c r="F29" s="20" t="n">
        <v>1.08406979</v>
      </c>
      <c r="G29" s="18" t="n">
        <v>86.0604731</v>
      </c>
      <c r="H29" s="20" t="n">
        <v>1.11307662</v>
      </c>
      <c r="I29" s="18" t="n">
        <v>0</v>
      </c>
      <c r="J29" s="20" t="n">
        <v>0</v>
      </c>
      <c r="K29" s="18" t="n">
        <v>0.09153656</v>
      </c>
      <c r="L29" s="20" t="n">
        <v>0.09149077999999999</v>
      </c>
      <c r="M29" s="18" t="n">
        <v>0</v>
      </c>
      <c r="N29" s="20" t="n">
        <v>0</v>
      </c>
      <c r="O29" s="18" t="n">
        <v>0</v>
      </c>
      <c r="P29" s="20" t="n">
        <v>0</v>
      </c>
      <c r="Q29" s="18" t="n">
        <v>1.70102291</v>
      </c>
      <c r="R29" s="20" t="n">
        <v>0.56829648</v>
      </c>
    </row>
    <row r="30" spans="1:18">
      <c r="A30" s="15" t="s">
        <v>452</v>
      </c>
      <c r="B30" s="17" t="n">
        <v>4520</v>
      </c>
      <c r="C30" s="18">
        <f>(3966.0/B30*100)</f>
        <v/>
      </c>
      <c r="D30" s="19" t="n">
        <v>554</v>
      </c>
      <c r="E30" s="18" t="n">
        <v>29.30678715</v>
      </c>
      <c r="F30" s="20" t="n">
        <v>1.8425455</v>
      </c>
      <c r="G30" s="18" t="n">
        <v>66.91703309</v>
      </c>
      <c r="H30" s="20" t="n">
        <v>1.98550304</v>
      </c>
      <c r="I30" s="18" t="n">
        <v>0</v>
      </c>
      <c r="J30" s="20" t="n">
        <v>0</v>
      </c>
      <c r="K30" s="18" t="n">
        <v>0.14374306</v>
      </c>
      <c r="L30" s="20" t="n">
        <v>0.14460084</v>
      </c>
      <c r="M30" s="18" t="n">
        <v>0.40669624</v>
      </c>
      <c r="N30" s="20" t="n">
        <v>0.29481187</v>
      </c>
      <c r="O30" s="18" t="n">
        <v>0</v>
      </c>
      <c r="P30" s="20" t="n">
        <v>0</v>
      </c>
      <c r="Q30" s="18" t="n">
        <v>3.22574046</v>
      </c>
      <c r="R30" s="20" t="n">
        <v>0.82564407</v>
      </c>
    </row>
    <row r="31" spans="1:18">
      <c r="A31" s="15" t="s">
        <v>453</v>
      </c>
      <c r="B31" s="17" t="n">
        <v>5456</v>
      </c>
      <c r="C31" s="18">
        <f>(4789.0/B31*100)</f>
        <v/>
      </c>
      <c r="D31" s="19" t="n">
        <v>667</v>
      </c>
      <c r="E31" s="18" t="n">
        <v>12.64413211</v>
      </c>
      <c r="F31" s="20" t="n">
        <v>1.39845222</v>
      </c>
      <c r="G31" s="18" t="n">
        <v>84.86048339</v>
      </c>
      <c r="H31" s="20" t="n">
        <v>1.63749745</v>
      </c>
      <c r="I31" s="18" t="n">
        <v>0</v>
      </c>
      <c r="J31" s="20" t="n">
        <v>0</v>
      </c>
      <c r="K31" s="18" t="n">
        <v>0.43242378</v>
      </c>
      <c r="L31" s="20" t="n">
        <v>0.2424768</v>
      </c>
      <c r="M31" s="18" t="n">
        <v>0.15995335</v>
      </c>
      <c r="N31" s="20" t="n">
        <v>0.17262444</v>
      </c>
      <c r="O31" s="18" t="n">
        <v>0</v>
      </c>
      <c r="P31" s="20" t="n">
        <v>0</v>
      </c>
      <c r="Q31" s="18" t="n">
        <v>1.90300737</v>
      </c>
      <c r="R31" s="20" t="n">
        <v>0.52752042</v>
      </c>
    </row>
    <row r="32" spans="1:18">
      <c r="A32" s="15" t="s">
        <v>454</v>
      </c>
      <c r="B32" s="17" t="n">
        <v>4478</v>
      </c>
      <c r="C32" s="18">
        <f>(3746.0/B32*100)</f>
        <v/>
      </c>
      <c r="D32" s="19" t="n">
        <v>732</v>
      </c>
      <c r="E32" s="18" t="n">
        <v>13.10742516</v>
      </c>
      <c r="F32" s="20" t="n">
        <v>1.27803365</v>
      </c>
      <c r="G32" s="18" t="n">
        <v>84.55765083999999</v>
      </c>
      <c r="H32" s="20" t="n">
        <v>1.35358185</v>
      </c>
      <c r="I32" s="18" t="n">
        <v>0</v>
      </c>
      <c r="J32" s="20" t="n">
        <v>0</v>
      </c>
      <c r="K32" s="18" t="n">
        <v>0</v>
      </c>
      <c r="L32" s="20" t="n">
        <v>0</v>
      </c>
      <c r="M32" s="18" t="n">
        <v>0</v>
      </c>
      <c r="N32" s="20" t="n">
        <v>0</v>
      </c>
      <c r="O32" s="18" t="n">
        <v>0</v>
      </c>
      <c r="P32" s="20" t="n">
        <v>0</v>
      </c>
      <c r="Q32" s="18" t="n">
        <v>2.334924</v>
      </c>
      <c r="R32" s="20" t="n">
        <v>0.47501141</v>
      </c>
    </row>
    <row r="33" spans="1:18">
      <c r="A33" s="15" t="s">
        <v>455</v>
      </c>
      <c r="B33" s="17" t="n">
        <v>7325</v>
      </c>
      <c r="C33" s="18">
        <f>(6420.0/B33*100)</f>
        <v/>
      </c>
      <c r="D33" s="19" t="n">
        <v>905</v>
      </c>
      <c r="E33" s="18" t="n">
        <v>19.78446742</v>
      </c>
      <c r="F33" s="20" t="n">
        <v>1.64056414</v>
      </c>
      <c r="G33" s="18" t="n">
        <v>78.74326548000001</v>
      </c>
      <c r="H33" s="20" t="n">
        <v>1.65627198</v>
      </c>
      <c r="I33" s="18" t="n">
        <v>0</v>
      </c>
      <c r="J33" s="20" t="n">
        <v>0</v>
      </c>
      <c r="K33" s="18" t="n">
        <v>0</v>
      </c>
      <c r="L33" s="20" t="n">
        <v>0</v>
      </c>
      <c r="M33" s="18" t="n">
        <v>0.11965241</v>
      </c>
      <c r="N33" s="20" t="n">
        <v>0.08380542000000001</v>
      </c>
      <c r="O33" s="18" t="n">
        <v>0</v>
      </c>
      <c r="P33" s="20" t="n">
        <v>0</v>
      </c>
      <c r="Q33" s="18" t="n">
        <v>1.35261469</v>
      </c>
      <c r="R33" s="20" t="n">
        <v>0.39834388</v>
      </c>
    </row>
    <row r="34" spans="1:18">
      <c r="A34" s="15" t="s">
        <v>456</v>
      </c>
      <c r="B34" s="17" t="n">
        <v>6350</v>
      </c>
      <c r="C34" s="18">
        <f>(5597.0/B34*100)</f>
        <v/>
      </c>
      <c r="D34" s="19" t="n">
        <v>753</v>
      </c>
      <c r="E34" s="18" t="n">
        <v>20.87739084</v>
      </c>
      <c r="F34" s="20" t="n">
        <v>1.67208717</v>
      </c>
      <c r="G34" s="18" t="n">
        <v>74.09692901</v>
      </c>
      <c r="H34" s="20" t="n">
        <v>1.76098264</v>
      </c>
      <c r="I34" s="18" t="n">
        <v>0</v>
      </c>
      <c r="J34" s="20" t="n">
        <v>0</v>
      </c>
      <c r="K34" s="18" t="n">
        <v>0.20942821</v>
      </c>
      <c r="L34" s="20" t="n">
        <v>0.20856901</v>
      </c>
      <c r="M34" s="18" t="n">
        <v>0.12510939</v>
      </c>
      <c r="N34" s="20" t="n">
        <v>0.12601782</v>
      </c>
      <c r="O34" s="18" t="n">
        <v>0</v>
      </c>
      <c r="P34" s="20" t="n">
        <v>0</v>
      </c>
      <c r="Q34" s="18" t="n">
        <v>4.69114255</v>
      </c>
      <c r="R34" s="20" t="n">
        <v>0.89287878</v>
      </c>
    </row>
    <row r="35" spans="1:18">
      <c r="A35" s="15" t="s">
        <v>457</v>
      </c>
      <c r="B35" s="17" t="n">
        <v>6406</v>
      </c>
      <c r="C35" s="18">
        <f>(5633.0/B35*100)</f>
        <v/>
      </c>
      <c r="D35" s="19" t="n">
        <v>773</v>
      </c>
      <c r="E35" s="18" t="n">
        <v>13.0393024</v>
      </c>
      <c r="F35" s="20" t="n">
        <v>1.25727953</v>
      </c>
      <c r="G35" s="18" t="n">
        <v>85.84206451</v>
      </c>
      <c r="H35" s="20" t="n">
        <v>1.3503711</v>
      </c>
      <c r="I35" s="18" t="n">
        <v>0</v>
      </c>
      <c r="J35" s="20" t="n">
        <v>0</v>
      </c>
      <c r="K35" s="18" t="n">
        <v>0</v>
      </c>
      <c r="L35" s="20" t="n">
        <v>0</v>
      </c>
      <c r="M35" s="18" t="n">
        <v>0.21964901</v>
      </c>
      <c r="N35" s="20" t="n">
        <v>0.21926221</v>
      </c>
      <c r="O35" s="18" t="n">
        <v>0</v>
      </c>
      <c r="P35" s="20" t="n">
        <v>0</v>
      </c>
      <c r="Q35" s="18" t="n">
        <v>0.89898408</v>
      </c>
      <c r="R35" s="20" t="n">
        <v>0.31171544</v>
      </c>
    </row>
    <row r="36" spans="1:18">
      <c r="A36" s="15" t="s">
        <v>458</v>
      </c>
      <c r="B36" s="17" t="n">
        <v>6736</v>
      </c>
      <c r="C36" s="18">
        <f>(5922.0/B36*100)</f>
        <v/>
      </c>
      <c r="D36" s="19" t="n">
        <v>814</v>
      </c>
      <c r="E36" s="18" t="n">
        <v>23.99987994</v>
      </c>
      <c r="F36" s="20" t="n">
        <v>1.71983126</v>
      </c>
      <c r="G36" s="18" t="n">
        <v>74.070369</v>
      </c>
      <c r="H36" s="20" t="n">
        <v>1.81237307</v>
      </c>
      <c r="I36" s="18" t="n">
        <v>0</v>
      </c>
      <c r="J36" s="20" t="n">
        <v>0</v>
      </c>
      <c r="K36" s="18" t="n">
        <v>0.1333771</v>
      </c>
      <c r="L36" s="20" t="n">
        <v>0.19668612</v>
      </c>
      <c r="M36" s="18" t="n">
        <v>0.22947953</v>
      </c>
      <c r="N36" s="20" t="n">
        <v>0.16771159</v>
      </c>
      <c r="O36" s="18" t="n">
        <v>0</v>
      </c>
      <c r="P36" s="20" t="n">
        <v>0</v>
      </c>
      <c r="Q36" s="18" t="n">
        <v>1.56689443</v>
      </c>
      <c r="R36" s="20" t="n">
        <v>0.50248885</v>
      </c>
    </row>
    <row r="37" spans="1:18">
      <c r="A37" s="15" t="s">
        <v>459</v>
      </c>
      <c r="B37" s="17" t="n">
        <v>5458</v>
      </c>
      <c r="C37" s="18">
        <f>(4763.0/B37*100)</f>
        <v/>
      </c>
      <c r="D37" s="19" t="n">
        <v>695</v>
      </c>
      <c r="E37" s="18" t="n">
        <v>17.17932705</v>
      </c>
      <c r="F37" s="20" t="n">
        <v>1.70035484</v>
      </c>
      <c r="G37" s="18" t="n">
        <v>76.8254077</v>
      </c>
      <c r="H37" s="20" t="n">
        <v>2.0195947</v>
      </c>
      <c r="I37" s="18" t="n">
        <v>0</v>
      </c>
      <c r="J37" s="20" t="n">
        <v>0</v>
      </c>
      <c r="K37" s="18" t="n">
        <v>0.14323621</v>
      </c>
      <c r="L37" s="20" t="n">
        <v>0.14428486</v>
      </c>
      <c r="M37" s="18" t="n">
        <v>0</v>
      </c>
      <c r="N37" s="20" t="n">
        <v>0</v>
      </c>
      <c r="O37" s="18" t="n">
        <v>0</v>
      </c>
      <c r="P37" s="20" t="n">
        <v>0</v>
      </c>
      <c r="Q37" s="18" t="n">
        <v>5.85202904</v>
      </c>
      <c r="R37" s="20" t="n">
        <v>0.84071027</v>
      </c>
    </row>
    <row r="38" spans="1:18">
      <c r="A38" s="15" t="s">
        <v>460</v>
      </c>
      <c r="B38" s="17" t="n">
        <v>5860</v>
      </c>
      <c r="C38" s="18">
        <f>(4895.0/B38*100)</f>
        <v/>
      </c>
      <c r="D38" s="19" t="n">
        <v>965</v>
      </c>
      <c r="E38" s="18" t="n">
        <v>14.2094195</v>
      </c>
      <c r="F38" s="20" t="n">
        <v>1.31618682</v>
      </c>
      <c r="G38" s="18" t="n">
        <v>83.06433839</v>
      </c>
      <c r="H38" s="20" t="n">
        <v>1.51078042</v>
      </c>
      <c r="I38" s="18" t="n">
        <v>0</v>
      </c>
      <c r="J38" s="20" t="n">
        <v>0</v>
      </c>
      <c r="K38" s="18" t="n">
        <v>0.32478695</v>
      </c>
      <c r="L38" s="20" t="n">
        <v>0.28541888</v>
      </c>
      <c r="M38" s="18" t="n">
        <v>0.35152299</v>
      </c>
      <c r="N38" s="20" t="n">
        <v>0.20663098</v>
      </c>
      <c r="O38" s="18" t="n">
        <v>0</v>
      </c>
      <c r="P38" s="20" t="n">
        <v>0</v>
      </c>
      <c r="Q38" s="18" t="n">
        <v>2.04993216</v>
      </c>
      <c r="R38" s="20" t="n">
        <v>0.53019628</v>
      </c>
    </row>
    <row r="39" spans="1:18">
      <c r="A39" s="15" t="s">
        <v>461</v>
      </c>
      <c r="B39" s="17" t="n">
        <v>5895</v>
      </c>
      <c r="C39" s="18">
        <f>(5176.0/B39*100)</f>
        <v/>
      </c>
      <c r="D39" s="19" t="n">
        <v>719</v>
      </c>
      <c r="E39" s="18" t="n">
        <v>38.1885626</v>
      </c>
      <c r="F39" s="20" t="n">
        <v>1.94380754</v>
      </c>
      <c r="G39" s="18" t="n">
        <v>58.39480226</v>
      </c>
      <c r="H39" s="20" t="n">
        <v>2.09494586</v>
      </c>
      <c r="I39" s="18" t="n">
        <v>0</v>
      </c>
      <c r="J39" s="20" t="n">
        <v>0</v>
      </c>
      <c r="K39" s="18" t="n">
        <v>0.1986762</v>
      </c>
      <c r="L39" s="20" t="n">
        <v>0.19822368</v>
      </c>
      <c r="M39" s="18" t="n">
        <v>0</v>
      </c>
      <c r="N39" s="20" t="n">
        <v>0</v>
      </c>
      <c r="O39" s="18" t="n">
        <v>0</v>
      </c>
      <c r="P39" s="20" t="n">
        <v>0</v>
      </c>
      <c r="Q39" s="18" t="n">
        <v>3.21795894</v>
      </c>
      <c r="R39" s="20" t="n">
        <v>0.75372714</v>
      </c>
    </row>
    <row r="40" spans="1:18">
      <c r="A40" s="15" t="s">
        <v>462</v>
      </c>
      <c r="B40" s="17" t="n">
        <v>14157</v>
      </c>
      <c r="C40" s="18">
        <f>(12440.0/B40*100)</f>
        <v/>
      </c>
      <c r="D40" s="19" t="n">
        <v>1717</v>
      </c>
      <c r="E40" s="18" t="n">
        <v>30.19875009</v>
      </c>
      <c r="F40" s="20" t="n">
        <v>1.86645174</v>
      </c>
      <c r="G40" s="18" t="n">
        <v>66.8545651</v>
      </c>
      <c r="H40" s="20" t="n">
        <v>1.82770621</v>
      </c>
      <c r="I40" s="18" t="n">
        <v>0</v>
      </c>
      <c r="J40" s="20" t="n">
        <v>0</v>
      </c>
      <c r="K40" s="18" t="n">
        <v>0.01174436</v>
      </c>
      <c r="L40" s="20" t="n">
        <v>0.01180982</v>
      </c>
      <c r="M40" s="18" t="n">
        <v>0.2806969</v>
      </c>
      <c r="N40" s="20" t="n">
        <v>0.22122351</v>
      </c>
      <c r="O40" s="18" t="n">
        <v>0</v>
      </c>
      <c r="P40" s="20" t="n">
        <v>0</v>
      </c>
      <c r="Q40" s="18" t="n">
        <v>2.65424355</v>
      </c>
      <c r="R40" s="20" t="n">
        <v>0.57987045</v>
      </c>
    </row>
    <row r="41" spans="1:18">
      <c r="A41" s="15" t="s">
        <v>463</v>
      </c>
      <c r="B41" s="17" t="n">
        <v>5712</v>
      </c>
      <c r="C41" s="18">
        <f>(5007.0/B41*100)</f>
        <v/>
      </c>
      <c r="D41" s="19" t="n">
        <v>705</v>
      </c>
      <c r="E41" s="18" t="n">
        <v>37.99475951</v>
      </c>
      <c r="F41" s="20" t="n">
        <v>1.92690889</v>
      </c>
      <c r="G41" s="18" t="n">
        <v>61.28816533</v>
      </c>
      <c r="H41" s="20" t="n">
        <v>1.97566311</v>
      </c>
      <c r="I41" s="18" t="n">
        <v>0</v>
      </c>
      <c r="J41" s="20" t="n">
        <v>0</v>
      </c>
      <c r="K41" s="18" t="n">
        <v>0</v>
      </c>
      <c r="L41" s="20" t="n">
        <v>0</v>
      </c>
      <c r="M41" s="18" t="n">
        <v>0</v>
      </c>
      <c r="N41" s="20" t="n">
        <v>0</v>
      </c>
      <c r="O41" s="18" t="n">
        <v>0</v>
      </c>
      <c r="P41" s="20" t="n">
        <v>0</v>
      </c>
      <c r="Q41" s="18" t="n">
        <v>0.71707517</v>
      </c>
      <c r="R41" s="20" t="n">
        <v>0.27293757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(20588.0/B46*100)</f>
        <v/>
      </c>
      <c r="D46" s="19" t="n">
        <v>2553</v>
      </c>
      <c r="E46" s="18" t="n">
        <v>35.63793267</v>
      </c>
      <c r="F46" s="20" t="n">
        <v>1.32160486</v>
      </c>
      <c r="G46" s="18" t="n">
        <v>56.57167955</v>
      </c>
      <c r="H46" s="20" t="n">
        <v>1.47507526</v>
      </c>
      <c r="I46" s="18" t="n">
        <v>0</v>
      </c>
      <c r="J46" s="20" t="n">
        <v>0</v>
      </c>
      <c r="K46" s="18" t="n">
        <v>0.33383773</v>
      </c>
      <c r="L46" s="20" t="n">
        <v>0.14346241</v>
      </c>
      <c r="M46" s="18" t="n">
        <v>0.60656602</v>
      </c>
      <c r="N46" s="20" t="n">
        <v>0.23124954</v>
      </c>
      <c r="O46" s="18" t="n">
        <v>0</v>
      </c>
      <c r="P46" s="20" t="n">
        <v>0</v>
      </c>
      <c r="Q46" s="18" t="n">
        <v>6.84998402</v>
      </c>
      <c r="R46" s="20" t="n">
        <v>0.72887188</v>
      </c>
    </row>
    <row r="47" spans="1:18">
      <c r="A47" s="15" t="s">
        <v>470</v>
      </c>
      <c r="B47" s="17" t="n">
        <v>5928</v>
      </c>
      <c r="C47" s="18">
        <f>(5174.0/B47*100)</f>
        <v/>
      </c>
      <c r="D47" s="19" t="n">
        <v>754</v>
      </c>
      <c r="E47" s="18" t="n">
        <v>28.78781296</v>
      </c>
      <c r="F47" s="20" t="n">
        <v>1.74697194</v>
      </c>
      <c r="G47" s="18" t="n">
        <v>62.85260905</v>
      </c>
      <c r="H47" s="20" t="n">
        <v>1.97310227</v>
      </c>
      <c r="I47" s="18" t="n">
        <v>0</v>
      </c>
      <c r="J47" s="20" t="n">
        <v>0</v>
      </c>
      <c r="K47" s="18" t="n">
        <v>0</v>
      </c>
      <c r="L47" s="20" t="n">
        <v>0</v>
      </c>
      <c r="M47" s="18" t="n">
        <v>0</v>
      </c>
      <c r="N47" s="20" t="n">
        <v>0</v>
      </c>
      <c r="O47" s="18" t="n">
        <v>0</v>
      </c>
      <c r="P47" s="20" t="n">
        <v>0</v>
      </c>
      <c r="Q47" s="18" t="n">
        <v>8.359577979999999</v>
      </c>
      <c r="R47" s="20" t="n">
        <v>1.18579558</v>
      </c>
    </row>
    <row r="48" spans="1:18">
      <c r="A48" s="15" t="s">
        <v>471</v>
      </c>
      <c r="B48" s="17" t="n">
        <v>9841</v>
      </c>
      <c r="C48" s="18">
        <f>(8630.0/B48*100)</f>
        <v/>
      </c>
      <c r="D48" s="19" t="n">
        <v>1211</v>
      </c>
      <c r="E48" s="18" t="n">
        <v>20.48967837</v>
      </c>
      <c r="F48" s="20" t="n">
        <v>1.41132746</v>
      </c>
      <c r="G48" s="18" t="n">
        <v>76.36630072</v>
      </c>
      <c r="H48" s="20" t="n">
        <v>1.45425282</v>
      </c>
      <c r="I48" s="18" t="n">
        <v>0</v>
      </c>
      <c r="J48" s="20" t="n">
        <v>0</v>
      </c>
      <c r="K48" s="18" t="n">
        <v>0.34718396</v>
      </c>
      <c r="L48" s="20" t="n">
        <v>0.24469344</v>
      </c>
      <c r="M48" s="18" t="n">
        <v>0</v>
      </c>
      <c r="N48" s="20" t="n">
        <v>0</v>
      </c>
      <c r="O48" s="18" t="n">
        <v>0</v>
      </c>
      <c r="P48" s="20" t="n">
        <v>0</v>
      </c>
      <c r="Q48" s="18" t="n">
        <v>2.79683696</v>
      </c>
      <c r="R48" s="20" t="n">
        <v>0.52439825</v>
      </c>
    </row>
    <row r="49" spans="1:18">
      <c r="A49" s="15" t="s">
        <v>472</v>
      </c>
      <c r="B49" s="17" t="n">
        <v>11795</v>
      </c>
      <c r="C49" s="18">
        <f>(10384.0/B49*100)</f>
        <v/>
      </c>
      <c r="D49" s="19" t="n">
        <v>1411</v>
      </c>
      <c r="E49" s="18" t="n">
        <v>29.91552662</v>
      </c>
      <c r="F49" s="20" t="n">
        <v>1.69745609</v>
      </c>
      <c r="G49" s="18" t="n">
        <v>67.38728498</v>
      </c>
      <c r="H49" s="20" t="n">
        <v>1.75278206</v>
      </c>
      <c r="I49" s="18" t="n">
        <v>0</v>
      </c>
      <c r="J49" s="20" t="n">
        <v>0</v>
      </c>
      <c r="K49" s="18" t="n">
        <v>0.89018922</v>
      </c>
      <c r="L49" s="20" t="n">
        <v>0.38478089</v>
      </c>
      <c r="M49" s="18" t="n">
        <v>0.0038036</v>
      </c>
      <c r="N49" s="20" t="n">
        <v>0.00383136</v>
      </c>
      <c r="O49" s="18" t="n">
        <v>0</v>
      </c>
      <c r="P49" s="20" t="n">
        <v>0</v>
      </c>
      <c r="Q49" s="18" t="n">
        <v>1.80319558</v>
      </c>
      <c r="R49" s="20" t="n">
        <v>0.4333793</v>
      </c>
    </row>
    <row r="50" spans="1:18">
      <c r="A50" s="15" t="s">
        <v>473</v>
      </c>
      <c r="B50" s="17" t="n">
        <v>6866</v>
      </c>
      <c r="C50" s="18">
        <f>(6116.0/B50*100)</f>
        <v/>
      </c>
      <c r="D50" s="19" t="n">
        <v>750</v>
      </c>
      <c r="E50" s="18" t="n">
        <v>35.36152571</v>
      </c>
      <c r="F50" s="20" t="n">
        <v>2.3608476</v>
      </c>
      <c r="G50" s="18" t="n">
        <v>62.33796179</v>
      </c>
      <c r="H50" s="20" t="n">
        <v>2.21840639</v>
      </c>
      <c r="I50" s="18" t="n">
        <v>0</v>
      </c>
      <c r="J50" s="20" t="n">
        <v>0</v>
      </c>
      <c r="K50" s="18" t="n">
        <v>0.47197216</v>
      </c>
      <c r="L50" s="20" t="n">
        <v>0.23866684</v>
      </c>
      <c r="M50" s="18" t="n">
        <v>0</v>
      </c>
      <c r="N50" s="20" t="n">
        <v>0</v>
      </c>
      <c r="O50" s="18" t="n">
        <v>0</v>
      </c>
      <c r="P50" s="20" t="n">
        <v>0</v>
      </c>
      <c r="Q50" s="18" t="n">
        <v>1.82854035</v>
      </c>
      <c r="R50" s="20" t="n">
        <v>0.60993447</v>
      </c>
    </row>
    <row r="51" spans="1:18">
      <c r="A51" s="15" t="s">
        <v>474</v>
      </c>
      <c r="B51" s="17" t="n">
        <v>5809</v>
      </c>
      <c r="C51" s="18">
        <f>(5079.0/B51*100)</f>
        <v/>
      </c>
      <c r="D51" s="19" t="n">
        <v>730</v>
      </c>
      <c r="E51" s="18" t="n">
        <v>17.55805245</v>
      </c>
      <c r="F51" s="20" t="n">
        <v>1.56197637</v>
      </c>
      <c r="G51" s="18" t="n">
        <v>78.97645973</v>
      </c>
      <c r="H51" s="20" t="n">
        <v>1.60872016</v>
      </c>
      <c r="I51" s="18" t="n">
        <v>0</v>
      </c>
      <c r="J51" s="20" t="n">
        <v>0</v>
      </c>
      <c r="K51" s="18" t="n">
        <v>0</v>
      </c>
      <c r="L51" s="20" t="n">
        <v>0</v>
      </c>
      <c r="M51" s="18" t="n">
        <v>0</v>
      </c>
      <c r="N51" s="20" t="n">
        <v>0</v>
      </c>
      <c r="O51" s="18" t="n">
        <v>0</v>
      </c>
      <c r="P51" s="20" t="n">
        <v>0</v>
      </c>
      <c r="Q51" s="18" t="n">
        <v>3.46548782</v>
      </c>
      <c r="R51" s="20" t="n">
        <v>0.68544551</v>
      </c>
    </row>
    <row r="52" spans="1:18">
      <c r="A52" s="15" t="s">
        <v>475</v>
      </c>
      <c r="B52" s="17" t="n">
        <v>5571</v>
      </c>
      <c r="C52" s="18">
        <f>(4906.0/B52*100)</f>
        <v/>
      </c>
      <c r="D52" s="19" t="n">
        <v>665</v>
      </c>
      <c r="E52" s="18" t="n">
        <v>20.61704146</v>
      </c>
      <c r="F52" s="20" t="n">
        <v>1.65684134</v>
      </c>
      <c r="G52" s="18" t="n">
        <v>75.80857788</v>
      </c>
      <c r="H52" s="20" t="n">
        <v>1.80106379</v>
      </c>
      <c r="I52" s="18" t="n">
        <v>0</v>
      </c>
      <c r="J52" s="20" t="n">
        <v>0</v>
      </c>
      <c r="K52" s="18" t="n">
        <v>0</v>
      </c>
      <c r="L52" s="20" t="n">
        <v>0</v>
      </c>
      <c r="M52" s="18" t="n">
        <v>0</v>
      </c>
      <c r="N52" s="20" t="n">
        <v>0</v>
      </c>
      <c r="O52" s="18" t="n">
        <v>0</v>
      </c>
      <c r="P52" s="20" t="n">
        <v>0</v>
      </c>
      <c r="Q52" s="18" t="n">
        <v>3.57438066</v>
      </c>
      <c r="R52" s="20" t="n">
        <v>0.61517566</v>
      </c>
    </row>
    <row r="53" spans="1:18">
      <c r="A53" s="15" t="s">
        <v>476</v>
      </c>
      <c r="B53" s="17" t="n">
        <v>4740</v>
      </c>
      <c r="C53" s="18">
        <f>(3974.0/B53*100)</f>
        <v/>
      </c>
      <c r="D53" s="19" t="n">
        <v>766</v>
      </c>
      <c r="E53" s="18" t="n">
        <v>43.83826022</v>
      </c>
      <c r="F53" s="20" t="n">
        <v>1.99968444</v>
      </c>
      <c r="G53" s="18" t="n">
        <v>41.99324179</v>
      </c>
      <c r="H53" s="20" t="n">
        <v>2.12844094</v>
      </c>
      <c r="I53" s="18" t="n">
        <v>0</v>
      </c>
      <c r="J53" s="20" t="n">
        <v>0</v>
      </c>
      <c r="K53" s="18" t="n">
        <v>5.53373457</v>
      </c>
      <c r="L53" s="20" t="n">
        <v>0.93675819</v>
      </c>
      <c r="M53" s="18" t="n">
        <v>0.94657057</v>
      </c>
      <c r="N53" s="20" t="n">
        <v>0.77204887</v>
      </c>
      <c r="O53" s="18" t="n">
        <v>0</v>
      </c>
      <c r="P53" s="20" t="n">
        <v>0</v>
      </c>
      <c r="Q53" s="18" t="n">
        <v>7.68819285</v>
      </c>
      <c r="R53" s="20" t="n">
        <v>1.15080731</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(4708.0/B55*100)</f>
        <v/>
      </c>
      <c r="D55" s="19" t="n">
        <v>651</v>
      </c>
      <c r="E55" s="18" t="n">
        <v>13.24150163</v>
      </c>
      <c r="F55" s="20" t="n">
        <v>1.69891347</v>
      </c>
      <c r="G55" s="18" t="n">
        <v>85.90545478</v>
      </c>
      <c r="H55" s="20" t="n">
        <v>1.74062309</v>
      </c>
      <c r="I55" s="18" t="n">
        <v>0</v>
      </c>
      <c r="J55" s="20" t="n">
        <v>0</v>
      </c>
      <c r="K55" s="18" t="n">
        <v>0.12960585</v>
      </c>
      <c r="L55" s="20" t="n">
        <v>0.13010357</v>
      </c>
      <c r="M55" s="18" t="n">
        <v>0.21934703</v>
      </c>
      <c r="N55" s="20" t="n">
        <v>0.22582906</v>
      </c>
      <c r="O55" s="18" t="n">
        <v>0</v>
      </c>
      <c r="P55" s="20" t="n">
        <v>0</v>
      </c>
      <c r="Q55" s="18" t="n">
        <v>0.5040907100000001</v>
      </c>
      <c r="R55" s="20" t="n">
        <v>0.34486295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16.73110311</v>
      </c>
      <c r="F61" s="20" t="n">
        <v>1.30880373</v>
      </c>
      <c r="G61" s="18" t="n">
        <v>80.75395964000001</v>
      </c>
      <c r="H61" s="20" t="n">
        <v>1.50379658</v>
      </c>
      <c r="I61" s="18" t="n">
        <v>0</v>
      </c>
      <c r="J61" s="20" t="n">
        <v>0</v>
      </c>
      <c r="K61" s="18" t="n">
        <v>0.05966164</v>
      </c>
      <c r="L61" s="20" t="n">
        <v>0.04232966</v>
      </c>
      <c r="M61" s="18" t="n">
        <v>0.15606017</v>
      </c>
      <c r="N61" s="20" t="n">
        <v>0.15417885</v>
      </c>
      <c r="O61" s="18" t="n">
        <v>0</v>
      </c>
      <c r="P61" s="20" t="n">
        <v>0</v>
      </c>
      <c r="Q61" s="18" t="n">
        <v>2.29921543</v>
      </c>
      <c r="R61" s="20" t="n">
        <v>0.57093753</v>
      </c>
    </row>
    <row r="62" spans="1:18">
      <c r="A62" s="15" t="s">
        <v>486</v>
      </c>
      <c r="B62" s="17" t="n">
        <v>4476</v>
      </c>
      <c r="C62" s="18">
        <f>(3924.0/B62*100)</f>
        <v/>
      </c>
      <c r="D62" s="19" t="n">
        <v>552</v>
      </c>
      <c r="E62" s="18" t="n">
        <v>17.04253571</v>
      </c>
      <c r="F62" s="20" t="n">
        <v>1.55943632</v>
      </c>
      <c r="G62" s="18" t="n">
        <v>82.59764901</v>
      </c>
      <c r="H62" s="20" t="n">
        <v>1.55051193</v>
      </c>
      <c r="I62" s="18" t="n">
        <v>0</v>
      </c>
      <c r="J62" s="20" t="n">
        <v>0</v>
      </c>
      <c r="K62" s="18" t="n">
        <v>0</v>
      </c>
      <c r="L62" s="20" t="n">
        <v>0</v>
      </c>
      <c r="M62" s="18" t="n">
        <v>0</v>
      </c>
      <c r="N62" s="20" t="n">
        <v>0</v>
      </c>
      <c r="O62" s="18" t="n">
        <v>0</v>
      </c>
      <c r="P62" s="20" t="n">
        <v>0</v>
      </c>
      <c r="Q62" s="18" t="n">
        <v>0.35981528</v>
      </c>
      <c r="R62" s="20" t="n">
        <v>0.25548493</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(4974.0/B67*100)</f>
        <v/>
      </c>
      <c r="D67" s="19" t="n">
        <v>691</v>
      </c>
      <c r="E67" s="18" t="n">
        <v>33.99825725</v>
      </c>
      <c r="F67" s="20" t="n">
        <v>1.77230838</v>
      </c>
      <c r="G67" s="18" t="n">
        <v>55.59320374</v>
      </c>
      <c r="H67" s="20" t="n">
        <v>2.12756</v>
      </c>
      <c r="I67" s="18" t="n">
        <v>0</v>
      </c>
      <c r="J67" s="20" t="n">
        <v>0</v>
      </c>
      <c r="K67" s="18" t="n">
        <v>0.13093431</v>
      </c>
      <c r="L67" s="20" t="n">
        <v>0.13025656</v>
      </c>
      <c r="M67" s="18" t="n">
        <v>0.74854238</v>
      </c>
      <c r="N67" s="20" t="n">
        <v>0.3452525</v>
      </c>
      <c r="O67" s="18" t="n">
        <v>0</v>
      </c>
      <c r="P67" s="20" t="n">
        <v>0</v>
      </c>
      <c r="Q67" s="18" t="n">
        <v>9.52906233</v>
      </c>
      <c r="R67" s="20" t="n">
        <v>1.0889609</v>
      </c>
    </row>
    <row r="68" spans="1:18">
      <c r="A68" s="15" t="s">
        <v>492</v>
      </c>
      <c r="B68" s="17" t="n">
        <v>6971</v>
      </c>
      <c r="C68" s="18">
        <f>(6164.0/B68*100)</f>
        <v/>
      </c>
      <c r="D68" s="19" t="n">
        <v>807</v>
      </c>
      <c r="E68" s="18" t="n">
        <v>37.56131528</v>
      </c>
      <c r="F68" s="20" t="n">
        <v>1.96766927</v>
      </c>
      <c r="G68" s="18" t="n">
        <v>57.48975163</v>
      </c>
      <c r="H68" s="20" t="n">
        <v>2.01641969</v>
      </c>
      <c r="I68" s="18" t="n">
        <v>0</v>
      </c>
      <c r="J68" s="20" t="n">
        <v>0</v>
      </c>
      <c r="K68" s="18" t="n">
        <v>0.22106521</v>
      </c>
      <c r="L68" s="20" t="n">
        <v>0.16112405</v>
      </c>
      <c r="M68" s="18" t="n">
        <v>0.13352914</v>
      </c>
      <c r="N68" s="20" t="n">
        <v>0.13332491</v>
      </c>
      <c r="O68" s="18" t="n">
        <v>0</v>
      </c>
      <c r="P68" s="20" t="n">
        <v>0</v>
      </c>
      <c r="Q68" s="18" t="n">
        <v>4.59433874</v>
      </c>
      <c r="R68" s="20" t="n">
        <v>0.84241088</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(10068.0/B70*100)</f>
        <v/>
      </c>
      <c r="D70" s="19" t="n">
        <v>2015</v>
      </c>
      <c r="E70" s="18" t="n">
        <v>34.26246375</v>
      </c>
      <c r="F70" s="20" t="n">
        <v>1.13984861</v>
      </c>
      <c r="G70" s="18" t="n">
        <v>59.38870103</v>
      </c>
      <c r="H70" s="20" t="n">
        <v>1.15131095</v>
      </c>
      <c r="I70" s="18" t="n">
        <v>0</v>
      </c>
      <c r="J70" s="20" t="n">
        <v>0</v>
      </c>
      <c r="K70" s="18" t="n">
        <v>0.97865463</v>
      </c>
      <c r="L70" s="20" t="n">
        <v>0.24873748</v>
      </c>
      <c r="M70" s="18" t="n">
        <v>0</v>
      </c>
      <c r="N70" s="20" t="n">
        <v>0</v>
      </c>
      <c r="O70" s="18" t="n">
        <v>0</v>
      </c>
      <c r="P70" s="20" t="n">
        <v>0</v>
      </c>
      <c r="Q70" s="18" t="n">
        <v>5.37018058</v>
      </c>
      <c r="R70" s="20" t="n">
        <v>0.41521808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(5311.0/B72*100)</f>
        <v/>
      </c>
      <c r="D72" s="19" t="n">
        <v>725</v>
      </c>
      <c r="E72" s="18" t="n">
        <v>19.30240442</v>
      </c>
      <c r="F72" s="20" t="n">
        <v>1.37394653</v>
      </c>
      <c r="G72" s="18" t="n">
        <v>77.77338417999999</v>
      </c>
      <c r="H72" s="20" t="n">
        <v>1.44392248</v>
      </c>
      <c r="I72" s="18" t="n">
        <v>0</v>
      </c>
      <c r="J72" s="20" t="n">
        <v>0</v>
      </c>
      <c r="K72" s="18" t="n">
        <v>0.5000772999999999</v>
      </c>
      <c r="L72" s="20" t="n">
        <v>0.38993546</v>
      </c>
      <c r="M72" s="18" t="n">
        <v>0.1284623</v>
      </c>
      <c r="N72" s="20" t="n">
        <v>0.13019274</v>
      </c>
      <c r="O72" s="18" t="n">
        <v>0</v>
      </c>
      <c r="P72" s="20" t="n">
        <v>0</v>
      </c>
      <c r="Q72" s="18" t="n">
        <v>2.29567181</v>
      </c>
      <c r="R72" s="20" t="n">
        <v>0.4969543</v>
      </c>
    </row>
    <row r="73" spans="1:18">
      <c r="A73" s="15" t="s">
        <v>497</v>
      </c>
      <c r="B73" s="17" t="n">
        <v>6115</v>
      </c>
      <c r="C73" s="18">
        <f>(5373.0/B73*100)</f>
        <v/>
      </c>
      <c r="D73" s="19" t="n">
        <v>742</v>
      </c>
      <c r="E73" s="18" t="n">
        <v>25.06106691</v>
      </c>
      <c r="F73" s="20" t="n">
        <v>1.29098531</v>
      </c>
      <c r="G73" s="18" t="n">
        <v>73.76768408</v>
      </c>
      <c r="H73" s="20" t="n">
        <v>1.25264063</v>
      </c>
      <c r="I73" s="18" t="n">
        <v>0</v>
      </c>
      <c r="J73" s="20" t="n">
        <v>0</v>
      </c>
      <c r="K73" s="18" t="n">
        <v>0</v>
      </c>
      <c r="L73" s="20" t="n">
        <v>0</v>
      </c>
      <c r="M73" s="18" t="n">
        <v>0.08247387</v>
      </c>
      <c r="N73" s="20" t="n">
        <v>0.0827585</v>
      </c>
      <c r="O73" s="18" t="n">
        <v>0</v>
      </c>
      <c r="P73" s="20" t="n">
        <v>0</v>
      </c>
      <c r="Q73" s="18" t="n">
        <v>1.08877514</v>
      </c>
      <c r="R73" s="20" t="n">
        <v>0.3750691</v>
      </c>
    </row>
    <row r="74" spans="1:18">
      <c r="A74" s="15" t="s">
        <v>498</v>
      </c>
      <c r="B74" s="17" t="n">
        <v>7708</v>
      </c>
      <c r="C74" s="18">
        <f>(6758.0/B74*100)</f>
        <v/>
      </c>
      <c r="D74" s="19" t="n">
        <v>950</v>
      </c>
      <c r="E74" s="18" t="n">
        <v>17.97982358</v>
      </c>
      <c r="F74" s="20" t="n">
        <v>1.26514643</v>
      </c>
      <c r="G74" s="18" t="n">
        <v>79.4938887</v>
      </c>
      <c r="H74" s="20" t="n">
        <v>1.28125423</v>
      </c>
      <c r="I74" s="18" t="n">
        <v>0</v>
      </c>
      <c r="J74" s="20" t="n">
        <v>0</v>
      </c>
      <c r="K74" s="18" t="n">
        <v>0.07279133</v>
      </c>
      <c r="L74" s="20" t="n">
        <v>0.07479695</v>
      </c>
      <c r="M74" s="18" t="n">
        <v>0</v>
      </c>
      <c r="N74" s="20" t="n">
        <v>0</v>
      </c>
      <c r="O74" s="18" t="n">
        <v>0</v>
      </c>
      <c r="P74" s="20" t="n">
        <v>0</v>
      </c>
      <c r="Q74" s="18" t="n">
        <v>2.45349639</v>
      </c>
      <c r="R74" s="20" t="n">
        <v>0.58996938</v>
      </c>
    </row>
    <row r="75" spans="1:18">
      <c r="A75" s="15" t="s">
        <v>499</v>
      </c>
      <c r="B75" s="17" t="n">
        <v>8249</v>
      </c>
      <c r="C75" s="18">
        <f>(7263.0/B75*100)</f>
        <v/>
      </c>
      <c r="D75" s="19" t="n">
        <v>986</v>
      </c>
      <c r="E75" s="18" t="n">
        <v>28.39516287</v>
      </c>
      <c r="F75" s="20" t="n">
        <v>1.87928319</v>
      </c>
      <c r="G75" s="18" t="n">
        <v>69.85908718</v>
      </c>
      <c r="H75" s="20" t="n">
        <v>1.93468027</v>
      </c>
      <c r="I75" s="18" t="n">
        <v>0</v>
      </c>
      <c r="J75" s="20" t="n">
        <v>0</v>
      </c>
      <c r="K75" s="18" t="n">
        <v>0</v>
      </c>
      <c r="L75" s="20" t="n">
        <v>0</v>
      </c>
      <c r="M75" s="18" t="n">
        <v>0.00434888</v>
      </c>
      <c r="N75" s="20" t="n">
        <v>0.00420885</v>
      </c>
      <c r="O75" s="18" t="n">
        <v>0</v>
      </c>
      <c r="P75" s="20" t="n">
        <v>0</v>
      </c>
      <c r="Q75" s="18" t="n">
        <v>1.74140107</v>
      </c>
      <c r="R75" s="20" t="n">
        <v>0.50186111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(4789.0/B77*100)</f>
        <v/>
      </c>
      <c r="D77" s="19" t="n">
        <v>586</v>
      </c>
      <c r="E77" s="18" t="n">
        <v>40.80980724</v>
      </c>
      <c r="F77" s="20" t="n">
        <v>2.12215186</v>
      </c>
      <c r="G77" s="18" t="n">
        <v>45.32240695</v>
      </c>
      <c r="H77" s="20" t="n">
        <v>2.29142323</v>
      </c>
      <c r="I77" s="18" t="n">
        <v>0</v>
      </c>
      <c r="J77" s="20" t="n">
        <v>0</v>
      </c>
      <c r="K77" s="18" t="n">
        <v>1.3472359</v>
      </c>
      <c r="L77" s="20" t="n">
        <v>0.46048397</v>
      </c>
      <c r="M77" s="18" t="n">
        <v>1.05625872</v>
      </c>
      <c r="N77" s="20" t="n">
        <v>0.50632308</v>
      </c>
      <c r="O77" s="18" t="n">
        <v>0</v>
      </c>
      <c r="P77" s="20" t="n">
        <v>0</v>
      </c>
      <c r="Q77" s="18" t="n">
        <v>11.46429118</v>
      </c>
      <c r="R77" s="20" t="n">
        <v>1.38803566</v>
      </c>
    </row>
    <row r="78" spans="1:18">
      <c r="A78" s="15" t="s">
        <v>502</v>
      </c>
      <c r="B78" s="17" t="n">
        <v>14167</v>
      </c>
      <c r="C78" s="18">
        <f>(12487.0/B78*100)</f>
        <v/>
      </c>
      <c r="D78" s="19" t="n">
        <v>1680</v>
      </c>
      <c r="E78" s="18" t="n">
        <v>36.79077364</v>
      </c>
      <c r="F78" s="20" t="n">
        <v>1.35434115</v>
      </c>
      <c r="G78" s="18" t="n">
        <v>59.50434482</v>
      </c>
      <c r="H78" s="20" t="n">
        <v>1.46039392</v>
      </c>
      <c r="I78" s="18" t="n">
        <v>0</v>
      </c>
      <c r="J78" s="20" t="n">
        <v>0</v>
      </c>
      <c r="K78" s="18" t="n">
        <v>0.51113556</v>
      </c>
      <c r="L78" s="20" t="n">
        <v>0.2006858</v>
      </c>
      <c r="M78" s="18" t="n">
        <v>0.25484601</v>
      </c>
      <c r="N78" s="20" t="n">
        <v>0.18648131</v>
      </c>
      <c r="O78" s="18" t="n">
        <v>0</v>
      </c>
      <c r="P78" s="20" t="n">
        <v>0</v>
      </c>
      <c r="Q78" s="18" t="n">
        <v>2.93889998</v>
      </c>
      <c r="R78" s="20" t="n">
        <v>0.51518869</v>
      </c>
    </row>
    <row r="79" spans="1:18">
      <c r="A79" s="15" t="s">
        <v>503</v>
      </c>
      <c r="B79" s="17" t="n">
        <v>6062</v>
      </c>
      <c r="C79" s="18">
        <f>(5327.0/B79*100)</f>
        <v/>
      </c>
      <c r="D79" s="19" t="n">
        <v>735</v>
      </c>
      <c r="E79" s="18" t="n">
        <v>31.83322728</v>
      </c>
      <c r="F79" s="20" t="n">
        <v>1.86839726</v>
      </c>
      <c r="G79" s="18" t="n">
        <v>62.25646468</v>
      </c>
      <c r="H79" s="20" t="n">
        <v>1.94746361</v>
      </c>
      <c r="I79" s="18" t="n">
        <v>0</v>
      </c>
      <c r="J79" s="20" t="n">
        <v>0</v>
      </c>
      <c r="K79" s="18" t="n">
        <v>0.2596669</v>
      </c>
      <c r="L79" s="20" t="n">
        <v>0.18491414</v>
      </c>
      <c r="M79" s="18" t="n">
        <v>0.12304844</v>
      </c>
      <c r="N79" s="20" t="n">
        <v>0.12361384</v>
      </c>
      <c r="O79" s="18" t="n">
        <v>0</v>
      </c>
      <c r="P79" s="20" t="n">
        <v>0</v>
      </c>
      <c r="Q79" s="18" t="n">
        <v>5.5275927</v>
      </c>
      <c r="R79" s="20" t="n">
        <v>0.93386079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(28329.0/B82*100)</f>
        <v/>
      </c>
      <c r="D82" s="19" t="n">
        <v>4001</v>
      </c>
      <c r="E82" s="18" t="n">
        <v>22.83093676</v>
      </c>
      <c r="F82" s="20" t="n">
        <v>1.04793082</v>
      </c>
      <c r="G82" s="18" t="n">
        <v>74.85987614</v>
      </c>
      <c r="H82" s="20" t="n">
        <v>1.11330566</v>
      </c>
      <c r="I82" s="18" t="n">
        <v>0</v>
      </c>
      <c r="J82" s="20" t="n">
        <v>0</v>
      </c>
      <c r="K82" s="18" t="n">
        <v>0.0467669</v>
      </c>
      <c r="L82" s="20" t="n">
        <v>0.03023444</v>
      </c>
      <c r="M82" s="18" t="n">
        <v>0.10556201</v>
      </c>
      <c r="N82" s="20" t="n">
        <v>0.04071878</v>
      </c>
      <c r="O82" s="18" t="n">
        <v>0</v>
      </c>
      <c r="P82" s="20" t="n">
        <v>0</v>
      </c>
      <c r="Q82" s="18" t="n">
        <v>2.1568582</v>
      </c>
      <c r="R82" s="20" t="n">
        <v>0.35598506</v>
      </c>
    </row>
    <row r="83" spans="1:18">
      <c r="A83" s="15" t="s">
        <v>507</v>
      </c>
      <c r="B83" s="17" t="n">
        <v>1652</v>
      </c>
      <c r="C83" s="18">
        <f>(1462.0/B83*100)</f>
        <v/>
      </c>
      <c r="D83" s="19" t="n">
        <v>190</v>
      </c>
      <c r="E83" s="18" t="n">
        <v>33.18372777</v>
      </c>
      <c r="F83" s="20" t="n">
        <v>3.36139046</v>
      </c>
      <c r="G83" s="18" t="n">
        <v>66.38519263000001</v>
      </c>
      <c r="H83" s="20" t="n">
        <v>3.44773396</v>
      </c>
      <c r="I83" s="18" t="n">
        <v>0</v>
      </c>
      <c r="J83" s="20" t="n">
        <v>0</v>
      </c>
      <c r="K83" s="18" t="n">
        <v>0</v>
      </c>
      <c r="L83" s="20" t="n">
        <v>0</v>
      </c>
      <c r="M83" s="18" t="n">
        <v>0</v>
      </c>
      <c r="N83" s="20" t="n">
        <v>0</v>
      </c>
      <c r="O83" s="18" t="n">
        <v>0</v>
      </c>
      <c r="P83" s="20" t="n">
        <v>0</v>
      </c>
      <c r="Q83" s="18" t="n">
        <v>0.43107959</v>
      </c>
      <c r="R83" s="20" t="n">
        <v>0.40497009</v>
      </c>
    </row>
    <row r="84" spans="1:18">
      <c r="A84" s="23" t="s">
        <v>508</v>
      </c>
      <c r="B84" s="24" t="n">
        <v>1887</v>
      </c>
      <c r="C84" s="25">
        <f>(1662.0/B84*100)</f>
        <v/>
      </c>
      <c r="D84" s="19" t="n">
        <v>225</v>
      </c>
      <c r="E84" s="18" t="n">
        <v>38.10181875</v>
      </c>
      <c r="F84" s="20" t="n">
        <v>2.67076111</v>
      </c>
      <c r="G84" s="18" t="n">
        <v>61.53924589</v>
      </c>
      <c r="H84" s="20" t="n">
        <v>2.62762838</v>
      </c>
      <c r="I84" s="18" t="n">
        <v>0</v>
      </c>
      <c r="J84" s="20" t="n">
        <v>0</v>
      </c>
      <c r="K84" s="18" t="n">
        <v>0</v>
      </c>
      <c r="L84" s="20" t="n">
        <v>0</v>
      </c>
      <c r="M84" s="18" t="n">
        <v>0</v>
      </c>
      <c r="N84" s="20" t="n">
        <v>0</v>
      </c>
      <c r="O84" s="18" t="n">
        <v>0</v>
      </c>
      <c r="P84" s="20" t="n">
        <v>0</v>
      </c>
      <c r="Q84" s="18" t="n">
        <v>0.35893536</v>
      </c>
      <c r="R84" s="20" t="n">
        <v>0.32943531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552</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(12755.0/B7*100)</f>
        <v/>
      </c>
      <c r="D7" s="19" t="n">
        <v>1775</v>
      </c>
      <c r="E7" s="18" t="n">
        <v>16.89967229</v>
      </c>
      <c r="F7" s="20" t="n">
        <v>1.02592998</v>
      </c>
      <c r="G7" s="18" t="n">
        <v>2.48843231</v>
      </c>
      <c r="H7" s="20" t="n">
        <v>0.46486019</v>
      </c>
      <c r="I7" s="18" t="n">
        <v>71.87131805</v>
      </c>
      <c r="J7" s="20" t="n">
        <v>1.31632457</v>
      </c>
      <c r="K7" s="18" t="n">
        <v>0</v>
      </c>
      <c r="L7" s="20" t="n">
        <v>0</v>
      </c>
      <c r="M7" s="18" t="n">
        <v>0.33150056</v>
      </c>
      <c r="N7" s="20" t="n">
        <v>0.16102768</v>
      </c>
      <c r="O7" s="18" t="n">
        <v>0.12589255</v>
      </c>
      <c r="P7" s="20" t="n">
        <v>0.10247147</v>
      </c>
      <c r="Q7" s="18" t="n">
        <v>0</v>
      </c>
      <c r="R7" s="20" t="n">
        <v>0</v>
      </c>
      <c r="S7" s="18" t="n">
        <v>8.283184240000001</v>
      </c>
      <c r="T7" s="20" t="n">
        <v>0.74392414</v>
      </c>
    </row>
    <row r="8" spans="1:20">
      <c r="A8" s="15" t="s">
        <v>430</v>
      </c>
      <c r="B8" s="17" t="n">
        <v>7007</v>
      </c>
      <c r="C8" s="18">
        <f>(6151.0/B8*100)</f>
        <v/>
      </c>
      <c r="D8" s="19" t="n">
        <v>856</v>
      </c>
      <c r="E8" s="18" t="n">
        <v>20.51494524</v>
      </c>
      <c r="F8" s="20" t="n">
        <v>1.51463669</v>
      </c>
      <c r="G8" s="18" t="n">
        <v>4.37303727</v>
      </c>
      <c r="H8" s="20" t="n">
        <v>0.67998305</v>
      </c>
      <c r="I8" s="18" t="n">
        <v>66.3811183</v>
      </c>
      <c r="J8" s="20" t="n">
        <v>1.92318576</v>
      </c>
      <c r="K8" s="18" t="n">
        <v>0</v>
      </c>
      <c r="L8" s="20" t="n">
        <v>0</v>
      </c>
      <c r="M8" s="18" t="n">
        <v>0</v>
      </c>
      <c r="N8" s="20" t="n">
        <v>0</v>
      </c>
      <c r="O8" s="18" t="n">
        <v>0</v>
      </c>
      <c r="P8" s="20" t="n">
        <v>0</v>
      </c>
      <c r="Q8" s="18" t="n">
        <v>0</v>
      </c>
      <c r="R8" s="20" t="n">
        <v>0</v>
      </c>
      <c r="S8" s="18" t="n">
        <v>8.7308992</v>
      </c>
      <c r="T8" s="20" t="n">
        <v>1.13574623</v>
      </c>
    </row>
    <row r="9" spans="1:20">
      <c r="A9" s="15" t="s">
        <v>431</v>
      </c>
      <c r="B9" s="17" t="n">
        <v>9651</v>
      </c>
      <c r="C9" s="18">
        <f>(8503.0/B9*100)</f>
        <v/>
      </c>
      <c r="D9" s="19" t="n">
        <v>1148</v>
      </c>
      <c r="E9" s="18" t="n">
        <v>16.20548345</v>
      </c>
      <c r="F9" s="20" t="n">
        <v>1.30607913</v>
      </c>
      <c r="G9" s="18" t="n">
        <v>2.72333001</v>
      </c>
      <c r="H9" s="20" t="n">
        <v>0.45299307</v>
      </c>
      <c r="I9" s="18" t="n">
        <v>71.84863525</v>
      </c>
      <c r="J9" s="20" t="n">
        <v>1.43187963</v>
      </c>
      <c r="K9" s="18" t="n">
        <v>0</v>
      </c>
      <c r="L9" s="20" t="n">
        <v>0</v>
      </c>
      <c r="M9" s="18" t="n">
        <v>0</v>
      </c>
      <c r="N9" s="20" t="n">
        <v>0</v>
      </c>
      <c r="O9" s="18" t="n">
        <v>0.06284012999999999</v>
      </c>
      <c r="P9" s="20" t="n">
        <v>0.06420536</v>
      </c>
      <c r="Q9" s="18" t="n">
        <v>0</v>
      </c>
      <c r="R9" s="20" t="n">
        <v>0</v>
      </c>
      <c r="S9" s="18" t="n">
        <v>9.159711160000001</v>
      </c>
      <c r="T9" s="20" t="n">
        <v>0.98595794</v>
      </c>
    </row>
    <row r="10" spans="1:20">
      <c r="A10" s="15" t="s">
        <v>432</v>
      </c>
      <c r="B10" s="17" t="n">
        <v>20058</v>
      </c>
      <c r="C10" s="18">
        <f>(17601.0/B10*100)</f>
        <v/>
      </c>
      <c r="D10" s="19" t="n">
        <v>2457</v>
      </c>
      <c r="E10" s="18" t="n">
        <v>15.56452459</v>
      </c>
      <c r="F10" s="20" t="n">
        <v>1.02751925</v>
      </c>
      <c r="G10" s="18" t="n">
        <v>3.36964422</v>
      </c>
      <c r="H10" s="20" t="n">
        <v>0.47123614</v>
      </c>
      <c r="I10" s="18" t="n">
        <v>75.61408024000001</v>
      </c>
      <c r="J10" s="20" t="n">
        <v>1.20094039</v>
      </c>
      <c r="K10" s="18" t="n">
        <v>0</v>
      </c>
      <c r="L10" s="20" t="n">
        <v>0</v>
      </c>
      <c r="M10" s="18" t="n">
        <v>0.09873079999999999</v>
      </c>
      <c r="N10" s="20" t="n">
        <v>0.09115877999999999</v>
      </c>
      <c r="O10" s="18" t="n">
        <v>0.00961974</v>
      </c>
      <c r="P10" s="20" t="n">
        <v>0.00969719</v>
      </c>
      <c r="Q10" s="18" t="n">
        <v>0</v>
      </c>
      <c r="R10" s="20" t="n">
        <v>0</v>
      </c>
      <c r="S10" s="18" t="n">
        <v>5.3434004</v>
      </c>
      <c r="T10" s="20" t="n">
        <v>0.61542712</v>
      </c>
    </row>
    <row r="11" spans="1:20">
      <c r="A11" s="15" t="s">
        <v>433</v>
      </c>
      <c r="B11" s="17" t="n">
        <v>7053</v>
      </c>
      <c r="C11" s="18">
        <f>(6206.0/B11*100)</f>
        <v/>
      </c>
      <c r="D11" s="19" t="n">
        <v>847</v>
      </c>
      <c r="E11" s="18" t="n">
        <v>26.00264783</v>
      </c>
      <c r="F11" s="20" t="n">
        <v>2.21453563</v>
      </c>
      <c r="G11" s="18" t="n">
        <v>1.19925205</v>
      </c>
      <c r="H11" s="20" t="n">
        <v>0.44612598</v>
      </c>
      <c r="I11" s="18" t="n">
        <v>47.71721435</v>
      </c>
      <c r="J11" s="20" t="n">
        <v>2.0926557</v>
      </c>
      <c r="K11" s="18" t="n">
        <v>0</v>
      </c>
      <c r="L11" s="20" t="n">
        <v>0</v>
      </c>
      <c r="M11" s="18" t="n">
        <v>0.1571928</v>
      </c>
      <c r="N11" s="20" t="n">
        <v>0.15752511</v>
      </c>
      <c r="O11" s="18" t="n">
        <v>0.11435572</v>
      </c>
      <c r="P11" s="20" t="n">
        <v>0.10387916</v>
      </c>
      <c r="Q11" s="18" t="n">
        <v>0</v>
      </c>
      <c r="R11" s="20" t="n">
        <v>0</v>
      </c>
      <c r="S11" s="18" t="n">
        <v>24.80933725</v>
      </c>
      <c r="T11" s="20" t="n">
        <v>1.52000931</v>
      </c>
    </row>
    <row r="12" spans="1:20">
      <c r="A12" s="15" t="s">
        <v>434</v>
      </c>
      <c r="B12" s="17" t="n">
        <v>6894</v>
      </c>
      <c r="C12" s="18">
        <f>(6048.0/B12*100)</f>
        <v/>
      </c>
      <c r="D12" s="19" t="n">
        <v>846</v>
      </c>
      <c r="E12" s="18" t="n">
        <v>19.01737641</v>
      </c>
      <c r="F12" s="20" t="n">
        <v>1.33448524</v>
      </c>
      <c r="G12" s="18" t="n">
        <v>2.19204161</v>
      </c>
      <c r="H12" s="20" t="n">
        <v>0.51644821</v>
      </c>
      <c r="I12" s="18" t="n">
        <v>59.57293895</v>
      </c>
      <c r="J12" s="20" t="n">
        <v>1.76488207</v>
      </c>
      <c r="K12" s="18" t="n">
        <v>0</v>
      </c>
      <c r="L12" s="20" t="n">
        <v>0</v>
      </c>
      <c r="M12" s="18" t="n">
        <v>0</v>
      </c>
      <c r="N12" s="20" t="n">
        <v>0</v>
      </c>
      <c r="O12" s="18" t="n">
        <v>0</v>
      </c>
      <c r="P12" s="20" t="n">
        <v>0</v>
      </c>
      <c r="Q12" s="18" t="n">
        <v>0</v>
      </c>
      <c r="R12" s="20" t="n">
        <v>0</v>
      </c>
      <c r="S12" s="18" t="n">
        <v>19.21764303</v>
      </c>
      <c r="T12" s="20" t="n">
        <v>1.52151535</v>
      </c>
    </row>
    <row r="13" spans="1:20">
      <c r="A13" s="15" t="s">
        <v>435</v>
      </c>
      <c r="B13" s="17" t="n">
        <v>7161</v>
      </c>
      <c r="C13" s="18">
        <f>(6311.0/B13*100)</f>
        <v/>
      </c>
      <c r="D13" s="19" t="n">
        <v>850</v>
      </c>
      <c r="E13" s="18" t="n">
        <v>17.35799397</v>
      </c>
      <c r="F13" s="20" t="n">
        <v>1.47197011</v>
      </c>
      <c r="G13" s="18" t="n">
        <v>2.49108197</v>
      </c>
      <c r="H13" s="20" t="n">
        <v>0.52758446</v>
      </c>
      <c r="I13" s="18" t="n">
        <v>72.69655484</v>
      </c>
      <c r="J13" s="20" t="n">
        <v>1.89757581</v>
      </c>
      <c r="K13" s="18" t="n">
        <v>0</v>
      </c>
      <c r="L13" s="20" t="n">
        <v>0</v>
      </c>
      <c r="M13" s="18" t="n">
        <v>0.12927759</v>
      </c>
      <c r="N13" s="20" t="n">
        <v>0.13326479</v>
      </c>
      <c r="O13" s="18" t="n">
        <v>0.03564211</v>
      </c>
      <c r="P13" s="20" t="n">
        <v>0.03584571</v>
      </c>
      <c r="Q13" s="18" t="n">
        <v>0</v>
      </c>
      <c r="R13" s="20" t="n">
        <v>0</v>
      </c>
      <c r="S13" s="18" t="n">
        <v>7.28944952</v>
      </c>
      <c r="T13" s="20" t="n">
        <v>0.98373045</v>
      </c>
    </row>
    <row r="14" spans="1:20">
      <c r="A14" s="15" t="s">
        <v>436</v>
      </c>
      <c r="B14" s="17" t="n">
        <v>5587</v>
      </c>
      <c r="C14" s="18">
        <f>(4889.0/B14*100)</f>
        <v/>
      </c>
      <c r="D14" s="19" t="n">
        <v>698</v>
      </c>
      <c r="E14" s="18" t="n">
        <v>23.14592251</v>
      </c>
      <c r="F14" s="20" t="n">
        <v>1.69616433</v>
      </c>
      <c r="G14" s="18" t="n">
        <v>2.73738143</v>
      </c>
      <c r="H14" s="20" t="n">
        <v>0.82580662</v>
      </c>
      <c r="I14" s="18" t="n">
        <v>68.62388145</v>
      </c>
      <c r="J14" s="20" t="n">
        <v>1.74684086</v>
      </c>
      <c r="K14" s="18" t="n">
        <v>0</v>
      </c>
      <c r="L14" s="20" t="n">
        <v>0</v>
      </c>
      <c r="M14" s="18" t="n">
        <v>0.1318801</v>
      </c>
      <c r="N14" s="20" t="n">
        <v>0.13705767</v>
      </c>
      <c r="O14" s="18" t="n">
        <v>0</v>
      </c>
      <c r="P14" s="20" t="n">
        <v>0</v>
      </c>
      <c r="Q14" s="18" t="n">
        <v>0</v>
      </c>
      <c r="R14" s="20" t="n">
        <v>0</v>
      </c>
      <c r="S14" s="18" t="n">
        <v>5.36093451</v>
      </c>
      <c r="T14" s="20" t="n">
        <v>0.91602572</v>
      </c>
    </row>
    <row r="15" spans="1:20">
      <c r="A15" s="15" t="s">
        <v>437</v>
      </c>
      <c r="B15" s="17" t="n">
        <v>5882</v>
      </c>
      <c r="C15" s="18">
        <f>(5155.0/B15*100)</f>
        <v/>
      </c>
      <c r="D15" s="19" t="n">
        <v>727</v>
      </c>
      <c r="E15" s="18" t="n">
        <v>16.95017495</v>
      </c>
      <c r="F15" s="20" t="n">
        <v>1.49723748</v>
      </c>
      <c r="G15" s="18" t="n">
        <v>2.11065286</v>
      </c>
      <c r="H15" s="20" t="n">
        <v>0.5008423400000001</v>
      </c>
      <c r="I15" s="18" t="n">
        <v>73.88687483</v>
      </c>
      <c r="J15" s="20" t="n">
        <v>1.94459836</v>
      </c>
      <c r="K15" s="18" t="n">
        <v>0</v>
      </c>
      <c r="L15" s="20" t="n">
        <v>0</v>
      </c>
      <c r="M15" s="18" t="n">
        <v>0</v>
      </c>
      <c r="N15" s="20" t="n">
        <v>0</v>
      </c>
      <c r="O15" s="18" t="n">
        <v>0</v>
      </c>
      <c r="P15" s="20" t="n">
        <v>0</v>
      </c>
      <c r="Q15" s="18" t="n">
        <v>0</v>
      </c>
      <c r="R15" s="20" t="n">
        <v>0</v>
      </c>
      <c r="S15" s="18" t="n">
        <v>7.05229737</v>
      </c>
      <c r="T15" s="20" t="n">
        <v>1.02788887</v>
      </c>
    </row>
    <row r="16" spans="1:20">
      <c r="A16" s="15" t="s">
        <v>438</v>
      </c>
      <c r="B16" s="17" t="n">
        <v>6108</v>
      </c>
      <c r="C16" s="18">
        <f>(5366.0/B16*100)</f>
        <v/>
      </c>
      <c r="D16" s="19" t="n">
        <v>742</v>
      </c>
      <c r="E16" s="18" t="n">
        <v>17.9364167</v>
      </c>
      <c r="F16" s="20" t="n">
        <v>1.40177785</v>
      </c>
      <c r="G16" s="18" t="n">
        <v>1.00192847</v>
      </c>
      <c r="H16" s="20" t="n">
        <v>0.35275356</v>
      </c>
      <c r="I16" s="18" t="n">
        <v>68.10098901000001</v>
      </c>
      <c r="J16" s="20" t="n">
        <v>1.52133064</v>
      </c>
      <c r="K16" s="18" t="n">
        <v>0</v>
      </c>
      <c r="L16" s="20" t="n">
        <v>0</v>
      </c>
      <c r="M16" s="18" t="n">
        <v>0.27746944</v>
      </c>
      <c r="N16" s="20" t="n">
        <v>0.24199696</v>
      </c>
      <c r="O16" s="18" t="n">
        <v>0</v>
      </c>
      <c r="P16" s="20" t="n">
        <v>0</v>
      </c>
      <c r="Q16" s="18" t="n">
        <v>0</v>
      </c>
      <c r="R16" s="20" t="n">
        <v>0</v>
      </c>
      <c r="S16" s="18" t="n">
        <v>12.68319638</v>
      </c>
      <c r="T16" s="20" t="n">
        <v>1.02729343</v>
      </c>
    </row>
    <row r="17" spans="1:20">
      <c r="A17" s="15" t="s">
        <v>439</v>
      </c>
      <c r="B17" s="17" t="n">
        <v>6504</v>
      </c>
      <c r="C17" s="18">
        <f>(5710.0/B17*100)</f>
        <v/>
      </c>
      <c r="D17" s="19" t="n">
        <v>794</v>
      </c>
      <c r="E17" s="18" t="n">
        <v>16.14450448</v>
      </c>
      <c r="F17" s="20" t="n">
        <v>1.30579818</v>
      </c>
      <c r="G17" s="18" t="n">
        <v>2.43838424</v>
      </c>
      <c r="H17" s="20" t="n">
        <v>0.67347802</v>
      </c>
      <c r="I17" s="18" t="n">
        <v>70.99837372</v>
      </c>
      <c r="J17" s="20" t="n">
        <v>1.57394354</v>
      </c>
      <c r="K17" s="18" t="n">
        <v>0</v>
      </c>
      <c r="L17" s="20" t="n">
        <v>0</v>
      </c>
      <c r="M17" s="18" t="n">
        <v>0.34185717</v>
      </c>
      <c r="N17" s="20" t="n">
        <v>0.19917644</v>
      </c>
      <c r="O17" s="18" t="n">
        <v>0</v>
      </c>
      <c r="P17" s="20" t="n">
        <v>0</v>
      </c>
      <c r="Q17" s="18" t="n">
        <v>0</v>
      </c>
      <c r="R17" s="20" t="n">
        <v>0</v>
      </c>
      <c r="S17" s="18" t="n">
        <v>10.07688038</v>
      </c>
      <c r="T17" s="20" t="n">
        <v>1.0641457</v>
      </c>
    </row>
    <row r="18" spans="1:20">
      <c r="A18" s="15" t="s">
        <v>440</v>
      </c>
      <c r="B18" s="17" t="n">
        <v>5532</v>
      </c>
      <c r="C18" s="18">
        <f>(4847.0/B18*100)</f>
        <v/>
      </c>
      <c r="D18" s="19" t="n">
        <v>685</v>
      </c>
      <c r="E18" s="18" t="n">
        <v>27.14207914</v>
      </c>
      <c r="F18" s="20" t="n">
        <v>2.2143117</v>
      </c>
      <c r="G18" s="18" t="n">
        <v>3.68149392</v>
      </c>
      <c r="H18" s="20" t="n">
        <v>0.69810662</v>
      </c>
      <c r="I18" s="18" t="n">
        <v>60.67245535</v>
      </c>
      <c r="J18" s="20" t="n">
        <v>2.16877051</v>
      </c>
      <c r="K18" s="18" t="n">
        <v>0</v>
      </c>
      <c r="L18" s="20" t="n">
        <v>0</v>
      </c>
      <c r="M18" s="18" t="n">
        <v>0.1424891</v>
      </c>
      <c r="N18" s="20" t="n">
        <v>0.13565763</v>
      </c>
      <c r="O18" s="18" t="n">
        <v>0</v>
      </c>
      <c r="P18" s="20" t="n">
        <v>0</v>
      </c>
      <c r="Q18" s="18" t="n">
        <v>0</v>
      </c>
      <c r="R18" s="20" t="n">
        <v>0</v>
      </c>
      <c r="S18" s="18" t="n">
        <v>8.361482499999999</v>
      </c>
      <c r="T18" s="20" t="n">
        <v>1.06990778</v>
      </c>
    </row>
    <row r="19" spans="1:20">
      <c r="A19" s="15" t="s">
        <v>441</v>
      </c>
      <c r="B19" s="17" t="n">
        <v>5658</v>
      </c>
      <c r="C19" s="18">
        <f>(4946.0/B19*100)</f>
        <v/>
      </c>
      <c r="D19" s="19" t="n">
        <v>712</v>
      </c>
      <c r="E19" s="18" t="n">
        <v>30.01212132</v>
      </c>
      <c r="F19" s="20" t="n">
        <v>1.65021992</v>
      </c>
      <c r="G19" s="18" t="n">
        <v>0.98048366</v>
      </c>
      <c r="H19" s="20" t="n">
        <v>0.30716275</v>
      </c>
      <c r="I19" s="18" t="n">
        <v>54.99309245</v>
      </c>
      <c r="J19" s="20" t="n">
        <v>1.73818594</v>
      </c>
      <c r="K19" s="18" t="n">
        <v>0</v>
      </c>
      <c r="L19" s="20" t="n">
        <v>0</v>
      </c>
      <c r="M19" s="18" t="n">
        <v>0</v>
      </c>
      <c r="N19" s="20" t="n">
        <v>0</v>
      </c>
      <c r="O19" s="18" t="n">
        <v>0</v>
      </c>
      <c r="P19" s="20" t="n">
        <v>0</v>
      </c>
      <c r="Q19" s="18" t="n">
        <v>0</v>
      </c>
      <c r="R19" s="20" t="n">
        <v>0</v>
      </c>
      <c r="S19" s="18" t="n">
        <v>14.01430258</v>
      </c>
      <c r="T19" s="20" t="n">
        <v>1.27793395</v>
      </c>
    </row>
    <row r="20" spans="1:20">
      <c r="A20" s="15" t="s">
        <v>442</v>
      </c>
      <c r="B20" s="17" t="n">
        <v>3371</v>
      </c>
      <c r="C20" s="18">
        <f>(2960.0/B20*100)</f>
        <v/>
      </c>
      <c r="D20" s="19" t="n">
        <v>411</v>
      </c>
      <c r="E20" s="18" t="n">
        <v>24.2117043</v>
      </c>
      <c r="F20" s="20" t="n">
        <v>2.01741341</v>
      </c>
      <c r="G20" s="18" t="n">
        <v>2.0131955</v>
      </c>
      <c r="H20" s="20" t="n">
        <v>0.76169907</v>
      </c>
      <c r="I20" s="18" t="n">
        <v>59.47758524</v>
      </c>
      <c r="J20" s="20" t="n">
        <v>2.4946062</v>
      </c>
      <c r="K20" s="18" t="n">
        <v>0</v>
      </c>
      <c r="L20" s="20" t="n">
        <v>0</v>
      </c>
      <c r="M20" s="18" t="n">
        <v>0.44692479</v>
      </c>
      <c r="N20" s="20" t="n">
        <v>0.31560707</v>
      </c>
      <c r="O20" s="18" t="n">
        <v>0.37399793</v>
      </c>
      <c r="P20" s="20" t="n">
        <v>0.35886727</v>
      </c>
      <c r="Q20" s="18" t="n">
        <v>0</v>
      </c>
      <c r="R20" s="20" t="n">
        <v>0</v>
      </c>
      <c r="S20" s="18" t="n">
        <v>13.47659224</v>
      </c>
      <c r="T20" s="20" t="n">
        <v>1.9449031</v>
      </c>
    </row>
    <row r="21" spans="1:20">
      <c r="A21" s="15" t="s">
        <v>443</v>
      </c>
      <c r="B21" s="17" t="n">
        <v>5741</v>
      </c>
      <c r="C21" s="18">
        <f>(4790.0/B21*100)</f>
        <v/>
      </c>
      <c r="D21" s="19" t="n">
        <v>951</v>
      </c>
      <c r="E21" s="18" t="n">
        <v>13.96908436</v>
      </c>
      <c r="F21" s="20" t="n">
        <v>1.26119497</v>
      </c>
      <c r="G21" s="18" t="n">
        <v>2.56831727</v>
      </c>
      <c r="H21" s="20" t="n">
        <v>0.51882245</v>
      </c>
      <c r="I21" s="18" t="n">
        <v>76.75304491</v>
      </c>
      <c r="J21" s="20" t="n">
        <v>1.73193874</v>
      </c>
      <c r="K21" s="18" t="n">
        <v>0</v>
      </c>
      <c r="L21" s="20" t="n">
        <v>0</v>
      </c>
      <c r="M21" s="18" t="n">
        <v>0.08779974</v>
      </c>
      <c r="N21" s="20" t="n">
        <v>0.06205631</v>
      </c>
      <c r="O21" s="18" t="n">
        <v>0</v>
      </c>
      <c r="P21" s="20" t="n">
        <v>0</v>
      </c>
      <c r="Q21" s="18" t="n">
        <v>0</v>
      </c>
      <c r="R21" s="20" t="n">
        <v>0</v>
      </c>
      <c r="S21" s="18" t="n">
        <v>6.62175372</v>
      </c>
      <c r="T21" s="20" t="n">
        <v>0.93438023</v>
      </c>
    </row>
    <row r="22" spans="1:20">
      <c r="A22" s="15" t="s">
        <v>444</v>
      </c>
      <c r="B22" s="17" t="n">
        <v>6598</v>
      </c>
      <c r="C22" s="18">
        <f>(5781.0/B22*100)</f>
        <v/>
      </c>
      <c r="D22" s="19" t="n">
        <v>817</v>
      </c>
      <c r="E22" s="18" t="n">
        <v>26.32367433</v>
      </c>
      <c r="F22" s="20" t="n">
        <v>1.57284068</v>
      </c>
      <c r="G22" s="18" t="n">
        <v>5.70271848</v>
      </c>
      <c r="H22" s="20" t="n">
        <v>1.13335138</v>
      </c>
      <c r="I22" s="18" t="n">
        <v>56.99304013</v>
      </c>
      <c r="J22" s="20" t="n">
        <v>1.96398877</v>
      </c>
      <c r="K22" s="18" t="n">
        <v>0</v>
      </c>
      <c r="L22" s="20" t="n">
        <v>0</v>
      </c>
      <c r="M22" s="18" t="n">
        <v>0.2142792</v>
      </c>
      <c r="N22" s="20" t="n">
        <v>0.1510845</v>
      </c>
      <c r="O22" s="18" t="n">
        <v>0</v>
      </c>
      <c r="P22" s="20" t="n">
        <v>0</v>
      </c>
      <c r="Q22" s="18" t="n">
        <v>0</v>
      </c>
      <c r="R22" s="20" t="n">
        <v>0</v>
      </c>
      <c r="S22" s="18" t="n">
        <v>10.76628786</v>
      </c>
      <c r="T22" s="20" t="n">
        <v>1.37979618</v>
      </c>
    </row>
    <row r="23" spans="1:20">
      <c r="A23" s="15" t="s">
        <v>445</v>
      </c>
      <c r="B23" s="17" t="n">
        <v>11583</v>
      </c>
      <c r="C23" s="18">
        <f>(10139.0/B23*100)</f>
        <v/>
      </c>
      <c r="D23" s="19" t="n">
        <v>1444</v>
      </c>
      <c r="E23" s="18" t="n">
        <v>22.70992237</v>
      </c>
      <c r="F23" s="20" t="n">
        <v>1.79314367</v>
      </c>
      <c r="G23" s="18" t="n">
        <v>2.37118111</v>
      </c>
      <c r="H23" s="20" t="n">
        <v>0.61121984</v>
      </c>
      <c r="I23" s="18" t="n">
        <v>59.37242518</v>
      </c>
      <c r="J23" s="20" t="n">
        <v>2.12830494</v>
      </c>
      <c r="K23" s="18" t="n">
        <v>0</v>
      </c>
      <c r="L23" s="20" t="n">
        <v>0</v>
      </c>
      <c r="M23" s="18" t="n">
        <v>0.1746987</v>
      </c>
      <c r="N23" s="20" t="n">
        <v>0.19712153</v>
      </c>
      <c r="O23" s="18" t="n">
        <v>0.53038792</v>
      </c>
      <c r="P23" s="20" t="n">
        <v>0.20531647</v>
      </c>
      <c r="Q23" s="18" t="n">
        <v>0</v>
      </c>
      <c r="R23" s="20" t="n">
        <v>0</v>
      </c>
      <c r="S23" s="18" t="n">
        <v>14.84138472</v>
      </c>
      <c r="T23" s="20" t="n">
        <v>1.52246288</v>
      </c>
    </row>
    <row r="24" spans="1:20">
      <c r="A24" s="15" t="s">
        <v>446</v>
      </c>
      <c r="B24" s="17" t="n">
        <v>6647</v>
      </c>
      <c r="C24" s="18">
        <f>(5834.0/B24*100)</f>
        <v/>
      </c>
      <c r="D24" s="19" t="n">
        <v>813</v>
      </c>
      <c r="E24" s="18" t="n">
        <v>20.27771215</v>
      </c>
      <c r="F24" s="20" t="n">
        <v>1.47248021</v>
      </c>
      <c r="G24" s="18" t="n">
        <v>0.4860178</v>
      </c>
      <c r="H24" s="20" t="n">
        <v>0.2479739</v>
      </c>
      <c r="I24" s="18" t="n">
        <v>71.64819009999999</v>
      </c>
      <c r="J24" s="20" t="n">
        <v>1.67585046</v>
      </c>
      <c r="K24" s="18" t="n">
        <v>0</v>
      </c>
      <c r="L24" s="20" t="n">
        <v>0</v>
      </c>
      <c r="M24" s="18" t="n">
        <v>0</v>
      </c>
      <c r="N24" s="20" t="n">
        <v>0</v>
      </c>
      <c r="O24" s="18" t="n">
        <v>0</v>
      </c>
      <c r="P24" s="20" t="n">
        <v>0</v>
      </c>
      <c r="Q24" s="18" t="n">
        <v>0</v>
      </c>
      <c r="R24" s="20" t="n">
        <v>0</v>
      </c>
      <c r="S24" s="18" t="n">
        <v>7.58807995</v>
      </c>
      <c r="T24" s="20" t="n">
        <v>0.95316216</v>
      </c>
    </row>
    <row r="25" spans="1:20">
      <c r="A25" s="15" t="s">
        <v>447</v>
      </c>
      <c r="B25" s="17" t="n">
        <v>5581</v>
      </c>
      <c r="C25" s="18">
        <f>(4907.0/B25*100)</f>
        <v/>
      </c>
      <c r="D25" s="19" t="n">
        <v>674</v>
      </c>
      <c r="E25" s="18" t="n">
        <v>15.49013241</v>
      </c>
      <c r="F25" s="20" t="n">
        <v>1.24882434</v>
      </c>
      <c r="G25" s="18" t="n">
        <v>4.10176618</v>
      </c>
      <c r="H25" s="20" t="n">
        <v>0.71785402</v>
      </c>
      <c r="I25" s="18" t="n">
        <v>72.33234839000001</v>
      </c>
      <c r="J25" s="20" t="n">
        <v>1.71354981</v>
      </c>
      <c r="K25" s="18" t="n">
        <v>0</v>
      </c>
      <c r="L25" s="20" t="n">
        <v>0</v>
      </c>
      <c r="M25" s="18" t="n">
        <v>0</v>
      </c>
      <c r="N25" s="20" t="n">
        <v>0</v>
      </c>
      <c r="O25" s="18" t="n">
        <v>0</v>
      </c>
      <c r="P25" s="20" t="n">
        <v>0</v>
      </c>
      <c r="Q25" s="18" t="n">
        <v>0</v>
      </c>
      <c r="R25" s="20" t="n">
        <v>0</v>
      </c>
      <c r="S25" s="18" t="n">
        <v>8.075753020000001</v>
      </c>
      <c r="T25" s="20" t="n">
        <v>1.18204699</v>
      </c>
    </row>
    <row r="26" spans="1:20">
      <c r="A26" s="15" t="s">
        <v>448</v>
      </c>
      <c r="B26" s="17" t="n">
        <v>4869</v>
      </c>
      <c r="C26" s="18">
        <f>(4271.0/B26*100)</f>
        <v/>
      </c>
      <c r="D26" s="19" t="n">
        <v>598</v>
      </c>
      <c r="E26" s="18" t="n">
        <v>23.80615207</v>
      </c>
      <c r="F26" s="20" t="n">
        <v>2.12446634</v>
      </c>
      <c r="G26" s="18" t="n">
        <v>5.87277985</v>
      </c>
      <c r="H26" s="20" t="n">
        <v>0.99673853</v>
      </c>
      <c r="I26" s="18" t="n">
        <v>60.76785878</v>
      </c>
      <c r="J26" s="20" t="n">
        <v>2.26110872</v>
      </c>
      <c r="K26" s="18" t="n">
        <v>0</v>
      </c>
      <c r="L26" s="20" t="n">
        <v>0</v>
      </c>
      <c r="M26" s="18" t="n">
        <v>0</v>
      </c>
      <c r="N26" s="20" t="n">
        <v>0</v>
      </c>
      <c r="O26" s="18" t="n">
        <v>0.49323709</v>
      </c>
      <c r="P26" s="20" t="n">
        <v>0.37215845</v>
      </c>
      <c r="Q26" s="18" t="n">
        <v>0</v>
      </c>
      <c r="R26" s="20" t="n">
        <v>0</v>
      </c>
      <c r="S26" s="18" t="n">
        <v>9.05997221</v>
      </c>
      <c r="T26" s="20" t="n">
        <v>1.24221556</v>
      </c>
    </row>
    <row r="27" spans="1:20">
      <c r="A27" s="15" t="s">
        <v>449</v>
      </c>
      <c r="B27" s="17" t="n">
        <v>5299</v>
      </c>
      <c r="C27" s="18">
        <f>(4658.0/B27*100)</f>
        <v/>
      </c>
      <c r="D27" s="19" t="n">
        <v>641</v>
      </c>
      <c r="E27" s="18" t="n">
        <v>22.50479905</v>
      </c>
      <c r="F27" s="20" t="n">
        <v>1.74317135</v>
      </c>
      <c r="G27" s="18" t="n">
        <v>0.78227417</v>
      </c>
      <c r="H27" s="20" t="n">
        <v>0.34727121</v>
      </c>
      <c r="I27" s="18" t="n">
        <v>64.47636848</v>
      </c>
      <c r="J27" s="20" t="n">
        <v>2.02532278</v>
      </c>
      <c r="K27" s="18" t="n">
        <v>0</v>
      </c>
      <c r="L27" s="20" t="n">
        <v>0</v>
      </c>
      <c r="M27" s="18" t="n">
        <v>0</v>
      </c>
      <c r="N27" s="20" t="n">
        <v>0</v>
      </c>
      <c r="O27" s="18" t="n">
        <v>0</v>
      </c>
      <c r="P27" s="20" t="n">
        <v>0</v>
      </c>
      <c r="Q27" s="18" t="n">
        <v>0</v>
      </c>
      <c r="R27" s="20" t="n">
        <v>0</v>
      </c>
      <c r="S27" s="18" t="n">
        <v>12.2365583</v>
      </c>
      <c r="T27" s="20" t="n">
        <v>1.35929644</v>
      </c>
    </row>
    <row r="28" spans="1:20">
      <c r="A28" s="15" t="s">
        <v>450</v>
      </c>
      <c r="B28" s="17" t="n">
        <v>7568</v>
      </c>
      <c r="C28" s="18">
        <f>(6644.0/B28*100)</f>
        <v/>
      </c>
      <c r="D28" s="19" t="n">
        <v>924</v>
      </c>
      <c r="E28" s="18" t="n">
        <v>53.24417468</v>
      </c>
      <c r="F28" s="20" t="n">
        <v>1.86689643</v>
      </c>
      <c r="G28" s="18" t="n">
        <v>4.57779236</v>
      </c>
      <c r="H28" s="20" t="n">
        <v>0.8071679899999999</v>
      </c>
      <c r="I28" s="18" t="n">
        <v>34.62924441</v>
      </c>
      <c r="J28" s="20" t="n">
        <v>1.8931645</v>
      </c>
      <c r="K28" s="18" t="n">
        <v>0</v>
      </c>
      <c r="L28" s="20" t="n">
        <v>0</v>
      </c>
      <c r="M28" s="18" t="n">
        <v>0.50696498</v>
      </c>
      <c r="N28" s="20" t="n">
        <v>0.29995493</v>
      </c>
      <c r="O28" s="18" t="n">
        <v>0</v>
      </c>
      <c r="P28" s="20" t="n">
        <v>0</v>
      </c>
      <c r="Q28" s="18" t="n">
        <v>0</v>
      </c>
      <c r="R28" s="20" t="n">
        <v>0</v>
      </c>
      <c r="S28" s="18" t="n">
        <v>7.04182356</v>
      </c>
      <c r="T28" s="20" t="n">
        <v>0.98079796</v>
      </c>
    </row>
    <row r="29" spans="1:20">
      <c r="A29" s="15" t="s">
        <v>451</v>
      </c>
      <c r="B29" s="17" t="n">
        <v>5385</v>
      </c>
      <c r="C29" s="18">
        <f>(4739.0/B29*100)</f>
        <v/>
      </c>
      <c r="D29" s="19" t="n">
        <v>646</v>
      </c>
      <c r="E29" s="18" t="n">
        <v>19.97116703</v>
      </c>
      <c r="F29" s="20" t="n">
        <v>1.38998734</v>
      </c>
      <c r="G29" s="18" t="n">
        <v>10.36027852</v>
      </c>
      <c r="H29" s="20" t="n">
        <v>1.25315978</v>
      </c>
      <c r="I29" s="18" t="n">
        <v>65.35547677</v>
      </c>
      <c r="J29" s="20" t="n">
        <v>1.70388355</v>
      </c>
      <c r="K29" s="18" t="n">
        <v>0</v>
      </c>
      <c r="L29" s="20" t="n">
        <v>0</v>
      </c>
      <c r="M29" s="18" t="n">
        <v>0.09153656</v>
      </c>
      <c r="N29" s="20" t="n">
        <v>0.09149077999999999</v>
      </c>
      <c r="O29" s="18" t="n">
        <v>0</v>
      </c>
      <c r="P29" s="20" t="n">
        <v>0</v>
      </c>
      <c r="Q29" s="18" t="n">
        <v>0</v>
      </c>
      <c r="R29" s="20" t="n">
        <v>0</v>
      </c>
      <c r="S29" s="18" t="n">
        <v>4.22154112</v>
      </c>
      <c r="T29" s="20" t="n">
        <v>1.00371905</v>
      </c>
    </row>
    <row r="30" spans="1:20">
      <c r="A30" s="15" t="s">
        <v>452</v>
      </c>
      <c r="B30" s="17" t="n">
        <v>4520</v>
      </c>
      <c r="C30" s="18">
        <f>(3966.0/B30*100)</f>
        <v/>
      </c>
      <c r="D30" s="19" t="n">
        <v>554</v>
      </c>
      <c r="E30" s="18" t="n">
        <v>14.31664575</v>
      </c>
      <c r="F30" s="20" t="n">
        <v>1.50530489</v>
      </c>
      <c r="G30" s="18" t="n">
        <v>0.90607647</v>
      </c>
      <c r="H30" s="20" t="n">
        <v>0.43033976</v>
      </c>
      <c r="I30" s="18" t="n">
        <v>74.04592377</v>
      </c>
      <c r="J30" s="20" t="n">
        <v>1.77121126</v>
      </c>
      <c r="K30" s="18" t="n">
        <v>0</v>
      </c>
      <c r="L30" s="20" t="n">
        <v>0</v>
      </c>
      <c r="M30" s="18" t="n">
        <v>0.14374306</v>
      </c>
      <c r="N30" s="20" t="n">
        <v>0.14460084</v>
      </c>
      <c r="O30" s="18" t="n">
        <v>0.40669624</v>
      </c>
      <c r="P30" s="20" t="n">
        <v>0.29481187</v>
      </c>
      <c r="Q30" s="18" t="n">
        <v>0</v>
      </c>
      <c r="R30" s="20" t="n">
        <v>0</v>
      </c>
      <c r="S30" s="18" t="n">
        <v>10.18091471</v>
      </c>
      <c r="T30" s="20" t="n">
        <v>1.29602921</v>
      </c>
    </row>
    <row r="31" spans="1:20">
      <c r="A31" s="15" t="s">
        <v>453</v>
      </c>
      <c r="B31" s="17" t="n">
        <v>5456</v>
      </c>
      <c r="C31" s="18">
        <f>(4789.0/B31*100)</f>
        <v/>
      </c>
      <c r="D31" s="19" t="n">
        <v>667</v>
      </c>
      <c r="E31" s="18" t="n">
        <v>16.16708362</v>
      </c>
      <c r="F31" s="20" t="n">
        <v>1.70017316</v>
      </c>
      <c r="G31" s="18" t="n">
        <v>2.22112317</v>
      </c>
      <c r="H31" s="20" t="n">
        <v>0.60764159</v>
      </c>
      <c r="I31" s="18" t="n">
        <v>70.5268768</v>
      </c>
      <c r="J31" s="20" t="n">
        <v>2.13670127</v>
      </c>
      <c r="K31" s="18" t="n">
        <v>0</v>
      </c>
      <c r="L31" s="20" t="n">
        <v>0</v>
      </c>
      <c r="M31" s="18" t="n">
        <v>0.43242378</v>
      </c>
      <c r="N31" s="20" t="n">
        <v>0.2424768</v>
      </c>
      <c r="O31" s="18" t="n">
        <v>0</v>
      </c>
      <c r="P31" s="20" t="n">
        <v>0</v>
      </c>
      <c r="Q31" s="18" t="n">
        <v>0</v>
      </c>
      <c r="R31" s="20" t="n">
        <v>0</v>
      </c>
      <c r="S31" s="18" t="n">
        <v>10.65249263</v>
      </c>
      <c r="T31" s="20" t="n">
        <v>1.36459041</v>
      </c>
    </row>
    <row r="32" spans="1:20">
      <c r="A32" s="15" t="s">
        <v>454</v>
      </c>
      <c r="B32" s="17" t="n">
        <v>4478</v>
      </c>
      <c r="C32" s="18">
        <f>(3745.0/B32*100)</f>
        <v/>
      </c>
      <c r="D32" s="19" t="n">
        <v>733</v>
      </c>
      <c r="E32" s="18" t="n">
        <v>20.24024298</v>
      </c>
      <c r="F32" s="20" t="n">
        <v>1.62607362</v>
      </c>
      <c r="G32" s="18" t="n">
        <v>1.89114294</v>
      </c>
      <c r="H32" s="20" t="n">
        <v>0.49043244</v>
      </c>
      <c r="I32" s="18" t="n">
        <v>66.15946436</v>
      </c>
      <c r="J32" s="20" t="n">
        <v>2.11544871</v>
      </c>
      <c r="K32" s="18" t="n">
        <v>0</v>
      </c>
      <c r="L32" s="20" t="n">
        <v>0</v>
      </c>
      <c r="M32" s="18" t="n">
        <v>0</v>
      </c>
      <c r="N32" s="20" t="n">
        <v>0</v>
      </c>
      <c r="O32" s="18" t="n">
        <v>0</v>
      </c>
      <c r="P32" s="20" t="n">
        <v>0</v>
      </c>
      <c r="Q32" s="18" t="n">
        <v>0</v>
      </c>
      <c r="R32" s="20" t="n">
        <v>0</v>
      </c>
      <c r="S32" s="18" t="n">
        <v>11.70914972</v>
      </c>
      <c r="T32" s="20" t="n">
        <v>1.19750927</v>
      </c>
    </row>
    <row r="33" spans="1:20">
      <c r="A33" s="15" t="s">
        <v>455</v>
      </c>
      <c r="B33" s="17" t="n">
        <v>7325</v>
      </c>
      <c r="C33" s="18">
        <f>(6420.0/B33*100)</f>
        <v/>
      </c>
      <c r="D33" s="19" t="n">
        <v>905</v>
      </c>
      <c r="E33" s="18" t="n">
        <v>19.99896365</v>
      </c>
      <c r="F33" s="20" t="n">
        <v>1.90657021</v>
      </c>
      <c r="G33" s="18" t="n">
        <v>3.32541367</v>
      </c>
      <c r="H33" s="20" t="n">
        <v>0.69398631</v>
      </c>
      <c r="I33" s="18" t="n">
        <v>66.26094571</v>
      </c>
      <c r="J33" s="20" t="n">
        <v>2.20240643</v>
      </c>
      <c r="K33" s="18" t="n">
        <v>0</v>
      </c>
      <c r="L33" s="20" t="n">
        <v>0</v>
      </c>
      <c r="M33" s="18" t="n">
        <v>0.19776973</v>
      </c>
      <c r="N33" s="20" t="n">
        <v>0.16356423</v>
      </c>
      <c r="O33" s="18" t="n">
        <v>0.11965241</v>
      </c>
      <c r="P33" s="20" t="n">
        <v>0.08380542000000001</v>
      </c>
      <c r="Q33" s="18" t="n">
        <v>0</v>
      </c>
      <c r="R33" s="20" t="n">
        <v>0</v>
      </c>
      <c r="S33" s="18" t="n">
        <v>10.09725482</v>
      </c>
      <c r="T33" s="20" t="n">
        <v>1.01122105</v>
      </c>
    </row>
    <row r="34" spans="1:20">
      <c r="A34" s="15" t="s">
        <v>456</v>
      </c>
      <c r="B34" s="17" t="n">
        <v>6350</v>
      </c>
      <c r="C34" s="18">
        <f>(5597.0/B34*100)</f>
        <v/>
      </c>
      <c r="D34" s="19" t="n">
        <v>753</v>
      </c>
      <c r="E34" s="18" t="n">
        <v>30.44954034</v>
      </c>
      <c r="F34" s="20" t="n">
        <v>1.71540921</v>
      </c>
      <c r="G34" s="18" t="n">
        <v>0.41383898</v>
      </c>
      <c r="H34" s="20" t="n">
        <v>0.21576572</v>
      </c>
      <c r="I34" s="18" t="n">
        <v>52.23379934</v>
      </c>
      <c r="J34" s="20" t="n">
        <v>1.85134442</v>
      </c>
      <c r="K34" s="18" t="n">
        <v>0</v>
      </c>
      <c r="L34" s="20" t="n">
        <v>0</v>
      </c>
      <c r="M34" s="18" t="n">
        <v>0.20942821</v>
      </c>
      <c r="N34" s="20" t="n">
        <v>0.20856901</v>
      </c>
      <c r="O34" s="18" t="n">
        <v>0</v>
      </c>
      <c r="P34" s="20" t="n">
        <v>0</v>
      </c>
      <c r="Q34" s="18" t="n">
        <v>0</v>
      </c>
      <c r="R34" s="20" t="n">
        <v>0</v>
      </c>
      <c r="S34" s="18" t="n">
        <v>16.69339313</v>
      </c>
      <c r="T34" s="20" t="n">
        <v>1.50068004</v>
      </c>
    </row>
    <row r="35" spans="1:20">
      <c r="A35" s="15" t="s">
        <v>457</v>
      </c>
      <c r="B35" s="17" t="n">
        <v>6406</v>
      </c>
      <c r="C35" s="18">
        <f>(5633.0/B35*100)</f>
        <v/>
      </c>
      <c r="D35" s="19" t="n">
        <v>773</v>
      </c>
      <c r="E35" s="18" t="n">
        <v>18.16079472</v>
      </c>
      <c r="F35" s="20" t="n">
        <v>1.69672258</v>
      </c>
      <c r="G35" s="18" t="n">
        <v>0.87916797</v>
      </c>
      <c r="H35" s="20" t="n">
        <v>0.29436005</v>
      </c>
      <c r="I35" s="18" t="n">
        <v>71.74360011</v>
      </c>
      <c r="J35" s="20" t="n">
        <v>1.92238691</v>
      </c>
      <c r="K35" s="18" t="n">
        <v>0</v>
      </c>
      <c r="L35" s="20" t="n">
        <v>0</v>
      </c>
      <c r="M35" s="18" t="n">
        <v>0</v>
      </c>
      <c r="N35" s="20" t="n">
        <v>0</v>
      </c>
      <c r="O35" s="18" t="n">
        <v>0.21964901</v>
      </c>
      <c r="P35" s="20" t="n">
        <v>0.21926221</v>
      </c>
      <c r="Q35" s="18" t="n">
        <v>0</v>
      </c>
      <c r="R35" s="20" t="n">
        <v>0</v>
      </c>
      <c r="S35" s="18" t="n">
        <v>8.99678819</v>
      </c>
      <c r="T35" s="20" t="n">
        <v>1.13959491</v>
      </c>
    </row>
    <row r="36" spans="1:20">
      <c r="A36" s="15" t="s">
        <v>458</v>
      </c>
      <c r="B36" s="17" t="n">
        <v>6736</v>
      </c>
      <c r="C36" s="18">
        <f>(5922.0/B36*100)</f>
        <v/>
      </c>
      <c r="D36" s="19" t="n">
        <v>814</v>
      </c>
      <c r="E36" s="18" t="n">
        <v>22.38341246</v>
      </c>
      <c r="F36" s="20" t="n">
        <v>1.47077951</v>
      </c>
      <c r="G36" s="18" t="n">
        <v>3.4487424</v>
      </c>
      <c r="H36" s="20" t="n">
        <v>0.64341408</v>
      </c>
      <c r="I36" s="18" t="n">
        <v>62.10273278</v>
      </c>
      <c r="J36" s="20" t="n">
        <v>1.79383997</v>
      </c>
      <c r="K36" s="18" t="n">
        <v>0</v>
      </c>
      <c r="L36" s="20" t="n">
        <v>0</v>
      </c>
      <c r="M36" s="18" t="n">
        <v>0.1333771</v>
      </c>
      <c r="N36" s="20" t="n">
        <v>0.19668612</v>
      </c>
      <c r="O36" s="18" t="n">
        <v>0</v>
      </c>
      <c r="P36" s="20" t="n">
        <v>0</v>
      </c>
      <c r="Q36" s="18" t="n">
        <v>0</v>
      </c>
      <c r="R36" s="20" t="n">
        <v>0</v>
      </c>
      <c r="S36" s="18" t="n">
        <v>11.93173526</v>
      </c>
      <c r="T36" s="20" t="n">
        <v>1.44187837</v>
      </c>
    </row>
    <row r="37" spans="1:20">
      <c r="A37" s="15" t="s">
        <v>459</v>
      </c>
      <c r="B37" s="17" t="n">
        <v>5458</v>
      </c>
      <c r="C37" s="18">
        <f>(4763.0/B37*100)</f>
        <v/>
      </c>
      <c r="D37" s="19" t="n">
        <v>695</v>
      </c>
      <c r="E37" s="18" t="n">
        <v>13.89643015</v>
      </c>
      <c r="F37" s="20" t="n">
        <v>1.492224</v>
      </c>
      <c r="G37" s="18" t="n">
        <v>1.06147355</v>
      </c>
      <c r="H37" s="20" t="n">
        <v>0.41493723</v>
      </c>
      <c r="I37" s="18" t="n">
        <v>69.56033461</v>
      </c>
      <c r="J37" s="20" t="n">
        <v>1.91602746</v>
      </c>
      <c r="K37" s="18" t="n">
        <v>0</v>
      </c>
      <c r="L37" s="20" t="n">
        <v>0</v>
      </c>
      <c r="M37" s="18" t="n">
        <v>0.14323621</v>
      </c>
      <c r="N37" s="20" t="n">
        <v>0.14428486</v>
      </c>
      <c r="O37" s="18" t="n">
        <v>0</v>
      </c>
      <c r="P37" s="20" t="n">
        <v>0</v>
      </c>
      <c r="Q37" s="18" t="n">
        <v>0</v>
      </c>
      <c r="R37" s="20" t="n">
        <v>0</v>
      </c>
      <c r="S37" s="18" t="n">
        <v>15.33852548</v>
      </c>
      <c r="T37" s="20" t="n">
        <v>1.3789282</v>
      </c>
    </row>
    <row r="38" spans="1:20">
      <c r="A38" s="15" t="s">
        <v>460</v>
      </c>
      <c r="B38" s="17" t="n">
        <v>5860</v>
      </c>
      <c r="C38" s="18">
        <f>(4895.0/B38*100)</f>
        <v/>
      </c>
      <c r="D38" s="19" t="n">
        <v>965</v>
      </c>
      <c r="E38" s="18" t="n">
        <v>17.99637183</v>
      </c>
      <c r="F38" s="20" t="n">
        <v>1.71536521</v>
      </c>
      <c r="G38" s="18" t="n">
        <v>2.32512487</v>
      </c>
      <c r="H38" s="20" t="n">
        <v>0.85094907</v>
      </c>
      <c r="I38" s="18" t="n">
        <v>71.78070362</v>
      </c>
      <c r="J38" s="20" t="n">
        <v>1.92012801</v>
      </c>
      <c r="K38" s="18" t="n">
        <v>0</v>
      </c>
      <c r="L38" s="20" t="n">
        <v>0</v>
      </c>
      <c r="M38" s="18" t="n">
        <v>0.32478695</v>
      </c>
      <c r="N38" s="20" t="n">
        <v>0.28541888</v>
      </c>
      <c r="O38" s="18" t="n">
        <v>0.35152299</v>
      </c>
      <c r="P38" s="20" t="n">
        <v>0.20663098</v>
      </c>
      <c r="Q38" s="18" t="n">
        <v>0</v>
      </c>
      <c r="R38" s="20" t="n">
        <v>0</v>
      </c>
      <c r="S38" s="18" t="n">
        <v>7.22148974</v>
      </c>
      <c r="T38" s="20" t="n">
        <v>1.04447321</v>
      </c>
    </row>
    <row r="39" spans="1:20">
      <c r="A39" s="15" t="s">
        <v>461</v>
      </c>
      <c r="B39" s="17" t="n">
        <v>5895</v>
      </c>
      <c r="C39" s="18">
        <f>(5176.0/B39*100)</f>
        <v/>
      </c>
      <c r="D39" s="19" t="n">
        <v>719</v>
      </c>
      <c r="E39" s="18" t="n">
        <v>29.27218185</v>
      </c>
      <c r="F39" s="20" t="n">
        <v>1.68306821</v>
      </c>
      <c r="G39" s="18" t="n">
        <v>5.96262451</v>
      </c>
      <c r="H39" s="20" t="n">
        <v>0.93030018</v>
      </c>
      <c r="I39" s="18" t="n">
        <v>53.36410746</v>
      </c>
      <c r="J39" s="20" t="n">
        <v>2.21754271</v>
      </c>
      <c r="K39" s="18" t="n">
        <v>0</v>
      </c>
      <c r="L39" s="20" t="n">
        <v>0</v>
      </c>
      <c r="M39" s="18" t="n">
        <v>0.1986762</v>
      </c>
      <c r="N39" s="20" t="n">
        <v>0.19822368</v>
      </c>
      <c r="O39" s="18" t="n">
        <v>0</v>
      </c>
      <c r="P39" s="20" t="n">
        <v>0</v>
      </c>
      <c r="Q39" s="18" t="n">
        <v>0</v>
      </c>
      <c r="R39" s="20" t="n">
        <v>0</v>
      </c>
      <c r="S39" s="18" t="n">
        <v>11.20240998</v>
      </c>
      <c r="T39" s="20" t="n">
        <v>1.43434755</v>
      </c>
    </row>
    <row r="40" spans="1:20">
      <c r="A40" s="15" t="s">
        <v>462</v>
      </c>
      <c r="B40" s="17" t="n">
        <v>14157</v>
      </c>
      <c r="C40" s="18">
        <f>(12440.0/B40*100)</f>
        <v/>
      </c>
      <c r="D40" s="19" t="n">
        <v>1717</v>
      </c>
      <c r="E40" s="18" t="n">
        <v>15.37929493</v>
      </c>
      <c r="F40" s="20" t="n">
        <v>1.40713416</v>
      </c>
      <c r="G40" s="18" t="n">
        <v>1.70967238</v>
      </c>
      <c r="H40" s="20" t="n">
        <v>0.40607829</v>
      </c>
      <c r="I40" s="18" t="n">
        <v>74.00025527</v>
      </c>
      <c r="J40" s="20" t="n">
        <v>1.48253472</v>
      </c>
      <c r="K40" s="18" t="n">
        <v>0</v>
      </c>
      <c r="L40" s="20" t="n">
        <v>0</v>
      </c>
      <c r="M40" s="18" t="n">
        <v>0.02494633</v>
      </c>
      <c r="N40" s="20" t="n">
        <v>0.01778849</v>
      </c>
      <c r="O40" s="18" t="n">
        <v>0.2806969</v>
      </c>
      <c r="P40" s="20" t="n">
        <v>0.22122351</v>
      </c>
      <c r="Q40" s="18" t="n">
        <v>0</v>
      </c>
      <c r="R40" s="20" t="n">
        <v>0</v>
      </c>
      <c r="S40" s="18" t="n">
        <v>8.60513418</v>
      </c>
      <c r="T40" s="20" t="n">
        <v>0.9560989</v>
      </c>
    </row>
    <row r="41" spans="1:20">
      <c r="A41" s="15" t="s">
        <v>463</v>
      </c>
      <c r="B41" s="17" t="n">
        <v>5712</v>
      </c>
      <c r="C41" s="18">
        <f>(5007.0/B41*100)</f>
        <v/>
      </c>
      <c r="D41" s="19" t="n">
        <v>705</v>
      </c>
      <c r="E41" s="18" t="n">
        <v>21.27346105</v>
      </c>
      <c r="F41" s="20" t="n">
        <v>1.71221396</v>
      </c>
      <c r="G41" s="18" t="n">
        <v>5.84701975</v>
      </c>
      <c r="H41" s="20" t="n">
        <v>0.98099123</v>
      </c>
      <c r="I41" s="18" t="n">
        <v>69.29615871</v>
      </c>
      <c r="J41" s="20" t="n">
        <v>2.12003241</v>
      </c>
      <c r="K41" s="18" t="n">
        <v>0</v>
      </c>
      <c r="L41" s="20" t="n">
        <v>0</v>
      </c>
      <c r="M41" s="18" t="n">
        <v>0</v>
      </c>
      <c r="N41" s="20" t="n">
        <v>0</v>
      </c>
      <c r="O41" s="18" t="n">
        <v>0</v>
      </c>
      <c r="P41" s="20" t="n">
        <v>0</v>
      </c>
      <c r="Q41" s="18" t="n">
        <v>0</v>
      </c>
      <c r="R41" s="20" t="n">
        <v>0</v>
      </c>
      <c r="S41" s="18" t="n">
        <v>3.58336049</v>
      </c>
      <c r="T41" s="20" t="n">
        <v>0.71729748</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c r="S44" s="18" t="s">
        <v>467</v>
      </c>
      <c r="T44" s="20" t="s">
        <v>467</v>
      </c>
    </row>
    <row r="45" spans="1:20">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c r="S45" s="18" t="s">
        <v>467</v>
      </c>
      <c r="T45" s="20" t="s">
        <v>467</v>
      </c>
    </row>
    <row r="46" spans="1:20">
      <c r="A46" s="15" t="s">
        <v>469</v>
      </c>
      <c r="B46" s="17" t="n">
        <v>23141</v>
      </c>
      <c r="C46" s="18">
        <f>(20584.0/B46*100)</f>
        <v/>
      </c>
      <c r="D46" s="19" t="n">
        <v>2557</v>
      </c>
      <c r="E46" s="18" t="n">
        <v>51.80154633</v>
      </c>
      <c r="F46" s="20" t="n">
        <v>1.47000551</v>
      </c>
      <c r="G46" s="18" t="n">
        <v>2.27308269</v>
      </c>
      <c r="H46" s="20" t="n">
        <v>0.40509784</v>
      </c>
      <c r="I46" s="18" t="n">
        <v>25.48938561</v>
      </c>
      <c r="J46" s="20" t="n">
        <v>1.29906365</v>
      </c>
      <c r="K46" s="18" t="n">
        <v>0</v>
      </c>
      <c r="L46" s="20" t="n">
        <v>0</v>
      </c>
      <c r="M46" s="18" t="n">
        <v>0.77416222</v>
      </c>
      <c r="N46" s="20" t="n">
        <v>0.2171075</v>
      </c>
      <c r="O46" s="18" t="n">
        <v>0.60556243</v>
      </c>
      <c r="P46" s="20" t="n">
        <v>0.23080421</v>
      </c>
      <c r="Q46" s="18" t="n">
        <v>0</v>
      </c>
      <c r="R46" s="20" t="n">
        <v>0</v>
      </c>
      <c r="S46" s="18" t="n">
        <v>19.05626073</v>
      </c>
      <c r="T46" s="20" t="n">
        <v>0.95714347</v>
      </c>
    </row>
    <row r="47" spans="1:20">
      <c r="A47" s="15" t="s">
        <v>470</v>
      </c>
      <c r="B47" s="17" t="n">
        <v>5928</v>
      </c>
      <c r="C47" s="18">
        <f>(5174.0/B47*100)</f>
        <v/>
      </c>
      <c r="D47" s="19" t="n">
        <v>754</v>
      </c>
      <c r="E47" s="18" t="n">
        <v>27.9060477</v>
      </c>
      <c r="F47" s="20" t="n">
        <v>1.94339632</v>
      </c>
      <c r="G47" s="18" t="n">
        <v>1.91109828</v>
      </c>
      <c r="H47" s="20" t="n">
        <v>0.55328956</v>
      </c>
      <c r="I47" s="18" t="n">
        <v>49.70637386</v>
      </c>
      <c r="J47" s="20" t="n">
        <v>2.22136603</v>
      </c>
      <c r="K47" s="18" t="n">
        <v>0</v>
      </c>
      <c r="L47" s="20" t="n">
        <v>0</v>
      </c>
      <c r="M47" s="18" t="n">
        <v>0</v>
      </c>
      <c r="N47" s="20" t="n">
        <v>0</v>
      </c>
      <c r="O47" s="18" t="n">
        <v>0</v>
      </c>
      <c r="P47" s="20" t="n">
        <v>0</v>
      </c>
      <c r="Q47" s="18" t="n">
        <v>0</v>
      </c>
      <c r="R47" s="20" t="n">
        <v>0</v>
      </c>
      <c r="S47" s="18" t="n">
        <v>20.47648016</v>
      </c>
      <c r="T47" s="20" t="n">
        <v>1.57216744</v>
      </c>
    </row>
    <row r="48" spans="1:20">
      <c r="A48" s="15" t="s">
        <v>471</v>
      </c>
      <c r="B48" s="17" t="n">
        <v>9841</v>
      </c>
      <c r="C48" s="18">
        <f>(8630.0/B48*100)</f>
        <v/>
      </c>
      <c r="D48" s="19" t="n">
        <v>1211</v>
      </c>
      <c r="E48" s="18" t="n">
        <v>26.76686595</v>
      </c>
      <c r="F48" s="20" t="n">
        <v>1.9334476</v>
      </c>
      <c r="G48" s="18" t="n">
        <v>2.01423553</v>
      </c>
      <c r="H48" s="20" t="n">
        <v>0.49377695</v>
      </c>
      <c r="I48" s="18" t="n">
        <v>61.36005033</v>
      </c>
      <c r="J48" s="20" t="n">
        <v>2.03067259</v>
      </c>
      <c r="K48" s="18" t="n">
        <v>0</v>
      </c>
      <c r="L48" s="20" t="n">
        <v>0</v>
      </c>
      <c r="M48" s="18" t="n">
        <v>0.34718396</v>
      </c>
      <c r="N48" s="20" t="n">
        <v>0.24469344</v>
      </c>
      <c r="O48" s="18" t="n">
        <v>0</v>
      </c>
      <c r="P48" s="20" t="n">
        <v>0</v>
      </c>
      <c r="Q48" s="18" t="n">
        <v>0</v>
      </c>
      <c r="R48" s="20" t="n">
        <v>0</v>
      </c>
      <c r="S48" s="18" t="n">
        <v>9.51166424</v>
      </c>
      <c r="T48" s="20" t="n">
        <v>0.91302318</v>
      </c>
    </row>
    <row r="49" spans="1:20">
      <c r="A49" s="15" t="s">
        <v>472</v>
      </c>
      <c r="B49" s="17" t="n">
        <v>11795</v>
      </c>
      <c r="C49" s="18">
        <f>(10384.0/B49*100)</f>
        <v/>
      </c>
      <c r="D49" s="19" t="n">
        <v>1411</v>
      </c>
      <c r="E49" s="18" t="n">
        <v>57.61893552</v>
      </c>
      <c r="F49" s="20" t="n">
        <v>1.79578098</v>
      </c>
      <c r="G49" s="18" t="n">
        <v>0.58929136</v>
      </c>
      <c r="H49" s="20" t="n">
        <v>0.2327385</v>
      </c>
      <c r="I49" s="18" t="n">
        <v>34.33207086</v>
      </c>
      <c r="J49" s="20" t="n">
        <v>1.86740062</v>
      </c>
      <c r="K49" s="18" t="n">
        <v>0</v>
      </c>
      <c r="L49" s="20" t="n">
        <v>0</v>
      </c>
      <c r="M49" s="18" t="n">
        <v>0.89018922</v>
      </c>
      <c r="N49" s="20" t="n">
        <v>0.38478089</v>
      </c>
      <c r="O49" s="18" t="n">
        <v>0.0038036</v>
      </c>
      <c r="P49" s="20" t="n">
        <v>0.00383136</v>
      </c>
      <c r="Q49" s="18" t="n">
        <v>0</v>
      </c>
      <c r="R49" s="20" t="n">
        <v>0</v>
      </c>
      <c r="S49" s="18" t="n">
        <v>6.56570944</v>
      </c>
      <c r="T49" s="20" t="n">
        <v>0.8972566</v>
      </c>
    </row>
    <row r="50" spans="1:20">
      <c r="A50" s="15" t="s">
        <v>473</v>
      </c>
      <c r="B50" s="17" t="n">
        <v>6866</v>
      </c>
      <c r="C50" s="18">
        <f>(6116.0/B50*100)</f>
        <v/>
      </c>
      <c r="D50" s="19" t="n">
        <v>750</v>
      </c>
      <c r="E50" s="18" t="n">
        <v>59.55289505</v>
      </c>
      <c r="F50" s="20" t="n">
        <v>1.97745251</v>
      </c>
      <c r="G50" s="18" t="n">
        <v>1.63779398</v>
      </c>
      <c r="H50" s="20" t="n">
        <v>0.49925212</v>
      </c>
      <c r="I50" s="18" t="n">
        <v>27.56170064</v>
      </c>
      <c r="J50" s="20" t="n">
        <v>1.76417328</v>
      </c>
      <c r="K50" s="18" t="n">
        <v>0</v>
      </c>
      <c r="L50" s="20" t="n">
        <v>0</v>
      </c>
      <c r="M50" s="18" t="n">
        <v>0.47197216</v>
      </c>
      <c r="N50" s="20" t="n">
        <v>0.23866684</v>
      </c>
      <c r="O50" s="18" t="n">
        <v>0</v>
      </c>
      <c r="P50" s="20" t="n">
        <v>0</v>
      </c>
      <c r="Q50" s="18" t="n">
        <v>0</v>
      </c>
      <c r="R50" s="20" t="n">
        <v>0</v>
      </c>
      <c r="S50" s="18" t="n">
        <v>10.77563817</v>
      </c>
      <c r="T50" s="20" t="n">
        <v>1.16849766</v>
      </c>
    </row>
    <row r="51" spans="1:20">
      <c r="A51" s="15" t="s">
        <v>474</v>
      </c>
      <c r="B51" s="17" t="n">
        <v>5809</v>
      </c>
      <c r="C51" s="18">
        <f>(5079.0/B51*100)</f>
        <v/>
      </c>
      <c r="D51" s="19" t="n">
        <v>730</v>
      </c>
      <c r="E51" s="18" t="n">
        <v>24.91459131</v>
      </c>
      <c r="F51" s="20" t="n">
        <v>1.56151969</v>
      </c>
      <c r="G51" s="18" t="n">
        <v>0.87685062</v>
      </c>
      <c r="H51" s="20" t="n">
        <v>0.35378512</v>
      </c>
      <c r="I51" s="18" t="n">
        <v>62.96691805</v>
      </c>
      <c r="J51" s="20" t="n">
        <v>1.93303182</v>
      </c>
      <c r="K51" s="18" t="n">
        <v>0</v>
      </c>
      <c r="L51" s="20" t="n">
        <v>0</v>
      </c>
      <c r="M51" s="18" t="n">
        <v>0</v>
      </c>
      <c r="N51" s="20" t="n">
        <v>0</v>
      </c>
      <c r="O51" s="18" t="n">
        <v>0</v>
      </c>
      <c r="P51" s="20" t="n">
        <v>0</v>
      </c>
      <c r="Q51" s="18" t="n">
        <v>0</v>
      </c>
      <c r="R51" s="20" t="n">
        <v>0</v>
      </c>
      <c r="S51" s="18" t="n">
        <v>11.24164002</v>
      </c>
      <c r="T51" s="20" t="n">
        <v>1.14243688</v>
      </c>
    </row>
    <row r="52" spans="1:20">
      <c r="A52" s="15" t="s">
        <v>475</v>
      </c>
      <c r="B52" s="17" t="n">
        <v>5571</v>
      </c>
      <c r="C52" s="18">
        <f>(4905.0/B52*100)</f>
        <v/>
      </c>
      <c r="D52" s="19" t="n">
        <v>666</v>
      </c>
      <c r="E52" s="18" t="n">
        <v>30.94410439</v>
      </c>
      <c r="F52" s="20" t="n">
        <v>1.85107194</v>
      </c>
      <c r="G52" s="18" t="n">
        <v>3.16145021</v>
      </c>
      <c r="H52" s="20" t="n">
        <v>0.62917136</v>
      </c>
      <c r="I52" s="18" t="n">
        <v>53.22053121</v>
      </c>
      <c r="J52" s="20" t="n">
        <v>2.32328616</v>
      </c>
      <c r="K52" s="18" t="n">
        <v>0</v>
      </c>
      <c r="L52" s="20" t="n">
        <v>0</v>
      </c>
      <c r="M52" s="18" t="n">
        <v>0</v>
      </c>
      <c r="N52" s="20" t="n">
        <v>0</v>
      </c>
      <c r="O52" s="18" t="n">
        <v>0</v>
      </c>
      <c r="P52" s="20" t="n">
        <v>0</v>
      </c>
      <c r="Q52" s="18" t="n">
        <v>0</v>
      </c>
      <c r="R52" s="20" t="n">
        <v>0</v>
      </c>
      <c r="S52" s="18" t="n">
        <v>12.67391418</v>
      </c>
      <c r="T52" s="20" t="n">
        <v>1.392711</v>
      </c>
    </row>
    <row r="53" spans="1:20">
      <c r="A53" s="15" t="s">
        <v>476</v>
      </c>
      <c r="B53" s="17" t="n">
        <v>4740</v>
      </c>
      <c r="C53" s="18">
        <f>(3974.0/B53*100)</f>
        <v/>
      </c>
      <c r="D53" s="19" t="n">
        <v>766</v>
      </c>
      <c r="E53" s="18" t="n">
        <v>51.87857141</v>
      </c>
      <c r="F53" s="20" t="n">
        <v>1.8842095</v>
      </c>
      <c r="G53" s="18" t="n">
        <v>9.958179599999999</v>
      </c>
      <c r="H53" s="20" t="n">
        <v>1.13794784</v>
      </c>
      <c r="I53" s="18" t="n">
        <v>8.69493842</v>
      </c>
      <c r="J53" s="20" t="n">
        <v>1.08883858</v>
      </c>
      <c r="K53" s="18" t="n">
        <v>0</v>
      </c>
      <c r="L53" s="20" t="n">
        <v>0</v>
      </c>
      <c r="M53" s="18" t="n">
        <v>6.54845354</v>
      </c>
      <c r="N53" s="20" t="n">
        <v>0.93822499</v>
      </c>
      <c r="O53" s="18" t="n">
        <v>0.94657057</v>
      </c>
      <c r="P53" s="20" t="n">
        <v>0.77204887</v>
      </c>
      <c r="Q53" s="18" t="n">
        <v>0</v>
      </c>
      <c r="R53" s="20" t="n">
        <v>0</v>
      </c>
      <c r="S53" s="18" t="n">
        <v>21.97328646</v>
      </c>
      <c r="T53" s="20" t="n">
        <v>1.72335571</v>
      </c>
    </row>
    <row r="54" spans="1:20">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c r="S54" s="18" t="s">
        <v>467</v>
      </c>
      <c r="T54" s="20" t="s">
        <v>467</v>
      </c>
    </row>
    <row r="55" spans="1:20">
      <c r="A55" s="15" t="s">
        <v>478</v>
      </c>
      <c r="B55" s="17" t="n">
        <v>5359</v>
      </c>
      <c r="C55" s="18">
        <f>(4708.0/B55*100)</f>
        <v/>
      </c>
      <c r="D55" s="19" t="n">
        <v>651</v>
      </c>
      <c r="E55" s="18" t="n">
        <v>23.73312326</v>
      </c>
      <c r="F55" s="20" t="n">
        <v>1.77048497</v>
      </c>
      <c r="G55" s="18" t="n">
        <v>1.5327987</v>
      </c>
      <c r="H55" s="20" t="n">
        <v>0.62436229</v>
      </c>
      <c r="I55" s="18" t="n">
        <v>69.35936898</v>
      </c>
      <c r="J55" s="20" t="n">
        <v>1.86811882</v>
      </c>
      <c r="K55" s="18" t="n">
        <v>0</v>
      </c>
      <c r="L55" s="20" t="n">
        <v>0</v>
      </c>
      <c r="M55" s="18" t="n">
        <v>0.12960585</v>
      </c>
      <c r="N55" s="20" t="n">
        <v>0.13010357</v>
      </c>
      <c r="O55" s="18" t="n">
        <v>0.21934703</v>
      </c>
      <c r="P55" s="20" t="n">
        <v>0.22582906</v>
      </c>
      <c r="Q55" s="18" t="n">
        <v>0</v>
      </c>
      <c r="R55" s="20" t="n">
        <v>0</v>
      </c>
      <c r="S55" s="18" t="n">
        <v>5.02575617</v>
      </c>
      <c r="T55" s="20" t="n">
        <v>1.01169682</v>
      </c>
    </row>
    <row r="56" spans="1:20">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c r="S56" s="18" t="s">
        <v>467</v>
      </c>
      <c r="T56" s="20" t="s">
        <v>467</v>
      </c>
    </row>
    <row r="57" spans="1:20">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c r="S57" s="18" t="s">
        <v>467</v>
      </c>
      <c r="T57" s="20" t="s">
        <v>467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c r="S59" s="18" t="s">
        <v>467</v>
      </c>
      <c r="T59" s="20" t="s">
        <v>467</v>
      </c>
    </row>
    <row r="60" spans="1:20">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c r="S60" s="18" t="s">
        <v>467</v>
      </c>
      <c r="T60" s="20" t="s">
        <v>467</v>
      </c>
    </row>
    <row r="61" spans="1:20">
      <c r="A61" s="15" t="s">
        <v>485</v>
      </c>
      <c r="B61" s="17" t="n">
        <v>6525</v>
      </c>
      <c r="C61" s="18">
        <f>(5744.0/B61*100)</f>
        <v/>
      </c>
      <c r="D61" s="19" t="n">
        <v>781</v>
      </c>
      <c r="E61" s="18" t="n">
        <v>32.17313385</v>
      </c>
      <c r="F61" s="20" t="n">
        <v>1.98341483</v>
      </c>
      <c r="G61" s="18" t="n">
        <v>1.59420924</v>
      </c>
      <c r="H61" s="20" t="n">
        <v>0.44927339</v>
      </c>
      <c r="I61" s="18" t="n">
        <v>52.00635417</v>
      </c>
      <c r="J61" s="20" t="n">
        <v>2.07940018</v>
      </c>
      <c r="K61" s="18" t="n">
        <v>0</v>
      </c>
      <c r="L61" s="20" t="n">
        <v>0</v>
      </c>
      <c r="M61" s="18" t="n">
        <v>0.05966164</v>
      </c>
      <c r="N61" s="20" t="n">
        <v>0.04232966</v>
      </c>
      <c r="O61" s="18" t="n">
        <v>0.15606017</v>
      </c>
      <c r="P61" s="20" t="n">
        <v>0.15417885</v>
      </c>
      <c r="Q61" s="18" t="n">
        <v>0</v>
      </c>
      <c r="R61" s="20" t="n">
        <v>0</v>
      </c>
      <c r="S61" s="18" t="n">
        <v>14.01058092</v>
      </c>
      <c r="T61" s="20" t="n">
        <v>1.39576677</v>
      </c>
    </row>
    <row r="62" spans="1:20">
      <c r="A62" s="15" t="s">
        <v>486</v>
      </c>
      <c r="B62" s="17" t="n">
        <v>4476</v>
      </c>
      <c r="C62" s="18">
        <f>(3924.0/B62*100)</f>
        <v/>
      </c>
      <c r="D62" s="19" t="n">
        <v>552</v>
      </c>
      <c r="E62" s="18" t="n">
        <v>27.8872046</v>
      </c>
      <c r="F62" s="20" t="n">
        <v>1.94124284</v>
      </c>
      <c r="G62" s="18" t="n">
        <v>2.73134881</v>
      </c>
      <c r="H62" s="20" t="n">
        <v>0.68238054</v>
      </c>
      <c r="I62" s="18" t="n">
        <v>64.30286975999999</v>
      </c>
      <c r="J62" s="20" t="n">
        <v>1.95688483</v>
      </c>
      <c r="K62" s="18" t="n">
        <v>0</v>
      </c>
      <c r="L62" s="20" t="n">
        <v>0</v>
      </c>
      <c r="M62" s="18" t="n">
        <v>0</v>
      </c>
      <c r="N62" s="20" t="n">
        <v>0</v>
      </c>
      <c r="O62" s="18" t="n">
        <v>0</v>
      </c>
      <c r="P62" s="20" t="n">
        <v>0</v>
      </c>
      <c r="Q62" s="18" t="n">
        <v>0</v>
      </c>
      <c r="R62" s="20" t="n">
        <v>0</v>
      </c>
      <c r="S62" s="18" t="n">
        <v>5.07857682</v>
      </c>
      <c r="T62" s="20" t="n">
        <v>0.96308815</v>
      </c>
    </row>
    <row r="63" spans="1:20">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c r="S63" s="18" t="s">
        <v>467</v>
      </c>
      <c r="T63" s="20" t="s">
        <v>467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c r="S65" s="18" t="s">
        <v>467</v>
      </c>
      <c r="T65" s="20" t="s">
        <v>467</v>
      </c>
    </row>
    <row r="66" spans="1:20">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c r="S66" s="18" t="s">
        <v>467</v>
      </c>
      <c r="T66" s="20" t="s">
        <v>467</v>
      </c>
    </row>
    <row r="67" spans="1:20">
      <c r="A67" s="15" t="s">
        <v>491</v>
      </c>
      <c r="B67" s="17" t="n">
        <v>5665</v>
      </c>
      <c r="C67" s="18">
        <f>(4973.0/B67*100)</f>
        <v/>
      </c>
      <c r="D67" s="19" t="n">
        <v>692</v>
      </c>
      <c r="E67" s="18" t="n">
        <v>23.60283595</v>
      </c>
      <c r="F67" s="20" t="n">
        <v>1.90788156</v>
      </c>
      <c r="G67" s="18" t="n">
        <v>0.96534612</v>
      </c>
      <c r="H67" s="20" t="n">
        <v>0.38271001</v>
      </c>
      <c r="I67" s="18" t="n">
        <v>51.628732</v>
      </c>
      <c r="J67" s="20" t="n">
        <v>2.28772955</v>
      </c>
      <c r="K67" s="18" t="n">
        <v>0</v>
      </c>
      <c r="L67" s="20" t="n">
        <v>0</v>
      </c>
      <c r="M67" s="18" t="n">
        <v>0.13075781</v>
      </c>
      <c r="N67" s="20" t="n">
        <v>0.13008114</v>
      </c>
      <c r="O67" s="18" t="n">
        <v>0.74753334</v>
      </c>
      <c r="P67" s="20" t="n">
        <v>0.34482306</v>
      </c>
      <c r="Q67" s="18" t="n">
        <v>0</v>
      </c>
      <c r="R67" s="20" t="n">
        <v>0</v>
      </c>
      <c r="S67" s="18" t="n">
        <v>22.92479479</v>
      </c>
      <c r="T67" s="20" t="n">
        <v>1.56536425</v>
      </c>
    </row>
    <row r="68" spans="1:20">
      <c r="A68" s="15" t="s">
        <v>492</v>
      </c>
      <c r="B68" s="17" t="n">
        <v>6971</v>
      </c>
      <c r="C68" s="18">
        <f>(6164.0/B68*100)</f>
        <v/>
      </c>
      <c r="D68" s="19" t="n">
        <v>807</v>
      </c>
      <c r="E68" s="18" t="n">
        <v>51.22091987</v>
      </c>
      <c r="F68" s="20" t="n">
        <v>1.85332083</v>
      </c>
      <c r="G68" s="18" t="n">
        <v>1.61194336</v>
      </c>
      <c r="H68" s="20" t="n">
        <v>0.36927715</v>
      </c>
      <c r="I68" s="18" t="n">
        <v>30.37007084</v>
      </c>
      <c r="J68" s="20" t="n">
        <v>1.91301594</v>
      </c>
      <c r="K68" s="18" t="n">
        <v>0</v>
      </c>
      <c r="L68" s="20" t="n">
        <v>0</v>
      </c>
      <c r="M68" s="18" t="n">
        <v>0.22106521</v>
      </c>
      <c r="N68" s="20" t="n">
        <v>0.16112405</v>
      </c>
      <c r="O68" s="18" t="n">
        <v>0.13352914</v>
      </c>
      <c r="P68" s="20" t="n">
        <v>0.13332491</v>
      </c>
      <c r="Q68" s="18" t="n">
        <v>0</v>
      </c>
      <c r="R68" s="20" t="n">
        <v>0</v>
      </c>
      <c r="S68" s="18" t="n">
        <v>16.44247159</v>
      </c>
      <c r="T68" s="20" t="n">
        <v>1.50356625</v>
      </c>
    </row>
    <row r="69" spans="1:20">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c r="S69" s="18" t="s">
        <v>467</v>
      </c>
      <c r="T69" s="20" t="s">
        <v>467</v>
      </c>
    </row>
    <row r="70" spans="1:20">
      <c r="A70" s="15" t="s">
        <v>494</v>
      </c>
      <c r="B70" s="17" t="n">
        <v>12083</v>
      </c>
      <c r="C70" s="18">
        <f>(10067.0/B70*100)</f>
        <v/>
      </c>
      <c r="D70" s="19" t="n">
        <v>2016</v>
      </c>
      <c r="E70" s="18" t="n">
        <v>38.84764791</v>
      </c>
      <c r="F70" s="20" t="n">
        <v>1.12979286</v>
      </c>
      <c r="G70" s="18" t="n">
        <v>3.47295379</v>
      </c>
      <c r="H70" s="20" t="n">
        <v>0.37377467</v>
      </c>
      <c r="I70" s="18" t="n">
        <v>40.9031497</v>
      </c>
      <c r="J70" s="20" t="n">
        <v>1.01699307</v>
      </c>
      <c r="K70" s="18" t="n">
        <v>0</v>
      </c>
      <c r="L70" s="20" t="n">
        <v>0</v>
      </c>
      <c r="M70" s="18" t="n">
        <v>1.18396267</v>
      </c>
      <c r="N70" s="20" t="n">
        <v>0.26896411</v>
      </c>
      <c r="O70" s="18" t="n">
        <v>0</v>
      </c>
      <c r="P70" s="20" t="n">
        <v>0</v>
      </c>
      <c r="Q70" s="18" t="n">
        <v>0</v>
      </c>
      <c r="R70" s="20" t="n">
        <v>0</v>
      </c>
      <c r="S70" s="18" t="n">
        <v>15.59228594</v>
      </c>
      <c r="T70" s="20" t="n">
        <v>0.79619621</v>
      </c>
    </row>
    <row r="71" spans="1:20">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c r="S71" s="18" t="s">
        <v>467</v>
      </c>
      <c r="T71" s="20" t="s">
        <v>467</v>
      </c>
    </row>
    <row r="72" spans="1:20">
      <c r="A72" s="15" t="s">
        <v>496</v>
      </c>
      <c r="B72" s="17" t="n">
        <v>6036</v>
      </c>
      <c r="C72" s="18">
        <f>(5310.0/B72*100)</f>
        <v/>
      </c>
      <c r="D72" s="19" t="n">
        <v>726</v>
      </c>
      <c r="E72" s="18" t="n">
        <v>19.05226129</v>
      </c>
      <c r="F72" s="20" t="n">
        <v>1.44074211</v>
      </c>
      <c r="G72" s="18" t="n">
        <v>3.37736851</v>
      </c>
      <c r="H72" s="20" t="n">
        <v>0.77656587</v>
      </c>
      <c r="I72" s="18" t="n">
        <v>69.07904369000001</v>
      </c>
      <c r="J72" s="20" t="n">
        <v>1.93331921</v>
      </c>
      <c r="K72" s="18" t="n">
        <v>0</v>
      </c>
      <c r="L72" s="20" t="n">
        <v>0</v>
      </c>
      <c r="M72" s="18" t="n">
        <v>0.49950722</v>
      </c>
      <c r="N72" s="20" t="n">
        <v>0.38949579</v>
      </c>
      <c r="O72" s="18" t="n">
        <v>0.12831586</v>
      </c>
      <c r="P72" s="20" t="n">
        <v>0.13004666</v>
      </c>
      <c r="Q72" s="18" t="n">
        <v>0</v>
      </c>
      <c r="R72" s="20" t="n">
        <v>0</v>
      </c>
      <c r="S72" s="18" t="n">
        <v>7.86350344</v>
      </c>
      <c r="T72" s="20" t="n">
        <v>1.01568144</v>
      </c>
    </row>
    <row r="73" spans="1:20">
      <c r="A73" s="15" t="s">
        <v>497</v>
      </c>
      <c r="B73" s="17" t="n">
        <v>6115</v>
      </c>
      <c r="C73" s="18">
        <f>(5373.0/B73*100)</f>
        <v/>
      </c>
      <c r="D73" s="19" t="n">
        <v>742</v>
      </c>
      <c r="E73" s="18" t="n">
        <v>15.7553302</v>
      </c>
      <c r="F73" s="20" t="n">
        <v>1.25967756</v>
      </c>
      <c r="G73" s="18" t="n">
        <v>1.03697367</v>
      </c>
      <c r="H73" s="20" t="n">
        <v>0.36140339</v>
      </c>
      <c r="I73" s="18" t="n">
        <v>79.61620772000001</v>
      </c>
      <c r="J73" s="20" t="n">
        <v>1.41861213</v>
      </c>
      <c r="K73" s="18" t="n">
        <v>0</v>
      </c>
      <c r="L73" s="20" t="n">
        <v>0</v>
      </c>
      <c r="M73" s="18" t="n">
        <v>0</v>
      </c>
      <c r="N73" s="20" t="n">
        <v>0</v>
      </c>
      <c r="O73" s="18" t="n">
        <v>0.08247387</v>
      </c>
      <c r="P73" s="20" t="n">
        <v>0.0827585</v>
      </c>
      <c r="Q73" s="18" t="n">
        <v>0</v>
      </c>
      <c r="R73" s="20" t="n">
        <v>0</v>
      </c>
      <c r="S73" s="18" t="n">
        <v>3.50901454</v>
      </c>
      <c r="T73" s="20" t="n">
        <v>0.6436134100000001</v>
      </c>
    </row>
    <row r="74" spans="1:20">
      <c r="A74" s="15" t="s">
        <v>498</v>
      </c>
      <c r="B74" s="17" t="n">
        <v>7708</v>
      </c>
      <c r="C74" s="18">
        <f>(6757.0/B74*100)</f>
        <v/>
      </c>
      <c r="D74" s="19" t="n">
        <v>951</v>
      </c>
      <c r="E74" s="18" t="n">
        <v>28.85274632</v>
      </c>
      <c r="F74" s="20" t="n">
        <v>1.4973278</v>
      </c>
      <c r="G74" s="18" t="n">
        <v>3.89805919</v>
      </c>
      <c r="H74" s="20" t="n">
        <v>0.66414734</v>
      </c>
      <c r="I74" s="18" t="n">
        <v>60.26495885</v>
      </c>
      <c r="J74" s="20" t="n">
        <v>1.61877895</v>
      </c>
      <c r="K74" s="18" t="n">
        <v>0</v>
      </c>
      <c r="L74" s="20" t="n">
        <v>0</v>
      </c>
      <c r="M74" s="18" t="n">
        <v>0.07269736</v>
      </c>
      <c r="N74" s="20" t="n">
        <v>0.07470087</v>
      </c>
      <c r="O74" s="18" t="n">
        <v>0</v>
      </c>
      <c r="P74" s="20" t="n">
        <v>0</v>
      </c>
      <c r="Q74" s="18" t="n">
        <v>0</v>
      </c>
      <c r="R74" s="20" t="n">
        <v>0</v>
      </c>
      <c r="S74" s="18" t="n">
        <v>6.91153828</v>
      </c>
      <c r="T74" s="20" t="n">
        <v>0.78384041</v>
      </c>
    </row>
    <row r="75" spans="1:20">
      <c r="A75" s="15" t="s">
        <v>499</v>
      </c>
      <c r="B75" s="17" t="n">
        <v>8249</v>
      </c>
      <c r="C75" s="18">
        <f>(7264.0/B75*100)</f>
        <v/>
      </c>
      <c r="D75" s="19" t="n">
        <v>985</v>
      </c>
      <c r="E75" s="18" t="n">
        <v>60.46123518</v>
      </c>
      <c r="F75" s="20" t="n">
        <v>1.66830157</v>
      </c>
      <c r="G75" s="18" t="n">
        <v>8.24192794</v>
      </c>
      <c r="H75" s="20" t="n">
        <v>1.10064998</v>
      </c>
      <c r="I75" s="18" t="n">
        <v>27.74106344</v>
      </c>
      <c r="J75" s="20" t="n">
        <v>1.67482557</v>
      </c>
      <c r="K75" s="18" t="n">
        <v>0</v>
      </c>
      <c r="L75" s="20" t="n">
        <v>0</v>
      </c>
      <c r="M75" s="18" t="n">
        <v>0</v>
      </c>
      <c r="N75" s="20" t="n">
        <v>0</v>
      </c>
      <c r="O75" s="18" t="n">
        <v>0.00435553</v>
      </c>
      <c r="P75" s="20" t="n">
        <v>0.00421534</v>
      </c>
      <c r="Q75" s="18" t="n">
        <v>0</v>
      </c>
      <c r="R75" s="20" t="n">
        <v>0</v>
      </c>
      <c r="S75" s="18" t="n">
        <v>3.5514179</v>
      </c>
      <c r="T75" s="20" t="n">
        <v>0.69071902</v>
      </c>
    </row>
    <row r="76" spans="1:20">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c r="S76" s="18" t="s">
        <v>467</v>
      </c>
      <c r="T76" s="20" t="s">
        <v>467</v>
      </c>
    </row>
    <row r="77" spans="1:20">
      <c r="A77" s="15" t="s">
        <v>501</v>
      </c>
      <c r="B77" s="17" t="n">
        <v>5375</v>
      </c>
      <c r="C77" s="18">
        <f>(4786.0/B77*100)</f>
        <v/>
      </c>
      <c r="D77" s="19" t="n">
        <v>589</v>
      </c>
      <c r="E77" s="18" t="n">
        <v>48.52324925</v>
      </c>
      <c r="F77" s="20" t="n">
        <v>2.15875928</v>
      </c>
      <c r="G77" s="18" t="n">
        <v>0.88721444</v>
      </c>
      <c r="H77" s="20" t="n">
        <v>0.38980424</v>
      </c>
      <c r="I77" s="18" t="n">
        <v>22.19290379</v>
      </c>
      <c r="J77" s="20" t="n">
        <v>1.59441023</v>
      </c>
      <c r="K77" s="18" t="n">
        <v>0</v>
      </c>
      <c r="L77" s="20" t="n">
        <v>0</v>
      </c>
      <c r="M77" s="18" t="n">
        <v>2.19174419</v>
      </c>
      <c r="N77" s="20" t="n">
        <v>0.64372608</v>
      </c>
      <c r="O77" s="18" t="n">
        <v>1.05107491</v>
      </c>
      <c r="P77" s="20" t="n">
        <v>0.50377352</v>
      </c>
      <c r="Q77" s="18" t="n">
        <v>0</v>
      </c>
      <c r="R77" s="20" t="n">
        <v>0</v>
      </c>
      <c r="S77" s="18" t="n">
        <v>25.15381341</v>
      </c>
      <c r="T77" s="20" t="n">
        <v>1.87213969</v>
      </c>
    </row>
    <row r="78" spans="1:20">
      <c r="A78" s="15" t="s">
        <v>502</v>
      </c>
      <c r="B78" s="17" t="n">
        <v>14167</v>
      </c>
      <c r="C78" s="18">
        <f>(12486.0/B78*100)</f>
        <v/>
      </c>
      <c r="D78" s="19" t="n">
        <v>1681</v>
      </c>
      <c r="E78" s="18" t="n">
        <v>41.0530907</v>
      </c>
      <c r="F78" s="20" t="n">
        <v>1.62064139</v>
      </c>
      <c r="G78" s="18" t="n">
        <v>4.68120201</v>
      </c>
      <c r="H78" s="20" t="n">
        <v>0.646326</v>
      </c>
      <c r="I78" s="18" t="n">
        <v>45.57531211</v>
      </c>
      <c r="J78" s="20" t="n">
        <v>1.65224615</v>
      </c>
      <c r="K78" s="18" t="n">
        <v>0</v>
      </c>
      <c r="L78" s="20" t="n">
        <v>0</v>
      </c>
      <c r="M78" s="18" t="n">
        <v>0.51103277</v>
      </c>
      <c r="N78" s="20" t="n">
        <v>0.20064857</v>
      </c>
      <c r="O78" s="18" t="n">
        <v>0.25479476</v>
      </c>
      <c r="P78" s="20" t="n">
        <v>0.18644425</v>
      </c>
      <c r="Q78" s="18" t="n">
        <v>0</v>
      </c>
      <c r="R78" s="20" t="n">
        <v>0</v>
      </c>
      <c r="S78" s="18" t="n">
        <v>7.92456764</v>
      </c>
      <c r="T78" s="20" t="n">
        <v>0.83129597</v>
      </c>
    </row>
    <row r="79" spans="1:20">
      <c r="A79" s="15" t="s">
        <v>503</v>
      </c>
      <c r="B79" s="17" t="n">
        <v>6062</v>
      </c>
      <c r="C79" s="18">
        <f>(5327.0/B79*100)</f>
        <v/>
      </c>
      <c r="D79" s="19" t="n">
        <v>735</v>
      </c>
      <c r="E79" s="18" t="n">
        <v>36.14314418</v>
      </c>
      <c r="F79" s="20" t="n">
        <v>1.94392073</v>
      </c>
      <c r="G79" s="18" t="n">
        <v>3.66057407</v>
      </c>
      <c r="H79" s="20" t="n">
        <v>0.73647617</v>
      </c>
      <c r="I79" s="18" t="n">
        <v>37.37432523</v>
      </c>
      <c r="J79" s="20" t="n">
        <v>1.87111422</v>
      </c>
      <c r="K79" s="18" t="n">
        <v>0</v>
      </c>
      <c r="L79" s="20" t="n">
        <v>0</v>
      </c>
      <c r="M79" s="18" t="n">
        <v>0.2596669</v>
      </c>
      <c r="N79" s="20" t="n">
        <v>0.18491414</v>
      </c>
      <c r="O79" s="18" t="n">
        <v>0.12304844</v>
      </c>
      <c r="P79" s="20" t="n">
        <v>0.12361384</v>
      </c>
      <c r="Q79" s="18" t="n">
        <v>0</v>
      </c>
      <c r="R79" s="20" t="n">
        <v>0</v>
      </c>
      <c r="S79" s="18" t="n">
        <v>22.43924119</v>
      </c>
      <c r="T79" s="20" t="n">
        <v>1.75648455</v>
      </c>
    </row>
    <row r="80" spans="1:20">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c r="S80" s="18" t="s">
        <v>467</v>
      </c>
      <c r="T80" s="20" t="s">
        <v>467</v>
      </c>
    </row>
    <row r="81" spans="1:20">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c r="S81" s="18" t="s">
        <v>467</v>
      </c>
      <c r="T81" s="20" t="s">
        <v>467</v>
      </c>
    </row>
    <row r="82" spans="1:20">
      <c r="A82" s="15" t="s">
        <v>506</v>
      </c>
      <c r="B82" s="17" t="n">
        <v>32330</v>
      </c>
      <c r="C82" s="18">
        <f>(28328.0/B82*100)</f>
        <v/>
      </c>
      <c r="D82" s="19" t="n">
        <v>4002</v>
      </c>
      <c r="E82" s="18" t="n">
        <v>21.59113003</v>
      </c>
      <c r="F82" s="20" t="n">
        <v>0.93367798</v>
      </c>
      <c r="G82" s="18" t="n">
        <v>4.37695304</v>
      </c>
      <c r="H82" s="20" t="n">
        <v>0.44814368</v>
      </c>
      <c r="I82" s="18" t="n">
        <v>61.12269963</v>
      </c>
      <c r="J82" s="20" t="n">
        <v>1.24196421</v>
      </c>
      <c r="K82" s="18" t="n">
        <v>0</v>
      </c>
      <c r="L82" s="20" t="n">
        <v>0</v>
      </c>
      <c r="M82" s="18" t="n">
        <v>0.04674077</v>
      </c>
      <c r="N82" s="20" t="n">
        <v>0.03021787</v>
      </c>
      <c r="O82" s="18" t="n">
        <v>0.02031874</v>
      </c>
      <c r="P82" s="20" t="n">
        <v>0.01431938</v>
      </c>
      <c r="Q82" s="18" t="n">
        <v>0</v>
      </c>
      <c r="R82" s="20" t="n">
        <v>0</v>
      </c>
      <c r="S82" s="18" t="n">
        <v>12.84215778</v>
      </c>
      <c r="T82" s="20" t="n">
        <v>0.88142352</v>
      </c>
    </row>
    <row r="83" spans="1:20">
      <c r="A83" s="15" t="s">
        <v>507</v>
      </c>
      <c r="B83" s="17" t="n">
        <v>1652</v>
      </c>
      <c r="C83" s="18">
        <f>(1462.0/B83*100)</f>
        <v/>
      </c>
      <c r="D83" s="19" t="n">
        <v>190</v>
      </c>
      <c r="E83" s="18" t="n">
        <v>14.9328391</v>
      </c>
      <c r="F83" s="20" t="n">
        <v>3.19744202</v>
      </c>
      <c r="G83" s="18" t="n">
        <v>3.88555011</v>
      </c>
      <c r="H83" s="20" t="n">
        <v>1.51510239</v>
      </c>
      <c r="I83" s="18" t="n">
        <v>80.7505312</v>
      </c>
      <c r="J83" s="20" t="n">
        <v>3.90670849</v>
      </c>
      <c r="K83" s="18" t="n">
        <v>0</v>
      </c>
      <c r="L83" s="20" t="n">
        <v>0</v>
      </c>
      <c r="M83" s="18" t="n">
        <v>0</v>
      </c>
      <c r="N83" s="20" t="n">
        <v>0</v>
      </c>
      <c r="O83" s="18" t="n">
        <v>0</v>
      </c>
      <c r="P83" s="20" t="n">
        <v>0</v>
      </c>
      <c r="Q83" s="18" t="n">
        <v>0</v>
      </c>
      <c r="R83" s="20" t="n">
        <v>0</v>
      </c>
      <c r="S83" s="18" t="n">
        <v>0.43107959</v>
      </c>
      <c r="T83" s="20" t="n">
        <v>0.40497009</v>
      </c>
    </row>
    <row r="84" spans="1:20">
      <c r="A84" s="23" t="s">
        <v>508</v>
      </c>
      <c r="B84" s="24" t="n">
        <v>1887</v>
      </c>
      <c r="C84" s="25">
        <f>(1662.0/B84*100)</f>
        <v/>
      </c>
      <c r="D84" s="19" t="n">
        <v>225</v>
      </c>
      <c r="E84" s="18" t="n">
        <v>21.93710519</v>
      </c>
      <c r="F84" s="20" t="n">
        <v>2.66408779</v>
      </c>
      <c r="G84" s="18" t="n">
        <v>4.52083364</v>
      </c>
      <c r="H84" s="20" t="n">
        <v>1.41041663</v>
      </c>
      <c r="I84" s="18" t="n">
        <v>72.31488263999999</v>
      </c>
      <c r="J84" s="20" t="n">
        <v>3.2284256</v>
      </c>
      <c r="K84" s="18" t="n">
        <v>0</v>
      </c>
      <c r="L84" s="20" t="n">
        <v>0</v>
      </c>
      <c r="M84" s="18" t="n">
        <v>0</v>
      </c>
      <c r="N84" s="20" t="n">
        <v>0</v>
      </c>
      <c r="O84" s="18" t="n">
        <v>0</v>
      </c>
      <c r="P84" s="20" t="n">
        <v>0</v>
      </c>
      <c r="Q84" s="18" t="n">
        <v>0</v>
      </c>
      <c r="R84" s="20" t="n">
        <v>0</v>
      </c>
      <c r="S84" s="18" t="n">
        <v>1.22717853</v>
      </c>
      <c r="T84" s="20" t="n">
        <v>0.7235738900000001</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(12755.0/B7*100)</f>
        <v/>
      </c>
      <c r="D7" s="19" t="n">
        <v>1775</v>
      </c>
      <c r="E7" s="18" t="n">
        <v>57.06176092</v>
      </c>
      <c r="F7" s="20" t="n">
        <v>1.31413558</v>
      </c>
      <c r="G7" s="18" t="n">
        <v>40.57153399</v>
      </c>
      <c r="H7" s="20" t="n">
        <v>1.31178727</v>
      </c>
      <c r="I7" s="18" t="n">
        <v>0</v>
      </c>
      <c r="J7" s="20" t="n">
        <v>0</v>
      </c>
      <c r="K7" s="18" t="n">
        <v>0.33150056</v>
      </c>
      <c r="L7" s="20" t="n">
        <v>0.16102768</v>
      </c>
      <c r="M7" s="18" t="n">
        <v>0.12589255</v>
      </c>
      <c r="N7" s="20" t="n">
        <v>0.10247147</v>
      </c>
      <c r="O7" s="18" t="n">
        <v>0</v>
      </c>
      <c r="P7" s="20" t="n">
        <v>0</v>
      </c>
      <c r="Q7" s="18" t="n">
        <v>1.90931199</v>
      </c>
      <c r="R7" s="20" t="n">
        <v>0.34839075</v>
      </c>
    </row>
    <row r="8" spans="1:18">
      <c r="A8" s="15" t="s">
        <v>430</v>
      </c>
      <c r="B8" s="17" t="n">
        <v>7007</v>
      </c>
      <c r="C8" s="18">
        <f>(6151.0/B8*100)</f>
        <v/>
      </c>
      <c r="D8" s="19" t="n">
        <v>856</v>
      </c>
      <c r="E8" s="18" t="n">
        <v>59.27296418</v>
      </c>
      <c r="F8" s="20" t="n">
        <v>1.78012196</v>
      </c>
      <c r="G8" s="18" t="n">
        <v>37.24730494</v>
      </c>
      <c r="H8" s="20" t="n">
        <v>1.72275902</v>
      </c>
      <c r="I8" s="18" t="n">
        <v>0</v>
      </c>
      <c r="J8" s="20" t="n">
        <v>0</v>
      </c>
      <c r="K8" s="18" t="n">
        <v>0</v>
      </c>
      <c r="L8" s="20" t="n">
        <v>0</v>
      </c>
      <c r="M8" s="18" t="n">
        <v>0</v>
      </c>
      <c r="N8" s="20" t="n">
        <v>0</v>
      </c>
      <c r="O8" s="18" t="n">
        <v>0</v>
      </c>
      <c r="P8" s="20" t="n">
        <v>0</v>
      </c>
      <c r="Q8" s="18" t="n">
        <v>3.47973089</v>
      </c>
      <c r="R8" s="20" t="n">
        <v>0.57165208</v>
      </c>
    </row>
    <row r="9" spans="1:18">
      <c r="A9" s="15" t="s">
        <v>431</v>
      </c>
      <c r="B9" s="17" t="n">
        <v>9651</v>
      </c>
      <c r="C9" s="18">
        <f>(8501.0/B9*100)</f>
        <v/>
      </c>
      <c r="D9" s="19" t="n">
        <v>1150</v>
      </c>
      <c r="E9" s="18" t="n">
        <v>55.65957674</v>
      </c>
      <c r="F9" s="20" t="n">
        <v>1.43354612</v>
      </c>
      <c r="G9" s="18" t="n">
        <v>42.2999616</v>
      </c>
      <c r="H9" s="20" t="n">
        <v>1.50548942</v>
      </c>
      <c r="I9" s="18" t="n">
        <v>0</v>
      </c>
      <c r="J9" s="20" t="n">
        <v>0</v>
      </c>
      <c r="K9" s="18" t="n">
        <v>0</v>
      </c>
      <c r="L9" s="20" t="n">
        <v>0</v>
      </c>
      <c r="M9" s="18" t="n">
        <v>0.06276545</v>
      </c>
      <c r="N9" s="20" t="n">
        <v>0.06412988999999999</v>
      </c>
      <c r="O9" s="18" t="n">
        <v>0</v>
      </c>
      <c r="P9" s="20" t="n">
        <v>0</v>
      </c>
      <c r="Q9" s="18" t="n">
        <v>1.97769621</v>
      </c>
      <c r="R9" s="20" t="n">
        <v>0.41015797</v>
      </c>
    </row>
    <row r="10" spans="1:18">
      <c r="A10" s="15" t="s">
        <v>432</v>
      </c>
      <c r="B10" s="17" t="n">
        <v>20058</v>
      </c>
      <c r="C10" s="18">
        <f>(17601.0/B10*100)</f>
        <v/>
      </c>
      <c r="D10" s="19" t="n">
        <v>2457</v>
      </c>
      <c r="E10" s="18" t="n">
        <v>49.76050381</v>
      </c>
      <c r="F10" s="20" t="n">
        <v>1.44149149</v>
      </c>
      <c r="G10" s="18" t="n">
        <v>49.48728711</v>
      </c>
      <c r="H10" s="20" t="n">
        <v>1.46174659</v>
      </c>
      <c r="I10" s="18" t="n">
        <v>0</v>
      </c>
      <c r="J10" s="20" t="n">
        <v>0</v>
      </c>
      <c r="K10" s="18" t="n">
        <v>0.09873079999999999</v>
      </c>
      <c r="L10" s="20" t="n">
        <v>0.09115877999999999</v>
      </c>
      <c r="M10" s="18" t="n">
        <v>0.00961974</v>
      </c>
      <c r="N10" s="20" t="n">
        <v>0.00969719</v>
      </c>
      <c r="O10" s="18" t="n">
        <v>0</v>
      </c>
      <c r="P10" s="20" t="n">
        <v>0</v>
      </c>
      <c r="Q10" s="18" t="n">
        <v>0.64385854</v>
      </c>
      <c r="R10" s="20" t="n">
        <v>0.21334405</v>
      </c>
    </row>
    <row r="11" spans="1:18">
      <c r="A11" s="15" t="s">
        <v>433</v>
      </c>
      <c r="B11" s="17" t="n">
        <v>7053</v>
      </c>
      <c r="C11" s="18">
        <f>(6206.0/B11*100)</f>
        <v/>
      </c>
      <c r="D11" s="19" t="n">
        <v>847</v>
      </c>
      <c r="E11" s="18" t="n">
        <v>42.77914922</v>
      </c>
      <c r="F11" s="20" t="n">
        <v>1.79463573</v>
      </c>
      <c r="G11" s="18" t="n">
        <v>33.74808526</v>
      </c>
      <c r="H11" s="20" t="n">
        <v>1.83428881</v>
      </c>
      <c r="I11" s="18" t="n">
        <v>0</v>
      </c>
      <c r="J11" s="20" t="n">
        <v>0</v>
      </c>
      <c r="K11" s="18" t="n">
        <v>0.1571928</v>
      </c>
      <c r="L11" s="20" t="n">
        <v>0.15752511</v>
      </c>
      <c r="M11" s="18" t="n">
        <v>0.11435572</v>
      </c>
      <c r="N11" s="20" t="n">
        <v>0.10387916</v>
      </c>
      <c r="O11" s="18" t="n">
        <v>0</v>
      </c>
      <c r="P11" s="20" t="n">
        <v>0</v>
      </c>
      <c r="Q11" s="18" t="n">
        <v>23.201217</v>
      </c>
      <c r="R11" s="20" t="n">
        <v>1.67728774</v>
      </c>
    </row>
    <row r="12" spans="1:18">
      <c r="A12" s="15" t="s">
        <v>434</v>
      </c>
      <c r="B12" s="17" t="n">
        <v>6894</v>
      </c>
      <c r="C12" s="18">
        <f>(6048.0/B12*100)</f>
        <v/>
      </c>
      <c r="D12" s="19" t="n">
        <v>846</v>
      </c>
      <c r="E12" s="18" t="n">
        <v>76.24663739</v>
      </c>
      <c r="F12" s="20" t="n">
        <v>1.72214005</v>
      </c>
      <c r="G12" s="18" t="n">
        <v>21.93105454</v>
      </c>
      <c r="H12" s="20" t="n">
        <v>1.62823655</v>
      </c>
      <c r="I12" s="18" t="n">
        <v>0</v>
      </c>
      <c r="J12" s="20" t="n">
        <v>0</v>
      </c>
      <c r="K12" s="18" t="n">
        <v>0</v>
      </c>
      <c r="L12" s="20" t="n">
        <v>0</v>
      </c>
      <c r="M12" s="18" t="n">
        <v>0</v>
      </c>
      <c r="N12" s="20" t="n">
        <v>0</v>
      </c>
      <c r="O12" s="18" t="n">
        <v>0</v>
      </c>
      <c r="P12" s="20" t="n">
        <v>0</v>
      </c>
      <c r="Q12" s="18" t="n">
        <v>1.82230807</v>
      </c>
      <c r="R12" s="20" t="n">
        <v>0.49641616</v>
      </c>
    </row>
    <row r="13" spans="1:18">
      <c r="A13" s="15" t="s">
        <v>435</v>
      </c>
      <c r="B13" s="17" t="n">
        <v>7161</v>
      </c>
      <c r="C13" s="18">
        <f>(6311.0/B13*100)</f>
        <v/>
      </c>
      <c r="D13" s="19" t="n">
        <v>850</v>
      </c>
      <c r="E13" s="18" t="n">
        <v>40.27945483</v>
      </c>
      <c r="F13" s="20" t="n">
        <v>1.92652113</v>
      </c>
      <c r="G13" s="18" t="n">
        <v>58.86603797</v>
      </c>
      <c r="H13" s="20" t="n">
        <v>1.94778285</v>
      </c>
      <c r="I13" s="18" t="n">
        <v>0</v>
      </c>
      <c r="J13" s="20" t="n">
        <v>0</v>
      </c>
      <c r="K13" s="18" t="n">
        <v>0.12927759</v>
      </c>
      <c r="L13" s="20" t="n">
        <v>0.13326479</v>
      </c>
      <c r="M13" s="18" t="n">
        <v>0.03564211</v>
      </c>
      <c r="N13" s="20" t="n">
        <v>0.03584571</v>
      </c>
      <c r="O13" s="18" t="n">
        <v>0</v>
      </c>
      <c r="P13" s="20" t="n">
        <v>0</v>
      </c>
      <c r="Q13" s="18" t="n">
        <v>0.6895875</v>
      </c>
      <c r="R13" s="20" t="n">
        <v>0.19606556</v>
      </c>
    </row>
    <row r="14" spans="1:18">
      <c r="A14" s="15" t="s">
        <v>436</v>
      </c>
      <c r="B14" s="17" t="n">
        <v>5587</v>
      </c>
      <c r="C14" s="18">
        <f>(4889.0/B14*100)</f>
        <v/>
      </c>
      <c r="D14" s="19" t="n">
        <v>698</v>
      </c>
      <c r="E14" s="18" t="n">
        <v>39.56349447</v>
      </c>
      <c r="F14" s="20" t="n">
        <v>1.83746661</v>
      </c>
      <c r="G14" s="18" t="n">
        <v>51.64867925</v>
      </c>
      <c r="H14" s="20" t="n">
        <v>1.83874966</v>
      </c>
      <c r="I14" s="18" t="n">
        <v>0</v>
      </c>
      <c r="J14" s="20" t="n">
        <v>0</v>
      </c>
      <c r="K14" s="18" t="n">
        <v>0.1318801</v>
      </c>
      <c r="L14" s="20" t="n">
        <v>0.13705767</v>
      </c>
      <c r="M14" s="18" t="n">
        <v>0</v>
      </c>
      <c r="N14" s="20" t="n">
        <v>0</v>
      </c>
      <c r="O14" s="18" t="n">
        <v>0</v>
      </c>
      <c r="P14" s="20" t="n">
        <v>0</v>
      </c>
      <c r="Q14" s="18" t="n">
        <v>8.65594617</v>
      </c>
      <c r="R14" s="20" t="n">
        <v>1.1556307</v>
      </c>
    </row>
    <row r="15" spans="1:18">
      <c r="A15" s="15" t="s">
        <v>437</v>
      </c>
      <c r="B15" s="17" t="n">
        <v>5882</v>
      </c>
      <c r="C15" s="18">
        <f>(5155.0/B15*100)</f>
        <v/>
      </c>
      <c r="D15" s="19" t="n">
        <v>727</v>
      </c>
      <c r="E15" s="18" t="n">
        <v>41.02642743</v>
      </c>
      <c r="F15" s="20" t="n">
        <v>2.18368155</v>
      </c>
      <c r="G15" s="18" t="n">
        <v>57.65336097</v>
      </c>
      <c r="H15" s="20" t="n">
        <v>2.24649644</v>
      </c>
      <c r="I15" s="18" t="n">
        <v>0</v>
      </c>
      <c r="J15" s="20" t="n">
        <v>0</v>
      </c>
      <c r="K15" s="18" t="n">
        <v>0</v>
      </c>
      <c r="L15" s="20" t="n">
        <v>0</v>
      </c>
      <c r="M15" s="18" t="n">
        <v>0</v>
      </c>
      <c r="N15" s="20" t="n">
        <v>0</v>
      </c>
      <c r="O15" s="18" t="n">
        <v>0</v>
      </c>
      <c r="P15" s="20" t="n">
        <v>0</v>
      </c>
      <c r="Q15" s="18" t="n">
        <v>1.3202116</v>
      </c>
      <c r="R15" s="20" t="n">
        <v>0.38516738</v>
      </c>
    </row>
    <row r="16" spans="1:18">
      <c r="A16" s="15" t="s">
        <v>438</v>
      </c>
      <c r="B16" s="17" t="n">
        <v>6108</v>
      </c>
      <c r="C16" s="18">
        <f>(5366.0/B16*100)</f>
        <v/>
      </c>
      <c r="D16" s="19" t="n">
        <v>742</v>
      </c>
      <c r="E16" s="18" t="n">
        <v>59.23646406</v>
      </c>
      <c r="F16" s="20" t="n">
        <v>2.01041579</v>
      </c>
      <c r="G16" s="18" t="n">
        <v>37.02895352</v>
      </c>
      <c r="H16" s="20" t="n">
        <v>1.87789881</v>
      </c>
      <c r="I16" s="18" t="n">
        <v>0</v>
      </c>
      <c r="J16" s="20" t="n">
        <v>0</v>
      </c>
      <c r="K16" s="18" t="n">
        <v>0.27746944</v>
      </c>
      <c r="L16" s="20" t="n">
        <v>0.24199696</v>
      </c>
      <c r="M16" s="18" t="n">
        <v>0</v>
      </c>
      <c r="N16" s="20" t="n">
        <v>0</v>
      </c>
      <c r="O16" s="18" t="n">
        <v>0</v>
      </c>
      <c r="P16" s="20" t="n">
        <v>0</v>
      </c>
      <c r="Q16" s="18" t="n">
        <v>3.45711298</v>
      </c>
      <c r="R16" s="20" t="n">
        <v>0.79753877</v>
      </c>
    </row>
    <row r="17" spans="1:18">
      <c r="A17" s="15" t="s">
        <v>439</v>
      </c>
      <c r="B17" s="17" t="n">
        <v>6504</v>
      </c>
      <c r="C17" s="18">
        <f>(5710.0/B17*100)</f>
        <v/>
      </c>
      <c r="D17" s="19" t="n">
        <v>794</v>
      </c>
      <c r="E17" s="18" t="n">
        <v>49.07100478</v>
      </c>
      <c r="F17" s="20" t="n">
        <v>1.90016242</v>
      </c>
      <c r="G17" s="18" t="n">
        <v>48.35166027</v>
      </c>
      <c r="H17" s="20" t="n">
        <v>1.94601933</v>
      </c>
      <c r="I17" s="18" t="n">
        <v>0</v>
      </c>
      <c r="J17" s="20" t="n">
        <v>0</v>
      </c>
      <c r="K17" s="18" t="n">
        <v>0.34185717</v>
      </c>
      <c r="L17" s="20" t="n">
        <v>0.19917644</v>
      </c>
      <c r="M17" s="18" t="n">
        <v>0</v>
      </c>
      <c r="N17" s="20" t="n">
        <v>0</v>
      </c>
      <c r="O17" s="18" t="n">
        <v>0</v>
      </c>
      <c r="P17" s="20" t="n">
        <v>0</v>
      </c>
      <c r="Q17" s="18" t="n">
        <v>2.23547778</v>
      </c>
      <c r="R17" s="20" t="n">
        <v>0.4709426</v>
      </c>
    </row>
    <row r="18" spans="1:18">
      <c r="A18" s="15" t="s">
        <v>440</v>
      </c>
      <c r="B18" s="17" t="n">
        <v>5532</v>
      </c>
      <c r="C18" s="18">
        <f>(4847.0/B18*100)</f>
        <v/>
      </c>
      <c r="D18" s="19" t="n">
        <v>685</v>
      </c>
      <c r="E18" s="18" t="n">
        <v>50.40392519</v>
      </c>
      <c r="F18" s="20" t="n">
        <v>2.56696983</v>
      </c>
      <c r="G18" s="18" t="n">
        <v>48.37733243</v>
      </c>
      <c r="H18" s="20" t="n">
        <v>2.4079282</v>
      </c>
      <c r="I18" s="18" t="n">
        <v>0</v>
      </c>
      <c r="J18" s="20" t="n">
        <v>0</v>
      </c>
      <c r="K18" s="18" t="n">
        <v>0.1424891</v>
      </c>
      <c r="L18" s="20" t="n">
        <v>0.13565763</v>
      </c>
      <c r="M18" s="18" t="n">
        <v>0</v>
      </c>
      <c r="N18" s="20" t="n">
        <v>0</v>
      </c>
      <c r="O18" s="18" t="n">
        <v>0</v>
      </c>
      <c r="P18" s="20" t="n">
        <v>0</v>
      </c>
      <c r="Q18" s="18" t="n">
        <v>1.07625329</v>
      </c>
      <c r="R18" s="20" t="n">
        <v>0.38978305</v>
      </c>
    </row>
    <row r="19" spans="1:18">
      <c r="A19" s="15" t="s">
        <v>441</v>
      </c>
      <c r="B19" s="17" t="n">
        <v>5658</v>
      </c>
      <c r="C19" s="18">
        <f>(4944.0/B19*100)</f>
        <v/>
      </c>
      <c r="D19" s="19" t="n">
        <v>714</v>
      </c>
      <c r="E19" s="18" t="n">
        <v>66.81847317</v>
      </c>
      <c r="F19" s="20" t="n">
        <v>1.92069614</v>
      </c>
      <c r="G19" s="18" t="n">
        <v>30.78464729</v>
      </c>
      <c r="H19" s="20" t="n">
        <v>1.98400319</v>
      </c>
      <c r="I19" s="18" t="n">
        <v>0</v>
      </c>
      <c r="J19" s="20" t="n">
        <v>0</v>
      </c>
      <c r="K19" s="18" t="n">
        <v>0</v>
      </c>
      <c r="L19" s="20" t="n">
        <v>0</v>
      </c>
      <c r="M19" s="18" t="n">
        <v>0</v>
      </c>
      <c r="N19" s="20" t="n">
        <v>0</v>
      </c>
      <c r="O19" s="18" t="n">
        <v>0</v>
      </c>
      <c r="P19" s="20" t="n">
        <v>0</v>
      </c>
      <c r="Q19" s="18" t="n">
        <v>2.39687955</v>
      </c>
      <c r="R19" s="20" t="n">
        <v>0.6735213799999999</v>
      </c>
    </row>
    <row r="20" spans="1:18">
      <c r="A20" s="15" t="s">
        <v>442</v>
      </c>
      <c r="B20" s="17" t="n">
        <v>3371</v>
      </c>
      <c r="C20" s="18">
        <f>(2960.0/B20*100)</f>
        <v/>
      </c>
      <c r="D20" s="19" t="n">
        <v>411</v>
      </c>
      <c r="E20" s="18" t="n">
        <v>56.71881437</v>
      </c>
      <c r="F20" s="20" t="n">
        <v>2.18709687</v>
      </c>
      <c r="G20" s="18" t="n">
        <v>40.73625927</v>
      </c>
      <c r="H20" s="20" t="n">
        <v>2.16487511</v>
      </c>
      <c r="I20" s="18" t="n">
        <v>0</v>
      </c>
      <c r="J20" s="20" t="n">
        <v>0</v>
      </c>
      <c r="K20" s="18" t="n">
        <v>0.44692479</v>
      </c>
      <c r="L20" s="20" t="n">
        <v>0.31560707</v>
      </c>
      <c r="M20" s="18" t="n">
        <v>0.37399793</v>
      </c>
      <c r="N20" s="20" t="n">
        <v>0.35886727</v>
      </c>
      <c r="O20" s="18" t="n">
        <v>0</v>
      </c>
      <c r="P20" s="20" t="n">
        <v>0</v>
      </c>
      <c r="Q20" s="18" t="n">
        <v>1.72400365</v>
      </c>
      <c r="R20" s="20" t="n">
        <v>0.6424522</v>
      </c>
    </row>
    <row r="21" spans="1:18">
      <c r="A21" s="15" t="s">
        <v>443</v>
      </c>
      <c r="B21" s="17" t="n">
        <v>5741</v>
      </c>
      <c r="C21" s="18">
        <f>(4790.0/B21*100)</f>
        <v/>
      </c>
      <c r="D21" s="19" t="n">
        <v>951</v>
      </c>
      <c r="E21" s="18" t="n">
        <v>48.26891335</v>
      </c>
      <c r="F21" s="20" t="n">
        <v>1.61880517</v>
      </c>
      <c r="G21" s="18" t="n">
        <v>50.3319341</v>
      </c>
      <c r="H21" s="20" t="n">
        <v>1.61124669</v>
      </c>
      <c r="I21" s="18" t="n">
        <v>0</v>
      </c>
      <c r="J21" s="20" t="n">
        <v>0</v>
      </c>
      <c r="K21" s="18" t="n">
        <v>0.08779974</v>
      </c>
      <c r="L21" s="20" t="n">
        <v>0.06205631</v>
      </c>
      <c r="M21" s="18" t="n">
        <v>0</v>
      </c>
      <c r="N21" s="20" t="n">
        <v>0</v>
      </c>
      <c r="O21" s="18" t="n">
        <v>0</v>
      </c>
      <c r="P21" s="20" t="n">
        <v>0</v>
      </c>
      <c r="Q21" s="18" t="n">
        <v>1.31135282</v>
      </c>
      <c r="R21" s="20" t="n">
        <v>0.34421338</v>
      </c>
    </row>
    <row r="22" spans="1:18">
      <c r="A22" s="15" t="s">
        <v>444</v>
      </c>
      <c r="B22" s="17" t="n">
        <v>6598</v>
      </c>
      <c r="C22" s="18">
        <f>(5781.0/B22*100)</f>
        <v/>
      </c>
      <c r="D22" s="19" t="n">
        <v>817</v>
      </c>
      <c r="E22" s="18" t="n">
        <v>60.89069787</v>
      </c>
      <c r="F22" s="20" t="n">
        <v>1.9475068</v>
      </c>
      <c r="G22" s="18" t="n">
        <v>35.74216903</v>
      </c>
      <c r="H22" s="20" t="n">
        <v>1.75543673</v>
      </c>
      <c r="I22" s="18" t="n">
        <v>0</v>
      </c>
      <c r="J22" s="20" t="n">
        <v>0</v>
      </c>
      <c r="K22" s="18" t="n">
        <v>0.2142792</v>
      </c>
      <c r="L22" s="20" t="n">
        <v>0.1510845</v>
      </c>
      <c r="M22" s="18" t="n">
        <v>0</v>
      </c>
      <c r="N22" s="20" t="n">
        <v>0</v>
      </c>
      <c r="O22" s="18" t="n">
        <v>0</v>
      </c>
      <c r="P22" s="20" t="n">
        <v>0</v>
      </c>
      <c r="Q22" s="18" t="n">
        <v>3.1528539</v>
      </c>
      <c r="R22" s="20" t="n">
        <v>0.70291525</v>
      </c>
    </row>
    <row r="23" spans="1:18">
      <c r="A23" s="15" t="s">
        <v>445</v>
      </c>
      <c r="B23" s="17" t="n">
        <v>11583</v>
      </c>
      <c r="C23" s="18">
        <f>(10139.0/B23*100)</f>
        <v/>
      </c>
      <c r="D23" s="19" t="n">
        <v>1444</v>
      </c>
      <c r="E23" s="18" t="n">
        <v>61.03151572</v>
      </c>
      <c r="F23" s="20" t="n">
        <v>2.11972406</v>
      </c>
      <c r="G23" s="18" t="n">
        <v>34.52226704</v>
      </c>
      <c r="H23" s="20" t="n">
        <v>2.08435821</v>
      </c>
      <c r="I23" s="18" t="n">
        <v>0</v>
      </c>
      <c r="J23" s="20" t="n">
        <v>0</v>
      </c>
      <c r="K23" s="18" t="n">
        <v>0.1746987</v>
      </c>
      <c r="L23" s="20" t="n">
        <v>0.19712153</v>
      </c>
      <c r="M23" s="18" t="n">
        <v>0.53038792</v>
      </c>
      <c r="N23" s="20" t="n">
        <v>0.20531647</v>
      </c>
      <c r="O23" s="18" t="n">
        <v>0</v>
      </c>
      <c r="P23" s="20" t="n">
        <v>0</v>
      </c>
      <c r="Q23" s="18" t="n">
        <v>3.74113062</v>
      </c>
      <c r="R23" s="20" t="n">
        <v>0.84676443</v>
      </c>
    </row>
    <row r="24" spans="1:18">
      <c r="A24" s="15" t="s">
        <v>446</v>
      </c>
      <c r="B24" s="17" t="n">
        <v>6647</v>
      </c>
      <c r="C24" s="18">
        <f>(5834.0/B24*100)</f>
        <v/>
      </c>
      <c r="D24" s="19" t="n">
        <v>813</v>
      </c>
      <c r="E24" s="18" t="n">
        <v>26.02129941</v>
      </c>
      <c r="F24" s="20" t="n">
        <v>1.51425763</v>
      </c>
      <c r="G24" s="18" t="n">
        <v>72.72906059</v>
      </c>
      <c r="H24" s="20" t="n">
        <v>1.58755954</v>
      </c>
      <c r="I24" s="18" t="n">
        <v>0</v>
      </c>
      <c r="J24" s="20" t="n">
        <v>0</v>
      </c>
      <c r="K24" s="18" t="n">
        <v>0.10897952</v>
      </c>
      <c r="L24" s="20" t="n">
        <v>0.10869228</v>
      </c>
      <c r="M24" s="18" t="n">
        <v>0</v>
      </c>
      <c r="N24" s="20" t="n">
        <v>0</v>
      </c>
      <c r="O24" s="18" t="n">
        <v>0</v>
      </c>
      <c r="P24" s="20" t="n">
        <v>0</v>
      </c>
      <c r="Q24" s="18" t="n">
        <v>1.14066048</v>
      </c>
      <c r="R24" s="20" t="n">
        <v>0.37477214</v>
      </c>
    </row>
    <row r="25" spans="1:18">
      <c r="A25" s="15" t="s">
        <v>447</v>
      </c>
      <c r="B25" s="17" t="n">
        <v>5581</v>
      </c>
      <c r="C25" s="18">
        <f>(4907.0/B25*100)</f>
        <v/>
      </c>
      <c r="D25" s="19" t="n">
        <v>674</v>
      </c>
      <c r="E25" s="18" t="n">
        <v>16.62203567</v>
      </c>
      <c r="F25" s="20" t="n">
        <v>1.39658953</v>
      </c>
      <c r="G25" s="18" t="n">
        <v>72.34416865999999</v>
      </c>
      <c r="H25" s="20" t="n">
        <v>1.76067852</v>
      </c>
      <c r="I25" s="18" t="n">
        <v>0</v>
      </c>
      <c r="J25" s="20" t="n">
        <v>0</v>
      </c>
      <c r="K25" s="18" t="n">
        <v>0</v>
      </c>
      <c r="L25" s="20" t="n">
        <v>0</v>
      </c>
      <c r="M25" s="18" t="n">
        <v>0</v>
      </c>
      <c r="N25" s="20" t="n">
        <v>0</v>
      </c>
      <c r="O25" s="18" t="n">
        <v>0</v>
      </c>
      <c r="P25" s="20" t="n">
        <v>0</v>
      </c>
      <c r="Q25" s="18" t="n">
        <v>11.03379567</v>
      </c>
      <c r="R25" s="20" t="n">
        <v>1.23170202</v>
      </c>
    </row>
    <row r="26" spans="1:18">
      <c r="A26" s="15" t="s">
        <v>448</v>
      </c>
      <c r="B26" s="17" t="n">
        <v>4869</v>
      </c>
      <c r="C26" s="18">
        <f>(4271.0/B26*100)</f>
        <v/>
      </c>
      <c r="D26" s="19" t="n">
        <v>598</v>
      </c>
      <c r="E26" s="18" t="n">
        <v>49.90900989</v>
      </c>
      <c r="F26" s="20" t="n">
        <v>2.50097267</v>
      </c>
      <c r="G26" s="18" t="n">
        <v>46.4263489</v>
      </c>
      <c r="H26" s="20" t="n">
        <v>2.40790848</v>
      </c>
      <c r="I26" s="18" t="n">
        <v>0</v>
      </c>
      <c r="J26" s="20" t="n">
        <v>0</v>
      </c>
      <c r="K26" s="18" t="n">
        <v>0</v>
      </c>
      <c r="L26" s="20" t="n">
        <v>0</v>
      </c>
      <c r="M26" s="18" t="n">
        <v>0.49323709</v>
      </c>
      <c r="N26" s="20" t="n">
        <v>0.37215845</v>
      </c>
      <c r="O26" s="18" t="n">
        <v>0</v>
      </c>
      <c r="P26" s="20" t="n">
        <v>0</v>
      </c>
      <c r="Q26" s="18" t="n">
        <v>3.17140413</v>
      </c>
      <c r="R26" s="20" t="n">
        <v>0.72598903</v>
      </c>
    </row>
    <row r="27" spans="1:18">
      <c r="A27" s="15" t="s">
        <v>449</v>
      </c>
      <c r="B27" s="17" t="n">
        <v>5299</v>
      </c>
      <c r="C27" s="18">
        <f>(4658.0/B27*100)</f>
        <v/>
      </c>
      <c r="D27" s="19" t="n">
        <v>641</v>
      </c>
      <c r="E27" s="18" t="n">
        <v>54.88410935</v>
      </c>
      <c r="F27" s="20" t="n">
        <v>1.93477096</v>
      </c>
      <c r="G27" s="18" t="n">
        <v>43.07735205</v>
      </c>
      <c r="H27" s="20" t="n">
        <v>1.95472411</v>
      </c>
      <c r="I27" s="18" t="n">
        <v>0</v>
      </c>
      <c r="J27" s="20" t="n">
        <v>0</v>
      </c>
      <c r="K27" s="18" t="n">
        <v>0</v>
      </c>
      <c r="L27" s="20" t="n">
        <v>0</v>
      </c>
      <c r="M27" s="18" t="n">
        <v>0</v>
      </c>
      <c r="N27" s="20" t="n">
        <v>0</v>
      </c>
      <c r="O27" s="18" t="n">
        <v>0</v>
      </c>
      <c r="P27" s="20" t="n">
        <v>0</v>
      </c>
      <c r="Q27" s="18" t="n">
        <v>2.0385386</v>
      </c>
      <c r="R27" s="20" t="n">
        <v>0.59579397</v>
      </c>
    </row>
    <row r="28" spans="1:18">
      <c r="A28" s="15" t="s">
        <v>450</v>
      </c>
      <c r="B28" s="17" t="n">
        <v>7568</v>
      </c>
      <c r="C28" s="18">
        <f>(6644.0/B28*100)</f>
        <v/>
      </c>
      <c r="D28" s="19" t="n">
        <v>924</v>
      </c>
      <c r="E28" s="18" t="n">
        <v>68.476957</v>
      </c>
      <c r="F28" s="20" t="n">
        <v>1.53421778</v>
      </c>
      <c r="G28" s="18" t="n">
        <v>30.26305795</v>
      </c>
      <c r="H28" s="20" t="n">
        <v>1.57855339</v>
      </c>
      <c r="I28" s="18" t="n">
        <v>0</v>
      </c>
      <c r="J28" s="20" t="n">
        <v>0</v>
      </c>
      <c r="K28" s="18" t="n">
        <v>0.50696498</v>
      </c>
      <c r="L28" s="20" t="n">
        <v>0.29995493</v>
      </c>
      <c r="M28" s="18" t="n">
        <v>0</v>
      </c>
      <c r="N28" s="20" t="n">
        <v>0</v>
      </c>
      <c r="O28" s="18" t="n">
        <v>0</v>
      </c>
      <c r="P28" s="20" t="n">
        <v>0</v>
      </c>
      <c r="Q28" s="18" t="n">
        <v>0.75302007</v>
      </c>
      <c r="R28" s="20" t="n">
        <v>0.32363736</v>
      </c>
    </row>
    <row r="29" spans="1:18">
      <c r="A29" s="15" t="s">
        <v>451</v>
      </c>
      <c r="B29" s="17" t="n">
        <v>5385</v>
      </c>
      <c r="C29" s="18">
        <f>(4739.0/B29*100)</f>
        <v/>
      </c>
      <c r="D29" s="19" t="n">
        <v>646</v>
      </c>
      <c r="E29" s="18" t="n">
        <v>45.90598363</v>
      </c>
      <c r="F29" s="20" t="n">
        <v>1.85562328</v>
      </c>
      <c r="G29" s="18" t="n">
        <v>53.39835967</v>
      </c>
      <c r="H29" s="20" t="n">
        <v>1.86354219</v>
      </c>
      <c r="I29" s="18" t="n">
        <v>0</v>
      </c>
      <c r="J29" s="20" t="n">
        <v>0</v>
      </c>
      <c r="K29" s="18" t="n">
        <v>0.09153656</v>
      </c>
      <c r="L29" s="20" t="n">
        <v>0.09149077999999999</v>
      </c>
      <c r="M29" s="18" t="n">
        <v>0</v>
      </c>
      <c r="N29" s="20" t="n">
        <v>0</v>
      </c>
      <c r="O29" s="18" t="n">
        <v>0</v>
      </c>
      <c r="P29" s="20" t="n">
        <v>0</v>
      </c>
      <c r="Q29" s="18" t="n">
        <v>0.60412015</v>
      </c>
      <c r="R29" s="20" t="n">
        <v>0.32588498</v>
      </c>
    </row>
    <row r="30" spans="1:18">
      <c r="A30" s="15" t="s">
        <v>452</v>
      </c>
      <c r="B30" s="17" t="n">
        <v>4520</v>
      </c>
      <c r="C30" s="18">
        <f>(3966.0/B30*100)</f>
        <v/>
      </c>
      <c r="D30" s="19" t="n">
        <v>554</v>
      </c>
      <c r="E30" s="18" t="n">
        <v>44.38224545</v>
      </c>
      <c r="F30" s="20" t="n">
        <v>2.26232367</v>
      </c>
      <c r="G30" s="18" t="n">
        <v>39.73099531</v>
      </c>
      <c r="H30" s="20" t="n">
        <v>2.198204</v>
      </c>
      <c r="I30" s="18" t="n">
        <v>0</v>
      </c>
      <c r="J30" s="20" t="n">
        <v>0</v>
      </c>
      <c r="K30" s="18" t="n">
        <v>0.14374306</v>
      </c>
      <c r="L30" s="20" t="n">
        <v>0.14460084</v>
      </c>
      <c r="M30" s="18" t="n">
        <v>0.40669624</v>
      </c>
      <c r="N30" s="20" t="n">
        <v>0.29481187</v>
      </c>
      <c r="O30" s="18" t="n">
        <v>0</v>
      </c>
      <c r="P30" s="20" t="n">
        <v>0</v>
      </c>
      <c r="Q30" s="18" t="n">
        <v>15.33631994</v>
      </c>
      <c r="R30" s="20" t="n">
        <v>1.61986054</v>
      </c>
    </row>
    <row r="31" spans="1:18">
      <c r="A31" s="15" t="s">
        <v>453</v>
      </c>
      <c r="B31" s="17" t="n">
        <v>5456</v>
      </c>
      <c r="C31" s="18">
        <f>(4789.0/B31*100)</f>
        <v/>
      </c>
      <c r="D31" s="19" t="n">
        <v>667</v>
      </c>
      <c r="E31" s="18" t="n">
        <v>43.06962412</v>
      </c>
      <c r="F31" s="20" t="n">
        <v>1.97261823</v>
      </c>
      <c r="G31" s="18" t="n">
        <v>53.36853769</v>
      </c>
      <c r="H31" s="20" t="n">
        <v>1.85700138</v>
      </c>
      <c r="I31" s="18" t="n">
        <v>0</v>
      </c>
      <c r="J31" s="20" t="n">
        <v>0</v>
      </c>
      <c r="K31" s="18" t="n">
        <v>0.43242378</v>
      </c>
      <c r="L31" s="20" t="n">
        <v>0.2424768</v>
      </c>
      <c r="M31" s="18" t="n">
        <v>0</v>
      </c>
      <c r="N31" s="20" t="n">
        <v>0</v>
      </c>
      <c r="O31" s="18" t="n">
        <v>0</v>
      </c>
      <c r="P31" s="20" t="n">
        <v>0</v>
      </c>
      <c r="Q31" s="18" t="n">
        <v>3.12941441</v>
      </c>
      <c r="R31" s="20" t="n">
        <v>0.74665136</v>
      </c>
    </row>
    <row r="32" spans="1:18">
      <c r="A32" s="15" t="s">
        <v>454</v>
      </c>
      <c r="B32" s="17" t="n">
        <v>4478</v>
      </c>
      <c r="C32" s="18">
        <f>(3745.0/B32*100)</f>
        <v/>
      </c>
      <c r="D32" s="19" t="n">
        <v>733</v>
      </c>
      <c r="E32" s="18" t="n">
        <v>63.62063468</v>
      </c>
      <c r="F32" s="20" t="n">
        <v>1.83700836</v>
      </c>
      <c r="G32" s="18" t="n">
        <v>35.14003251</v>
      </c>
      <c r="H32" s="20" t="n">
        <v>1.85622586</v>
      </c>
      <c r="I32" s="18" t="n">
        <v>0</v>
      </c>
      <c r="J32" s="20" t="n">
        <v>0</v>
      </c>
      <c r="K32" s="18" t="n">
        <v>0</v>
      </c>
      <c r="L32" s="20" t="n">
        <v>0</v>
      </c>
      <c r="M32" s="18" t="n">
        <v>0</v>
      </c>
      <c r="N32" s="20" t="n">
        <v>0</v>
      </c>
      <c r="O32" s="18" t="n">
        <v>0</v>
      </c>
      <c r="P32" s="20" t="n">
        <v>0</v>
      </c>
      <c r="Q32" s="18" t="n">
        <v>1.2393328</v>
      </c>
      <c r="R32" s="20" t="n">
        <v>0.4271533</v>
      </c>
    </row>
    <row r="33" spans="1:18">
      <c r="A33" s="15" t="s">
        <v>455</v>
      </c>
      <c r="B33" s="17" t="n">
        <v>7325</v>
      </c>
      <c r="C33" s="18">
        <f>(6420.0/B33*100)</f>
        <v/>
      </c>
      <c r="D33" s="19" t="n">
        <v>905</v>
      </c>
      <c r="E33" s="18" t="n">
        <v>40.82490626</v>
      </c>
      <c r="F33" s="20" t="n">
        <v>2.11071511</v>
      </c>
      <c r="G33" s="18" t="n">
        <v>57.03983803</v>
      </c>
      <c r="H33" s="20" t="n">
        <v>2.04635297</v>
      </c>
      <c r="I33" s="18" t="n">
        <v>0</v>
      </c>
      <c r="J33" s="20" t="n">
        <v>0</v>
      </c>
      <c r="K33" s="18" t="n">
        <v>0.19776973</v>
      </c>
      <c r="L33" s="20" t="n">
        <v>0.16356423</v>
      </c>
      <c r="M33" s="18" t="n">
        <v>0.11965241</v>
      </c>
      <c r="N33" s="20" t="n">
        <v>0.08380542000000001</v>
      </c>
      <c r="O33" s="18" t="n">
        <v>0</v>
      </c>
      <c r="P33" s="20" t="n">
        <v>0</v>
      </c>
      <c r="Q33" s="18" t="n">
        <v>1.81783357</v>
      </c>
      <c r="R33" s="20" t="n">
        <v>0.42496115</v>
      </c>
    </row>
    <row r="34" spans="1:18">
      <c r="A34" s="15" t="s">
        <v>456</v>
      </c>
      <c r="B34" s="17" t="n">
        <v>6350</v>
      </c>
      <c r="C34" s="18">
        <f>(5597.0/B34*100)</f>
        <v/>
      </c>
      <c r="D34" s="19" t="n">
        <v>753</v>
      </c>
      <c r="E34" s="18" t="n">
        <v>76.97758076</v>
      </c>
      <c r="F34" s="20" t="n">
        <v>1.62020395</v>
      </c>
      <c r="G34" s="18" t="n">
        <v>21.29953385</v>
      </c>
      <c r="H34" s="20" t="n">
        <v>1.65694746</v>
      </c>
      <c r="I34" s="18" t="n">
        <v>0</v>
      </c>
      <c r="J34" s="20" t="n">
        <v>0</v>
      </c>
      <c r="K34" s="18" t="n">
        <v>0.20942821</v>
      </c>
      <c r="L34" s="20" t="n">
        <v>0.20856901</v>
      </c>
      <c r="M34" s="18" t="n">
        <v>0</v>
      </c>
      <c r="N34" s="20" t="n">
        <v>0</v>
      </c>
      <c r="O34" s="18" t="n">
        <v>0</v>
      </c>
      <c r="P34" s="20" t="n">
        <v>0</v>
      </c>
      <c r="Q34" s="18" t="n">
        <v>1.51345718</v>
      </c>
      <c r="R34" s="20" t="n">
        <v>0.4895346</v>
      </c>
    </row>
    <row r="35" spans="1:18">
      <c r="A35" s="15" t="s">
        <v>457</v>
      </c>
      <c r="B35" s="17" t="n">
        <v>6406</v>
      </c>
      <c r="C35" s="18">
        <f>(5633.0/B35*100)</f>
        <v/>
      </c>
      <c r="D35" s="19" t="n">
        <v>773</v>
      </c>
      <c r="E35" s="18" t="n">
        <v>54.11940678</v>
      </c>
      <c r="F35" s="20" t="n">
        <v>2.46687494</v>
      </c>
      <c r="G35" s="18" t="n">
        <v>45.15724038</v>
      </c>
      <c r="H35" s="20" t="n">
        <v>2.51266808</v>
      </c>
      <c r="I35" s="18" t="n">
        <v>0</v>
      </c>
      <c r="J35" s="20" t="n">
        <v>0</v>
      </c>
      <c r="K35" s="18" t="n">
        <v>0</v>
      </c>
      <c r="L35" s="20" t="n">
        <v>0</v>
      </c>
      <c r="M35" s="18" t="n">
        <v>0.21964901</v>
      </c>
      <c r="N35" s="20" t="n">
        <v>0.21926221</v>
      </c>
      <c r="O35" s="18" t="n">
        <v>0</v>
      </c>
      <c r="P35" s="20" t="n">
        <v>0</v>
      </c>
      <c r="Q35" s="18" t="n">
        <v>0.50370383</v>
      </c>
      <c r="R35" s="20" t="n">
        <v>0.25116114</v>
      </c>
    </row>
    <row r="36" spans="1:18">
      <c r="A36" s="15" t="s">
        <v>458</v>
      </c>
      <c r="B36" s="17" t="n">
        <v>6736</v>
      </c>
      <c r="C36" s="18">
        <f>(5922.0/B36*100)</f>
        <v/>
      </c>
      <c r="D36" s="19" t="n">
        <v>814</v>
      </c>
      <c r="E36" s="18" t="n">
        <v>42.510449</v>
      </c>
      <c r="F36" s="20" t="n">
        <v>1.80167512</v>
      </c>
      <c r="G36" s="18" t="n">
        <v>55.29091985</v>
      </c>
      <c r="H36" s="20" t="n">
        <v>1.80877614</v>
      </c>
      <c r="I36" s="18" t="n">
        <v>0</v>
      </c>
      <c r="J36" s="20" t="n">
        <v>0</v>
      </c>
      <c r="K36" s="18" t="n">
        <v>0.1333771</v>
      </c>
      <c r="L36" s="20" t="n">
        <v>0.19668612</v>
      </c>
      <c r="M36" s="18" t="n">
        <v>0.11467127</v>
      </c>
      <c r="N36" s="20" t="n">
        <v>0.11437662</v>
      </c>
      <c r="O36" s="18" t="n">
        <v>0</v>
      </c>
      <c r="P36" s="20" t="n">
        <v>0</v>
      </c>
      <c r="Q36" s="18" t="n">
        <v>1.95058278</v>
      </c>
      <c r="R36" s="20" t="n">
        <v>0.60182359</v>
      </c>
    </row>
    <row r="37" spans="1:18">
      <c r="A37" s="15" t="s">
        <v>459</v>
      </c>
      <c r="B37" s="17" t="n">
        <v>5458</v>
      </c>
      <c r="C37" s="18">
        <f>(4763.0/B37*100)</f>
        <v/>
      </c>
      <c r="D37" s="19" t="n">
        <v>695</v>
      </c>
      <c r="E37" s="18" t="n">
        <v>46.19621655</v>
      </c>
      <c r="F37" s="20" t="n">
        <v>2.0338371</v>
      </c>
      <c r="G37" s="18" t="n">
        <v>49.42439991</v>
      </c>
      <c r="H37" s="20" t="n">
        <v>2.13662051</v>
      </c>
      <c r="I37" s="18" t="n">
        <v>0</v>
      </c>
      <c r="J37" s="20" t="n">
        <v>0</v>
      </c>
      <c r="K37" s="18" t="n">
        <v>0.14323621</v>
      </c>
      <c r="L37" s="20" t="n">
        <v>0.14428486</v>
      </c>
      <c r="M37" s="18" t="n">
        <v>0</v>
      </c>
      <c r="N37" s="20" t="n">
        <v>0</v>
      </c>
      <c r="O37" s="18" t="n">
        <v>0</v>
      </c>
      <c r="P37" s="20" t="n">
        <v>0</v>
      </c>
      <c r="Q37" s="18" t="n">
        <v>4.23614732</v>
      </c>
      <c r="R37" s="20" t="n">
        <v>0.68889163</v>
      </c>
    </row>
    <row r="38" spans="1:18">
      <c r="A38" s="15" t="s">
        <v>460</v>
      </c>
      <c r="B38" s="17" t="n">
        <v>5860</v>
      </c>
      <c r="C38" s="18">
        <f>(4895.0/B38*100)</f>
        <v/>
      </c>
      <c r="D38" s="19" t="n">
        <v>965</v>
      </c>
      <c r="E38" s="18" t="n">
        <v>39.64722602</v>
      </c>
      <c r="F38" s="20" t="n">
        <v>1.79643344</v>
      </c>
      <c r="G38" s="18" t="n">
        <v>43.55119567</v>
      </c>
      <c r="H38" s="20" t="n">
        <v>1.61690793</v>
      </c>
      <c r="I38" s="18" t="n">
        <v>0</v>
      </c>
      <c r="J38" s="20" t="n">
        <v>0</v>
      </c>
      <c r="K38" s="18" t="n">
        <v>0.32478695</v>
      </c>
      <c r="L38" s="20" t="n">
        <v>0.28541888</v>
      </c>
      <c r="M38" s="18" t="n">
        <v>0.35152299</v>
      </c>
      <c r="N38" s="20" t="n">
        <v>0.20663098</v>
      </c>
      <c r="O38" s="18" t="n">
        <v>0</v>
      </c>
      <c r="P38" s="20" t="n">
        <v>0</v>
      </c>
      <c r="Q38" s="18" t="n">
        <v>16.12526837</v>
      </c>
      <c r="R38" s="20" t="n">
        <v>1.5141286</v>
      </c>
    </row>
    <row r="39" spans="1:18">
      <c r="A39" s="15" t="s">
        <v>461</v>
      </c>
      <c r="B39" s="17" t="n">
        <v>5895</v>
      </c>
      <c r="C39" s="18">
        <f>(5176.0/B39*100)</f>
        <v/>
      </c>
      <c r="D39" s="19" t="n">
        <v>719</v>
      </c>
      <c r="E39" s="18" t="n">
        <v>30.83132911</v>
      </c>
      <c r="F39" s="20" t="n">
        <v>1.87002834</v>
      </c>
      <c r="G39" s="18" t="n">
        <v>35.81880344</v>
      </c>
      <c r="H39" s="20" t="n">
        <v>1.84923839</v>
      </c>
      <c r="I39" s="18" t="n">
        <v>0</v>
      </c>
      <c r="J39" s="20" t="n">
        <v>0</v>
      </c>
      <c r="K39" s="18" t="n">
        <v>0.1986762</v>
      </c>
      <c r="L39" s="20" t="n">
        <v>0.19822368</v>
      </c>
      <c r="M39" s="18" t="n">
        <v>0</v>
      </c>
      <c r="N39" s="20" t="n">
        <v>0</v>
      </c>
      <c r="O39" s="18" t="n">
        <v>0</v>
      </c>
      <c r="P39" s="20" t="n">
        <v>0</v>
      </c>
      <c r="Q39" s="18" t="n">
        <v>33.15119124</v>
      </c>
      <c r="R39" s="20" t="n">
        <v>2.13700986</v>
      </c>
    </row>
    <row r="40" spans="1:18">
      <c r="A40" s="15" t="s">
        <v>462</v>
      </c>
      <c r="B40" s="17" t="n">
        <v>14157</v>
      </c>
      <c r="C40" s="18">
        <f>(12440.0/B40*100)</f>
        <v/>
      </c>
      <c r="D40" s="19" t="n">
        <v>1717</v>
      </c>
      <c r="E40" s="18" t="n">
        <v>52.52017257</v>
      </c>
      <c r="F40" s="20" t="n">
        <v>1.8177928</v>
      </c>
      <c r="G40" s="18" t="n">
        <v>43.5406624</v>
      </c>
      <c r="H40" s="20" t="n">
        <v>1.86115953</v>
      </c>
      <c r="I40" s="18" t="n">
        <v>0</v>
      </c>
      <c r="J40" s="20" t="n">
        <v>0</v>
      </c>
      <c r="K40" s="18" t="n">
        <v>0.02494633</v>
      </c>
      <c r="L40" s="20" t="n">
        <v>0.01778849</v>
      </c>
      <c r="M40" s="18" t="n">
        <v>0.2806969</v>
      </c>
      <c r="N40" s="20" t="n">
        <v>0.22122351</v>
      </c>
      <c r="O40" s="18" t="n">
        <v>0</v>
      </c>
      <c r="P40" s="20" t="n">
        <v>0</v>
      </c>
      <c r="Q40" s="18" t="n">
        <v>3.6335218</v>
      </c>
      <c r="R40" s="20" t="n">
        <v>0.70599352</v>
      </c>
    </row>
    <row r="41" spans="1:18">
      <c r="A41" s="15" t="s">
        <v>463</v>
      </c>
      <c r="B41" s="17" t="n">
        <v>5712</v>
      </c>
      <c r="C41" s="18">
        <f>(5007.0/B41*100)</f>
        <v/>
      </c>
      <c r="D41" s="19" t="n">
        <v>705</v>
      </c>
      <c r="E41" s="18" t="n">
        <v>59.15604348</v>
      </c>
      <c r="F41" s="20" t="n">
        <v>1.74603405</v>
      </c>
      <c r="G41" s="18" t="n">
        <v>40.22233193</v>
      </c>
      <c r="H41" s="20" t="n">
        <v>1.7164465</v>
      </c>
      <c r="I41" s="18" t="n">
        <v>0</v>
      </c>
      <c r="J41" s="20" t="n">
        <v>0</v>
      </c>
      <c r="K41" s="18" t="n">
        <v>0</v>
      </c>
      <c r="L41" s="20" t="n">
        <v>0</v>
      </c>
      <c r="M41" s="18" t="n">
        <v>0</v>
      </c>
      <c r="N41" s="20" t="n">
        <v>0</v>
      </c>
      <c r="O41" s="18" t="n">
        <v>0</v>
      </c>
      <c r="P41" s="20" t="n">
        <v>0</v>
      </c>
      <c r="Q41" s="18" t="n">
        <v>0.62162459</v>
      </c>
      <c r="R41" s="20" t="n">
        <v>0.28576468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(20584.0/B46*100)</f>
        <v/>
      </c>
      <c r="D46" s="19" t="n">
        <v>2557</v>
      </c>
      <c r="E46" s="18" t="n">
        <v>47.37804002</v>
      </c>
      <c r="F46" s="20" t="n">
        <v>1.22929544</v>
      </c>
      <c r="G46" s="18" t="n">
        <v>25.73968455</v>
      </c>
      <c r="H46" s="20" t="n">
        <v>1.29813901</v>
      </c>
      <c r="I46" s="18" t="n">
        <v>0</v>
      </c>
      <c r="J46" s="20" t="n">
        <v>0</v>
      </c>
      <c r="K46" s="18" t="n">
        <v>0.77416222</v>
      </c>
      <c r="L46" s="20" t="n">
        <v>0.2171075</v>
      </c>
      <c r="M46" s="18" t="n">
        <v>0.60556243</v>
      </c>
      <c r="N46" s="20" t="n">
        <v>0.23080421</v>
      </c>
      <c r="O46" s="18" t="n">
        <v>0</v>
      </c>
      <c r="P46" s="20" t="n">
        <v>0</v>
      </c>
      <c r="Q46" s="18" t="n">
        <v>25.50255078</v>
      </c>
      <c r="R46" s="20" t="n">
        <v>1.11037773</v>
      </c>
    </row>
    <row r="47" spans="1:18">
      <c r="A47" s="15" t="s">
        <v>470</v>
      </c>
      <c r="B47" s="17" t="n">
        <v>5928</v>
      </c>
      <c r="C47" s="18">
        <f>(5174.0/B47*100)</f>
        <v/>
      </c>
      <c r="D47" s="19" t="n">
        <v>754</v>
      </c>
      <c r="E47" s="18" t="n">
        <v>50.20253127</v>
      </c>
      <c r="F47" s="20" t="n">
        <v>2.17849502</v>
      </c>
      <c r="G47" s="18" t="n">
        <v>36.95974832</v>
      </c>
      <c r="H47" s="20" t="n">
        <v>2.1101848</v>
      </c>
      <c r="I47" s="18" t="n">
        <v>0</v>
      </c>
      <c r="J47" s="20" t="n">
        <v>0</v>
      </c>
      <c r="K47" s="18" t="n">
        <v>0</v>
      </c>
      <c r="L47" s="20" t="n">
        <v>0</v>
      </c>
      <c r="M47" s="18" t="n">
        <v>0</v>
      </c>
      <c r="N47" s="20" t="n">
        <v>0</v>
      </c>
      <c r="O47" s="18" t="n">
        <v>0</v>
      </c>
      <c r="P47" s="20" t="n">
        <v>0</v>
      </c>
      <c r="Q47" s="18" t="n">
        <v>12.8377204</v>
      </c>
      <c r="R47" s="20" t="n">
        <v>1.02443529</v>
      </c>
    </row>
    <row r="48" spans="1:18">
      <c r="A48" s="15" t="s">
        <v>471</v>
      </c>
      <c r="B48" s="17" t="n">
        <v>9841</v>
      </c>
      <c r="C48" s="18">
        <f>(8630.0/B48*100)</f>
        <v/>
      </c>
      <c r="D48" s="19" t="n">
        <v>1211</v>
      </c>
      <c r="E48" s="18" t="n">
        <v>52.49671491</v>
      </c>
      <c r="F48" s="20" t="n">
        <v>2.08972991</v>
      </c>
      <c r="G48" s="18" t="n">
        <v>46.15119719</v>
      </c>
      <c r="H48" s="20" t="n">
        <v>2.09391543</v>
      </c>
      <c r="I48" s="18" t="n">
        <v>0</v>
      </c>
      <c r="J48" s="20" t="n">
        <v>0</v>
      </c>
      <c r="K48" s="18" t="n">
        <v>0.34718396</v>
      </c>
      <c r="L48" s="20" t="n">
        <v>0.24469344</v>
      </c>
      <c r="M48" s="18" t="n">
        <v>0</v>
      </c>
      <c r="N48" s="20" t="n">
        <v>0</v>
      </c>
      <c r="O48" s="18" t="n">
        <v>0</v>
      </c>
      <c r="P48" s="20" t="n">
        <v>0</v>
      </c>
      <c r="Q48" s="18" t="n">
        <v>1.00490394</v>
      </c>
      <c r="R48" s="20" t="n">
        <v>0.42127569</v>
      </c>
    </row>
    <row r="49" spans="1:18">
      <c r="A49" s="15" t="s">
        <v>472</v>
      </c>
      <c r="B49" s="17" t="n">
        <v>11795</v>
      </c>
      <c r="C49" s="18">
        <f>(10384.0/B49*100)</f>
        <v/>
      </c>
      <c r="D49" s="19" t="n">
        <v>1411</v>
      </c>
      <c r="E49" s="18" t="n">
        <v>56.95785706</v>
      </c>
      <c r="F49" s="20" t="n">
        <v>1.80267766</v>
      </c>
      <c r="G49" s="18" t="n">
        <v>28.76452844</v>
      </c>
      <c r="H49" s="20" t="n">
        <v>1.63549564</v>
      </c>
      <c r="I49" s="18" t="n">
        <v>0</v>
      </c>
      <c r="J49" s="20" t="n">
        <v>0</v>
      </c>
      <c r="K49" s="18" t="n">
        <v>1.17229883</v>
      </c>
      <c r="L49" s="20" t="n">
        <v>0.43470153</v>
      </c>
      <c r="M49" s="18" t="n">
        <v>0.0038036</v>
      </c>
      <c r="N49" s="20" t="n">
        <v>0.00383136</v>
      </c>
      <c r="O49" s="18" t="n">
        <v>0</v>
      </c>
      <c r="P49" s="20" t="n">
        <v>0</v>
      </c>
      <c r="Q49" s="18" t="n">
        <v>13.10151208</v>
      </c>
      <c r="R49" s="20" t="n">
        <v>1.3865085</v>
      </c>
    </row>
    <row r="50" spans="1:18">
      <c r="A50" s="15" t="s">
        <v>473</v>
      </c>
      <c r="B50" s="17" t="n">
        <v>6866</v>
      </c>
      <c r="C50" s="18">
        <f>(6116.0/B50*100)</f>
        <v/>
      </c>
      <c r="D50" s="19" t="n">
        <v>750</v>
      </c>
      <c r="E50" s="18" t="n">
        <v>48.51800927</v>
      </c>
      <c r="F50" s="20" t="n">
        <v>1.90245235</v>
      </c>
      <c r="G50" s="18" t="n">
        <v>24.26889272</v>
      </c>
      <c r="H50" s="20" t="n">
        <v>1.7028995</v>
      </c>
      <c r="I50" s="18" t="n">
        <v>0</v>
      </c>
      <c r="J50" s="20" t="n">
        <v>0</v>
      </c>
      <c r="K50" s="18" t="n">
        <v>0.47197216</v>
      </c>
      <c r="L50" s="20" t="n">
        <v>0.23866684</v>
      </c>
      <c r="M50" s="18" t="n">
        <v>0</v>
      </c>
      <c r="N50" s="20" t="n">
        <v>0</v>
      </c>
      <c r="O50" s="18" t="n">
        <v>0</v>
      </c>
      <c r="P50" s="20" t="n">
        <v>0</v>
      </c>
      <c r="Q50" s="18" t="n">
        <v>26.74112585</v>
      </c>
      <c r="R50" s="20" t="n">
        <v>1.55729529</v>
      </c>
    </row>
    <row r="51" spans="1:18">
      <c r="A51" s="15" t="s">
        <v>474</v>
      </c>
      <c r="B51" s="17" t="n">
        <v>5809</v>
      </c>
      <c r="C51" s="18">
        <f>(5079.0/B51*100)</f>
        <v/>
      </c>
      <c r="D51" s="19" t="n">
        <v>730</v>
      </c>
      <c r="E51" s="18" t="n">
        <v>63.16570381</v>
      </c>
      <c r="F51" s="20" t="n">
        <v>2.04394831</v>
      </c>
      <c r="G51" s="18" t="n">
        <v>35.23681587</v>
      </c>
      <c r="H51" s="20" t="n">
        <v>2.06847806</v>
      </c>
      <c r="I51" s="18" t="n">
        <v>0</v>
      </c>
      <c r="J51" s="20" t="n">
        <v>0</v>
      </c>
      <c r="K51" s="18" t="n">
        <v>0</v>
      </c>
      <c r="L51" s="20" t="n">
        <v>0</v>
      </c>
      <c r="M51" s="18" t="n">
        <v>0</v>
      </c>
      <c r="N51" s="20" t="n">
        <v>0</v>
      </c>
      <c r="O51" s="18" t="n">
        <v>0</v>
      </c>
      <c r="P51" s="20" t="n">
        <v>0</v>
      </c>
      <c r="Q51" s="18" t="n">
        <v>1.59748032</v>
      </c>
      <c r="R51" s="20" t="n">
        <v>0.4841974</v>
      </c>
    </row>
    <row r="52" spans="1:18">
      <c r="A52" s="15" t="s">
        <v>475</v>
      </c>
      <c r="B52" s="17" t="n">
        <v>5571</v>
      </c>
      <c r="C52" s="18">
        <f>(4905.0/B52*100)</f>
        <v/>
      </c>
      <c r="D52" s="19" t="n">
        <v>666</v>
      </c>
      <c r="E52" s="18" t="n">
        <v>58.79647238</v>
      </c>
      <c r="F52" s="20" t="n">
        <v>1.98991328</v>
      </c>
      <c r="G52" s="18" t="n">
        <v>38.75650146</v>
      </c>
      <c r="H52" s="20" t="n">
        <v>2.05674686</v>
      </c>
      <c r="I52" s="18" t="n">
        <v>0</v>
      </c>
      <c r="J52" s="20" t="n">
        <v>0</v>
      </c>
      <c r="K52" s="18" t="n">
        <v>0</v>
      </c>
      <c r="L52" s="20" t="n">
        <v>0</v>
      </c>
      <c r="M52" s="18" t="n">
        <v>0</v>
      </c>
      <c r="N52" s="20" t="n">
        <v>0</v>
      </c>
      <c r="O52" s="18" t="n">
        <v>0</v>
      </c>
      <c r="P52" s="20" t="n">
        <v>0</v>
      </c>
      <c r="Q52" s="18" t="n">
        <v>2.44702615</v>
      </c>
      <c r="R52" s="20" t="n">
        <v>0.60880041</v>
      </c>
    </row>
    <row r="53" spans="1:18">
      <c r="A53" s="15" t="s">
        <v>476</v>
      </c>
      <c r="B53" s="17" t="n">
        <v>4740</v>
      </c>
      <c r="C53" s="18">
        <f>(3974.0/B53*100)</f>
        <v/>
      </c>
      <c r="D53" s="19" t="n">
        <v>766</v>
      </c>
      <c r="E53" s="18" t="n">
        <v>59.24894358</v>
      </c>
      <c r="F53" s="20" t="n">
        <v>2.00643312</v>
      </c>
      <c r="G53" s="18" t="n">
        <v>27.29127444</v>
      </c>
      <c r="H53" s="20" t="n">
        <v>1.80686697</v>
      </c>
      <c r="I53" s="18" t="n">
        <v>0</v>
      </c>
      <c r="J53" s="20" t="n">
        <v>0</v>
      </c>
      <c r="K53" s="18" t="n">
        <v>7.48598556</v>
      </c>
      <c r="L53" s="20" t="n">
        <v>1.0769977</v>
      </c>
      <c r="M53" s="18" t="n">
        <v>0.94657057</v>
      </c>
      <c r="N53" s="20" t="n">
        <v>0.77204887</v>
      </c>
      <c r="O53" s="18" t="n">
        <v>0</v>
      </c>
      <c r="P53" s="20" t="n">
        <v>0</v>
      </c>
      <c r="Q53" s="18" t="n">
        <v>5.02722585</v>
      </c>
      <c r="R53" s="20" t="n">
        <v>0.82924763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(4708.0/B55*100)</f>
        <v/>
      </c>
      <c r="D55" s="19" t="n">
        <v>651</v>
      </c>
      <c r="E55" s="18" t="n">
        <v>42.4793883</v>
      </c>
      <c r="F55" s="20" t="n">
        <v>2.22764828</v>
      </c>
      <c r="G55" s="18" t="n">
        <v>56.49047328</v>
      </c>
      <c r="H55" s="20" t="n">
        <v>2.20779631</v>
      </c>
      <c r="I55" s="18" t="n">
        <v>0</v>
      </c>
      <c r="J55" s="20" t="n">
        <v>0</v>
      </c>
      <c r="K55" s="18" t="n">
        <v>0.12960585</v>
      </c>
      <c r="L55" s="20" t="n">
        <v>0.13010357</v>
      </c>
      <c r="M55" s="18" t="n">
        <v>0.32567905</v>
      </c>
      <c r="N55" s="20" t="n">
        <v>0.24888562</v>
      </c>
      <c r="O55" s="18" t="n">
        <v>0</v>
      </c>
      <c r="P55" s="20" t="n">
        <v>0</v>
      </c>
      <c r="Q55" s="18" t="n">
        <v>0.57485351</v>
      </c>
      <c r="R55" s="20" t="n">
        <v>0.37533716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63.20907369</v>
      </c>
      <c r="F61" s="20" t="n">
        <v>2.09827687</v>
      </c>
      <c r="G61" s="18" t="n">
        <v>35.70685201</v>
      </c>
      <c r="H61" s="20" t="n">
        <v>2.0973872</v>
      </c>
      <c r="I61" s="18" t="n">
        <v>0</v>
      </c>
      <c r="J61" s="20" t="n">
        <v>0</v>
      </c>
      <c r="K61" s="18" t="n">
        <v>0.05966164</v>
      </c>
      <c r="L61" s="20" t="n">
        <v>0.04232966</v>
      </c>
      <c r="M61" s="18" t="n">
        <v>0.15606017</v>
      </c>
      <c r="N61" s="20" t="n">
        <v>0.15417885</v>
      </c>
      <c r="O61" s="18" t="n">
        <v>0</v>
      </c>
      <c r="P61" s="20" t="n">
        <v>0</v>
      </c>
      <c r="Q61" s="18" t="n">
        <v>0.86835248</v>
      </c>
      <c r="R61" s="20" t="n">
        <v>0.35713357</v>
      </c>
    </row>
    <row r="62" spans="1:18">
      <c r="A62" s="15" t="s">
        <v>486</v>
      </c>
      <c r="B62" s="17" t="n">
        <v>4476</v>
      </c>
      <c r="C62" s="18">
        <f>(3924.0/B62*100)</f>
        <v/>
      </c>
      <c r="D62" s="19" t="n">
        <v>552</v>
      </c>
      <c r="E62" s="18" t="n">
        <v>38.23157373</v>
      </c>
      <c r="F62" s="20" t="n">
        <v>2.41063766</v>
      </c>
      <c r="G62" s="18" t="n">
        <v>61.22870334</v>
      </c>
      <c r="H62" s="20" t="n">
        <v>2.40648578</v>
      </c>
      <c r="I62" s="18" t="n">
        <v>0</v>
      </c>
      <c r="J62" s="20" t="n">
        <v>0</v>
      </c>
      <c r="K62" s="18" t="n">
        <v>0</v>
      </c>
      <c r="L62" s="20" t="n">
        <v>0</v>
      </c>
      <c r="M62" s="18" t="n">
        <v>0</v>
      </c>
      <c r="N62" s="20" t="n">
        <v>0</v>
      </c>
      <c r="O62" s="18" t="n">
        <v>0</v>
      </c>
      <c r="P62" s="20" t="n">
        <v>0</v>
      </c>
      <c r="Q62" s="18" t="n">
        <v>0.53972292</v>
      </c>
      <c r="R62" s="20" t="n">
        <v>0.3069103</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(4973.0/B67*100)</f>
        <v/>
      </c>
      <c r="D67" s="19" t="n">
        <v>692</v>
      </c>
      <c r="E67" s="18" t="n">
        <v>21.59625764</v>
      </c>
      <c r="F67" s="20" t="n">
        <v>1.73864555</v>
      </c>
      <c r="G67" s="18" t="n">
        <v>25.45230386</v>
      </c>
      <c r="H67" s="20" t="n">
        <v>1.56717387</v>
      </c>
      <c r="I67" s="18" t="n">
        <v>0</v>
      </c>
      <c r="J67" s="20" t="n">
        <v>0</v>
      </c>
      <c r="K67" s="18" t="n">
        <v>0.13075781</v>
      </c>
      <c r="L67" s="20" t="n">
        <v>0.13008114</v>
      </c>
      <c r="M67" s="18" t="n">
        <v>0.74753334</v>
      </c>
      <c r="N67" s="20" t="n">
        <v>0.34482306</v>
      </c>
      <c r="O67" s="18" t="n">
        <v>0</v>
      </c>
      <c r="P67" s="20" t="n">
        <v>0</v>
      </c>
      <c r="Q67" s="18" t="n">
        <v>52.07314737</v>
      </c>
      <c r="R67" s="20" t="n">
        <v>1.87679065</v>
      </c>
    </row>
    <row r="68" spans="1:18">
      <c r="A68" s="15" t="s">
        <v>492</v>
      </c>
      <c r="B68" s="17" t="n">
        <v>6971</v>
      </c>
      <c r="C68" s="18">
        <f>(6164.0/B68*100)</f>
        <v/>
      </c>
      <c r="D68" s="19" t="n">
        <v>807</v>
      </c>
      <c r="E68" s="18" t="n">
        <v>79.41668924</v>
      </c>
      <c r="F68" s="20" t="n">
        <v>1.4760796</v>
      </c>
      <c r="G68" s="18" t="n">
        <v>17.96217651</v>
      </c>
      <c r="H68" s="20" t="n">
        <v>1.47667558</v>
      </c>
      <c r="I68" s="18" t="n">
        <v>0</v>
      </c>
      <c r="J68" s="20" t="n">
        <v>0</v>
      </c>
      <c r="K68" s="18" t="n">
        <v>0.22106521</v>
      </c>
      <c r="L68" s="20" t="n">
        <v>0.16112405</v>
      </c>
      <c r="M68" s="18" t="n">
        <v>0.13352914</v>
      </c>
      <c r="N68" s="20" t="n">
        <v>0.13332491</v>
      </c>
      <c r="O68" s="18" t="n">
        <v>0</v>
      </c>
      <c r="P68" s="20" t="n">
        <v>0</v>
      </c>
      <c r="Q68" s="18" t="n">
        <v>2.26653991</v>
      </c>
      <c r="R68" s="20" t="n">
        <v>0.60270422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(10067.0/B70*100)</f>
        <v/>
      </c>
      <c r="D70" s="19" t="n">
        <v>2016</v>
      </c>
      <c r="E70" s="18" t="n">
        <v>67.31977835000001</v>
      </c>
      <c r="F70" s="20" t="n">
        <v>0.95996965</v>
      </c>
      <c r="G70" s="18" t="n">
        <v>27.21706902</v>
      </c>
      <c r="H70" s="20" t="n">
        <v>0.92061993</v>
      </c>
      <c r="I70" s="18" t="n">
        <v>0</v>
      </c>
      <c r="J70" s="20" t="n">
        <v>0</v>
      </c>
      <c r="K70" s="18" t="n">
        <v>1.18396267</v>
      </c>
      <c r="L70" s="20" t="n">
        <v>0.26896411</v>
      </c>
      <c r="M70" s="18" t="n">
        <v>0</v>
      </c>
      <c r="N70" s="20" t="n">
        <v>0</v>
      </c>
      <c r="O70" s="18" t="n">
        <v>0</v>
      </c>
      <c r="P70" s="20" t="n">
        <v>0</v>
      </c>
      <c r="Q70" s="18" t="n">
        <v>4.27918996</v>
      </c>
      <c r="R70" s="20" t="n">
        <v>0.40777529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(5310.0/B72*100)</f>
        <v/>
      </c>
      <c r="D72" s="19" t="n">
        <v>726</v>
      </c>
      <c r="E72" s="18" t="n">
        <v>73.03080054</v>
      </c>
      <c r="F72" s="20" t="n">
        <v>2.17674604</v>
      </c>
      <c r="G72" s="18" t="n">
        <v>24.72541115</v>
      </c>
      <c r="H72" s="20" t="n">
        <v>1.97952663</v>
      </c>
      <c r="I72" s="18" t="n">
        <v>0</v>
      </c>
      <c r="J72" s="20" t="n">
        <v>0</v>
      </c>
      <c r="K72" s="18" t="n">
        <v>0.49950722</v>
      </c>
      <c r="L72" s="20" t="n">
        <v>0.38949579</v>
      </c>
      <c r="M72" s="18" t="n">
        <v>0.12831586</v>
      </c>
      <c r="N72" s="20" t="n">
        <v>0.13004666</v>
      </c>
      <c r="O72" s="18" t="n">
        <v>0</v>
      </c>
      <c r="P72" s="20" t="n">
        <v>0</v>
      </c>
      <c r="Q72" s="18" t="n">
        <v>1.61596524</v>
      </c>
      <c r="R72" s="20" t="n">
        <v>0.44938653</v>
      </c>
    </row>
    <row r="73" spans="1:18">
      <c r="A73" s="15" t="s">
        <v>497</v>
      </c>
      <c r="B73" s="17" t="n">
        <v>6115</v>
      </c>
      <c r="C73" s="18">
        <f>(5373.0/B73*100)</f>
        <v/>
      </c>
      <c r="D73" s="19" t="n">
        <v>742</v>
      </c>
      <c r="E73" s="18" t="n">
        <v>52.19215912</v>
      </c>
      <c r="F73" s="20" t="n">
        <v>1.68071324</v>
      </c>
      <c r="G73" s="18" t="n">
        <v>46.10751273</v>
      </c>
      <c r="H73" s="20" t="n">
        <v>1.69703446</v>
      </c>
      <c r="I73" s="18" t="n">
        <v>0</v>
      </c>
      <c r="J73" s="20" t="n">
        <v>0</v>
      </c>
      <c r="K73" s="18" t="n">
        <v>0</v>
      </c>
      <c r="L73" s="20" t="n">
        <v>0</v>
      </c>
      <c r="M73" s="18" t="n">
        <v>0.08247387</v>
      </c>
      <c r="N73" s="20" t="n">
        <v>0.0827585</v>
      </c>
      <c r="O73" s="18" t="n">
        <v>0</v>
      </c>
      <c r="P73" s="20" t="n">
        <v>0</v>
      </c>
      <c r="Q73" s="18" t="n">
        <v>1.61785429</v>
      </c>
      <c r="R73" s="20" t="n">
        <v>0.53299783</v>
      </c>
    </row>
    <row r="74" spans="1:18">
      <c r="A74" s="15" t="s">
        <v>498</v>
      </c>
      <c r="B74" s="17" t="n">
        <v>7708</v>
      </c>
      <c r="C74" s="18">
        <f>(6757.0/B74*100)</f>
        <v/>
      </c>
      <c r="D74" s="19" t="n">
        <v>951</v>
      </c>
      <c r="E74" s="18" t="n">
        <v>49.90358474</v>
      </c>
      <c r="F74" s="20" t="n">
        <v>1.7491833</v>
      </c>
      <c r="G74" s="18" t="n">
        <v>48.80265305</v>
      </c>
      <c r="H74" s="20" t="n">
        <v>1.74889812</v>
      </c>
      <c r="I74" s="18" t="n">
        <v>0</v>
      </c>
      <c r="J74" s="20" t="n">
        <v>0</v>
      </c>
      <c r="K74" s="18" t="n">
        <v>0.07269736</v>
      </c>
      <c r="L74" s="20" t="n">
        <v>0.07470087</v>
      </c>
      <c r="M74" s="18" t="n">
        <v>0</v>
      </c>
      <c r="N74" s="20" t="n">
        <v>0</v>
      </c>
      <c r="O74" s="18" t="n">
        <v>0</v>
      </c>
      <c r="P74" s="20" t="n">
        <v>0</v>
      </c>
      <c r="Q74" s="18" t="n">
        <v>1.22106485</v>
      </c>
      <c r="R74" s="20" t="n">
        <v>0.3582761</v>
      </c>
    </row>
    <row r="75" spans="1:18">
      <c r="A75" s="15" t="s">
        <v>499</v>
      </c>
      <c r="B75" s="17" t="n">
        <v>8249</v>
      </c>
      <c r="C75" s="18">
        <f>(7263.0/B75*100)</f>
        <v/>
      </c>
      <c r="D75" s="19" t="n">
        <v>986</v>
      </c>
      <c r="E75" s="18" t="n">
        <v>80.51726882</v>
      </c>
      <c r="F75" s="20" t="n">
        <v>1.41280832</v>
      </c>
      <c r="G75" s="18" t="n">
        <v>19.02749743</v>
      </c>
      <c r="H75" s="20" t="n">
        <v>1.43869646</v>
      </c>
      <c r="I75" s="18" t="n">
        <v>0</v>
      </c>
      <c r="J75" s="20" t="n">
        <v>0</v>
      </c>
      <c r="K75" s="18" t="n">
        <v>0</v>
      </c>
      <c r="L75" s="20" t="n">
        <v>0</v>
      </c>
      <c r="M75" s="18" t="n">
        <v>0.00434888</v>
      </c>
      <c r="N75" s="20" t="n">
        <v>0.00420885</v>
      </c>
      <c r="O75" s="18" t="n">
        <v>0</v>
      </c>
      <c r="P75" s="20" t="n">
        <v>0</v>
      </c>
      <c r="Q75" s="18" t="n">
        <v>0.45088487</v>
      </c>
      <c r="R75" s="20" t="n">
        <v>0.25883814</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(4786.0/B77*100)</f>
        <v/>
      </c>
      <c r="D77" s="19" t="n">
        <v>589</v>
      </c>
      <c r="E77" s="18" t="n">
        <v>75.78483038</v>
      </c>
      <c r="F77" s="20" t="n">
        <v>2.06480169</v>
      </c>
      <c r="G77" s="18" t="n">
        <v>16.46517201</v>
      </c>
      <c r="H77" s="20" t="n">
        <v>1.95375408</v>
      </c>
      <c r="I77" s="18" t="n">
        <v>0</v>
      </c>
      <c r="J77" s="20" t="n">
        <v>0</v>
      </c>
      <c r="K77" s="18" t="n">
        <v>2.32866357</v>
      </c>
      <c r="L77" s="20" t="n">
        <v>0.6559040900000001</v>
      </c>
      <c r="M77" s="18" t="n">
        <v>1.05107491</v>
      </c>
      <c r="N77" s="20" t="n">
        <v>0.50377352</v>
      </c>
      <c r="O77" s="18" t="n">
        <v>0</v>
      </c>
      <c r="P77" s="20" t="n">
        <v>0</v>
      </c>
      <c r="Q77" s="18" t="n">
        <v>4.37025913</v>
      </c>
      <c r="R77" s="20" t="n">
        <v>0.9087971500000001</v>
      </c>
    </row>
    <row r="78" spans="1:18">
      <c r="A78" s="15" t="s">
        <v>502</v>
      </c>
      <c r="B78" s="17" t="n">
        <v>14167</v>
      </c>
      <c r="C78" s="18">
        <f>(12487.0/B78*100)</f>
        <v/>
      </c>
      <c r="D78" s="19" t="n">
        <v>1680</v>
      </c>
      <c r="E78" s="18" t="n">
        <v>64.28312712</v>
      </c>
      <c r="F78" s="20" t="n">
        <v>1.47442375</v>
      </c>
      <c r="G78" s="18" t="n">
        <v>32.21799484</v>
      </c>
      <c r="H78" s="20" t="n">
        <v>1.43450909</v>
      </c>
      <c r="I78" s="18" t="n">
        <v>0</v>
      </c>
      <c r="J78" s="20" t="n">
        <v>0</v>
      </c>
      <c r="K78" s="18" t="n">
        <v>0.51168541</v>
      </c>
      <c r="L78" s="20" t="n">
        <v>0.20090499</v>
      </c>
      <c r="M78" s="18" t="n">
        <v>0.25512016</v>
      </c>
      <c r="N78" s="20" t="n">
        <v>0.18667393</v>
      </c>
      <c r="O78" s="18" t="n">
        <v>0</v>
      </c>
      <c r="P78" s="20" t="n">
        <v>0</v>
      </c>
      <c r="Q78" s="18" t="n">
        <v>2.73207248</v>
      </c>
      <c r="R78" s="20" t="n">
        <v>0.43249396</v>
      </c>
    </row>
    <row r="79" spans="1:18">
      <c r="A79" s="15" t="s">
        <v>503</v>
      </c>
      <c r="B79" s="17" t="n">
        <v>6062</v>
      </c>
      <c r="C79" s="18">
        <f>(5327.0/B79*100)</f>
        <v/>
      </c>
      <c r="D79" s="19" t="n">
        <v>735</v>
      </c>
      <c r="E79" s="18" t="n">
        <v>67.24805790000001</v>
      </c>
      <c r="F79" s="20" t="n">
        <v>1.8142757</v>
      </c>
      <c r="G79" s="18" t="n">
        <v>28.12091566</v>
      </c>
      <c r="H79" s="20" t="n">
        <v>1.86168816</v>
      </c>
      <c r="I79" s="18" t="n">
        <v>0</v>
      </c>
      <c r="J79" s="20" t="n">
        <v>0</v>
      </c>
      <c r="K79" s="18" t="n">
        <v>0.2596669</v>
      </c>
      <c r="L79" s="20" t="n">
        <v>0.18491414</v>
      </c>
      <c r="M79" s="18" t="n">
        <v>0.12304844</v>
      </c>
      <c r="N79" s="20" t="n">
        <v>0.12361384</v>
      </c>
      <c r="O79" s="18" t="n">
        <v>0</v>
      </c>
      <c r="P79" s="20" t="n">
        <v>0</v>
      </c>
      <c r="Q79" s="18" t="n">
        <v>4.2483111</v>
      </c>
      <c r="R79" s="20" t="n">
        <v>0.8542412</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(28328.0/B82*100)</f>
        <v/>
      </c>
      <c r="D82" s="19" t="n">
        <v>4002</v>
      </c>
      <c r="E82" s="18" t="n">
        <v>41.42588407</v>
      </c>
      <c r="F82" s="20" t="n">
        <v>0.9579408</v>
      </c>
      <c r="G82" s="18" t="n">
        <v>56.16320655</v>
      </c>
      <c r="H82" s="20" t="n">
        <v>1.01970979</v>
      </c>
      <c r="I82" s="18" t="n">
        <v>0</v>
      </c>
      <c r="J82" s="20" t="n">
        <v>0</v>
      </c>
      <c r="K82" s="18" t="n">
        <v>0.04674077</v>
      </c>
      <c r="L82" s="20" t="n">
        <v>0.03021787</v>
      </c>
      <c r="M82" s="18" t="n">
        <v>0.04497831</v>
      </c>
      <c r="N82" s="20" t="n">
        <v>0.02350763</v>
      </c>
      <c r="O82" s="18" t="n">
        <v>0</v>
      </c>
      <c r="P82" s="20" t="n">
        <v>0</v>
      </c>
      <c r="Q82" s="18" t="n">
        <v>2.3191903</v>
      </c>
      <c r="R82" s="20" t="n">
        <v>0.3672812</v>
      </c>
    </row>
    <row r="83" spans="1:18">
      <c r="A83" s="15" t="s">
        <v>507</v>
      </c>
      <c r="B83" s="17" t="n">
        <v>1652</v>
      </c>
      <c r="C83" s="18">
        <f>(1462.0/B83*100)</f>
        <v/>
      </c>
      <c r="D83" s="19" t="n">
        <v>190</v>
      </c>
      <c r="E83" s="18" t="n">
        <v>51.31775192</v>
      </c>
      <c r="F83" s="20" t="n">
        <v>3.2619172</v>
      </c>
      <c r="G83" s="18" t="n">
        <v>48.68224808</v>
      </c>
      <c r="H83" s="20" t="n">
        <v>3.2619172</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(1662.0/B84*100)</f>
        <v/>
      </c>
      <c r="D84" s="19" t="n">
        <v>225</v>
      </c>
      <c r="E84" s="18" t="n">
        <v>57.31753513</v>
      </c>
      <c r="F84" s="20" t="n">
        <v>3.615833</v>
      </c>
      <c r="G84" s="18" t="n">
        <v>42.68246487</v>
      </c>
      <c r="H84" s="20" t="n">
        <v>3.615833</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(12755.0/B7*100)</f>
        <v/>
      </c>
      <c r="D7" s="19" t="n">
        <v>1775</v>
      </c>
      <c r="E7" s="18" t="n">
        <v>20.91170258</v>
      </c>
      <c r="F7" s="20" t="n">
        <v>1.2667512</v>
      </c>
      <c r="G7" s="18" t="n">
        <v>76.99775373</v>
      </c>
      <c r="H7" s="20" t="n">
        <v>1.3130736</v>
      </c>
      <c r="I7" s="18" t="n">
        <v>0</v>
      </c>
      <c r="J7" s="20" t="n">
        <v>0</v>
      </c>
      <c r="K7" s="18" t="n">
        <v>0.4114485</v>
      </c>
      <c r="L7" s="20" t="n">
        <v>0.17934581</v>
      </c>
      <c r="M7" s="18" t="n">
        <v>0.12589255</v>
      </c>
      <c r="N7" s="20" t="n">
        <v>0.10247147</v>
      </c>
      <c r="O7" s="18" t="n">
        <v>0</v>
      </c>
      <c r="P7" s="20" t="n">
        <v>0</v>
      </c>
      <c r="Q7" s="18" t="n">
        <v>1.55320266</v>
      </c>
      <c r="R7" s="20" t="n">
        <v>0.28393278</v>
      </c>
    </row>
    <row r="8" spans="1:18">
      <c r="A8" s="15" t="s">
        <v>430</v>
      </c>
      <c r="B8" s="17" t="n">
        <v>7007</v>
      </c>
      <c r="C8" s="18">
        <f>(6151.0/B8*100)</f>
        <v/>
      </c>
      <c r="D8" s="19" t="n">
        <v>856</v>
      </c>
      <c r="E8" s="18" t="n">
        <v>25.83534473</v>
      </c>
      <c r="F8" s="20" t="n">
        <v>1.70651811</v>
      </c>
      <c r="G8" s="18" t="n">
        <v>72.57313404</v>
      </c>
      <c r="H8" s="20" t="n">
        <v>1.83096121</v>
      </c>
      <c r="I8" s="18" t="n">
        <v>0</v>
      </c>
      <c r="J8" s="20" t="n">
        <v>0</v>
      </c>
      <c r="K8" s="18" t="n">
        <v>0</v>
      </c>
      <c r="L8" s="20" t="n">
        <v>0</v>
      </c>
      <c r="M8" s="18" t="n">
        <v>0</v>
      </c>
      <c r="N8" s="20" t="n">
        <v>0</v>
      </c>
      <c r="O8" s="18" t="n">
        <v>0</v>
      </c>
      <c r="P8" s="20" t="n">
        <v>0</v>
      </c>
      <c r="Q8" s="18" t="n">
        <v>1.59152123</v>
      </c>
      <c r="R8" s="20" t="n">
        <v>0.50994567</v>
      </c>
    </row>
    <row r="9" spans="1:18">
      <c r="A9" s="15" t="s">
        <v>431</v>
      </c>
      <c r="B9" s="17" t="n">
        <v>9651</v>
      </c>
      <c r="C9" s="18">
        <f>(8501.0/B9*100)</f>
        <v/>
      </c>
      <c r="D9" s="19" t="n">
        <v>1150</v>
      </c>
      <c r="E9" s="18" t="n">
        <v>18.44067274</v>
      </c>
      <c r="F9" s="20" t="n">
        <v>1.27985246</v>
      </c>
      <c r="G9" s="18" t="n">
        <v>78.74155383999999</v>
      </c>
      <c r="H9" s="20" t="n">
        <v>1.32140067</v>
      </c>
      <c r="I9" s="18" t="n">
        <v>0</v>
      </c>
      <c r="J9" s="20" t="n">
        <v>0</v>
      </c>
      <c r="K9" s="18" t="n">
        <v>0</v>
      </c>
      <c r="L9" s="20" t="n">
        <v>0</v>
      </c>
      <c r="M9" s="18" t="n">
        <v>0.06276545</v>
      </c>
      <c r="N9" s="20" t="n">
        <v>0.06412988999999999</v>
      </c>
      <c r="O9" s="18" t="n">
        <v>0</v>
      </c>
      <c r="P9" s="20" t="n">
        <v>0</v>
      </c>
      <c r="Q9" s="18" t="n">
        <v>2.75500797</v>
      </c>
      <c r="R9" s="20" t="n">
        <v>0.57799316</v>
      </c>
    </row>
    <row r="10" spans="1:18">
      <c r="A10" s="15" t="s">
        <v>432</v>
      </c>
      <c r="B10" s="17" t="n">
        <v>20058</v>
      </c>
      <c r="C10" s="18">
        <f>(17602.0/B10*100)</f>
        <v/>
      </c>
      <c r="D10" s="19" t="n">
        <v>2456</v>
      </c>
      <c r="E10" s="18" t="n">
        <v>21.14078743</v>
      </c>
      <c r="F10" s="20" t="n">
        <v>0.94517842</v>
      </c>
      <c r="G10" s="18" t="n">
        <v>77.91707005000001</v>
      </c>
      <c r="H10" s="20" t="n">
        <v>0.95365899</v>
      </c>
      <c r="I10" s="18" t="n">
        <v>0</v>
      </c>
      <c r="J10" s="20" t="n">
        <v>0</v>
      </c>
      <c r="K10" s="18" t="n">
        <v>0.21426124</v>
      </c>
      <c r="L10" s="20" t="n">
        <v>0.14280269</v>
      </c>
      <c r="M10" s="18" t="n">
        <v>0.00962002</v>
      </c>
      <c r="N10" s="20" t="n">
        <v>0.00969749</v>
      </c>
      <c r="O10" s="18" t="n">
        <v>0</v>
      </c>
      <c r="P10" s="20" t="n">
        <v>0</v>
      </c>
      <c r="Q10" s="18" t="n">
        <v>0.71826126</v>
      </c>
      <c r="R10" s="20" t="n">
        <v>0.25439554</v>
      </c>
    </row>
    <row r="11" spans="1:18">
      <c r="A11" s="15" t="s">
        <v>433</v>
      </c>
      <c r="B11" s="17" t="n">
        <v>7053</v>
      </c>
      <c r="C11" s="18">
        <f>(6206.0/B11*100)</f>
        <v/>
      </c>
      <c r="D11" s="19" t="n">
        <v>847</v>
      </c>
      <c r="E11" s="18" t="n">
        <v>25.25883781</v>
      </c>
      <c r="F11" s="20" t="n">
        <v>1.71021369</v>
      </c>
      <c r="G11" s="18" t="n">
        <v>70.54731785</v>
      </c>
      <c r="H11" s="20" t="n">
        <v>1.8402626</v>
      </c>
      <c r="I11" s="18" t="n">
        <v>0</v>
      </c>
      <c r="J11" s="20" t="n">
        <v>0</v>
      </c>
      <c r="K11" s="18" t="n">
        <v>0.1571928</v>
      </c>
      <c r="L11" s="20" t="n">
        <v>0.15752511</v>
      </c>
      <c r="M11" s="18" t="n">
        <v>0.11435572</v>
      </c>
      <c r="N11" s="20" t="n">
        <v>0.10387916</v>
      </c>
      <c r="O11" s="18" t="n">
        <v>0</v>
      </c>
      <c r="P11" s="20" t="n">
        <v>0</v>
      </c>
      <c r="Q11" s="18" t="n">
        <v>3.92229582</v>
      </c>
      <c r="R11" s="20" t="n">
        <v>0.8268551200000001</v>
      </c>
    </row>
    <row r="12" spans="1:18">
      <c r="A12" s="15" t="s">
        <v>434</v>
      </c>
      <c r="B12" s="17" t="n">
        <v>6894</v>
      </c>
      <c r="C12" s="18">
        <f>(6048.0/B12*100)</f>
        <v/>
      </c>
      <c r="D12" s="19" t="n">
        <v>846</v>
      </c>
      <c r="E12" s="18" t="n">
        <v>21.87803824</v>
      </c>
      <c r="F12" s="20" t="n">
        <v>1.61849156</v>
      </c>
      <c r="G12" s="18" t="n">
        <v>75.37672959</v>
      </c>
      <c r="H12" s="20" t="n">
        <v>1.6446534</v>
      </c>
      <c r="I12" s="18" t="n">
        <v>0</v>
      </c>
      <c r="J12" s="20" t="n">
        <v>0</v>
      </c>
      <c r="K12" s="18" t="n">
        <v>0</v>
      </c>
      <c r="L12" s="20" t="n">
        <v>0</v>
      </c>
      <c r="M12" s="18" t="n">
        <v>0</v>
      </c>
      <c r="N12" s="20" t="n">
        <v>0</v>
      </c>
      <c r="O12" s="18" t="n">
        <v>0</v>
      </c>
      <c r="P12" s="20" t="n">
        <v>0</v>
      </c>
      <c r="Q12" s="18" t="n">
        <v>2.74523218</v>
      </c>
      <c r="R12" s="20" t="n">
        <v>0.63926571</v>
      </c>
    </row>
    <row r="13" spans="1:18">
      <c r="A13" s="15" t="s">
        <v>435</v>
      </c>
      <c r="B13" s="17" t="n">
        <v>7161</v>
      </c>
      <c r="C13" s="18">
        <f>(6311.0/B13*100)</f>
        <v/>
      </c>
      <c r="D13" s="19" t="n">
        <v>850</v>
      </c>
      <c r="E13" s="18" t="n">
        <v>27.31063608</v>
      </c>
      <c r="F13" s="20" t="n">
        <v>1.78065606</v>
      </c>
      <c r="G13" s="18" t="n">
        <v>71.34601727</v>
      </c>
      <c r="H13" s="20" t="n">
        <v>1.81610401</v>
      </c>
      <c r="I13" s="18" t="n">
        <v>0</v>
      </c>
      <c r="J13" s="20" t="n">
        <v>0</v>
      </c>
      <c r="K13" s="18" t="n">
        <v>0.12927759</v>
      </c>
      <c r="L13" s="20" t="n">
        <v>0.13326479</v>
      </c>
      <c r="M13" s="18" t="n">
        <v>0.03564211</v>
      </c>
      <c r="N13" s="20" t="n">
        <v>0.03584571</v>
      </c>
      <c r="O13" s="18" t="n">
        <v>0</v>
      </c>
      <c r="P13" s="20" t="n">
        <v>0</v>
      </c>
      <c r="Q13" s="18" t="n">
        <v>1.17842695</v>
      </c>
      <c r="R13" s="20" t="n">
        <v>0.3622539</v>
      </c>
    </row>
    <row r="14" spans="1:18">
      <c r="A14" s="15" t="s">
        <v>436</v>
      </c>
      <c r="B14" s="17" t="n">
        <v>5587</v>
      </c>
      <c r="C14" s="18">
        <f>(4889.0/B14*100)</f>
        <v/>
      </c>
      <c r="D14" s="19" t="n">
        <v>698</v>
      </c>
      <c r="E14" s="18" t="n">
        <v>26.69444037</v>
      </c>
      <c r="F14" s="20" t="n">
        <v>1.94188317</v>
      </c>
      <c r="G14" s="18" t="n">
        <v>72.97464798</v>
      </c>
      <c r="H14" s="20" t="n">
        <v>1.96935239</v>
      </c>
      <c r="I14" s="18" t="n">
        <v>0</v>
      </c>
      <c r="J14" s="20" t="n">
        <v>0</v>
      </c>
      <c r="K14" s="18" t="n">
        <v>0.1318801</v>
      </c>
      <c r="L14" s="20" t="n">
        <v>0.13705767</v>
      </c>
      <c r="M14" s="18" t="n">
        <v>0</v>
      </c>
      <c r="N14" s="20" t="n">
        <v>0</v>
      </c>
      <c r="O14" s="18" t="n">
        <v>0</v>
      </c>
      <c r="P14" s="20" t="n">
        <v>0</v>
      </c>
      <c r="Q14" s="18" t="n">
        <v>0.19903155</v>
      </c>
      <c r="R14" s="20" t="n">
        <v>0.20125617</v>
      </c>
    </row>
    <row r="15" spans="1:18">
      <c r="A15" s="15" t="s">
        <v>437</v>
      </c>
      <c r="B15" s="17" t="n">
        <v>5882</v>
      </c>
      <c r="C15" s="18">
        <f>(5155.0/B15*100)</f>
        <v/>
      </c>
      <c r="D15" s="19" t="n">
        <v>727</v>
      </c>
      <c r="E15" s="18" t="n">
        <v>25.50200981</v>
      </c>
      <c r="F15" s="20" t="n">
        <v>1.59651872</v>
      </c>
      <c r="G15" s="18" t="n">
        <v>72.89641517</v>
      </c>
      <c r="H15" s="20" t="n">
        <v>1.6300947</v>
      </c>
      <c r="I15" s="18" t="n">
        <v>0</v>
      </c>
      <c r="J15" s="20" t="n">
        <v>0</v>
      </c>
      <c r="K15" s="18" t="n">
        <v>0</v>
      </c>
      <c r="L15" s="20" t="n">
        <v>0</v>
      </c>
      <c r="M15" s="18" t="n">
        <v>0</v>
      </c>
      <c r="N15" s="20" t="n">
        <v>0</v>
      </c>
      <c r="O15" s="18" t="n">
        <v>0</v>
      </c>
      <c r="P15" s="20" t="n">
        <v>0</v>
      </c>
      <c r="Q15" s="18" t="n">
        <v>1.60157502</v>
      </c>
      <c r="R15" s="20" t="n">
        <v>0.43187704</v>
      </c>
    </row>
    <row r="16" spans="1:18">
      <c r="A16" s="15" t="s">
        <v>438</v>
      </c>
      <c r="B16" s="17" t="n">
        <v>6108</v>
      </c>
      <c r="C16" s="18">
        <f>(5366.0/B16*100)</f>
        <v/>
      </c>
      <c r="D16" s="19" t="n">
        <v>742</v>
      </c>
      <c r="E16" s="18" t="n">
        <v>22.33333868</v>
      </c>
      <c r="F16" s="20" t="n">
        <v>1.40466792</v>
      </c>
      <c r="G16" s="18" t="n">
        <v>75.17708881999999</v>
      </c>
      <c r="H16" s="20" t="n">
        <v>1.45760526</v>
      </c>
      <c r="I16" s="18" t="n">
        <v>0</v>
      </c>
      <c r="J16" s="20" t="n">
        <v>0</v>
      </c>
      <c r="K16" s="18" t="n">
        <v>0.27746944</v>
      </c>
      <c r="L16" s="20" t="n">
        <v>0.24199696</v>
      </c>
      <c r="M16" s="18" t="n">
        <v>0</v>
      </c>
      <c r="N16" s="20" t="n">
        <v>0</v>
      </c>
      <c r="O16" s="18" t="n">
        <v>0</v>
      </c>
      <c r="P16" s="20" t="n">
        <v>0</v>
      </c>
      <c r="Q16" s="18" t="n">
        <v>2.21210306</v>
      </c>
      <c r="R16" s="20" t="n">
        <v>0.40642039</v>
      </c>
    </row>
    <row r="17" spans="1:18">
      <c r="A17" s="15" t="s">
        <v>439</v>
      </c>
      <c r="B17" s="17" t="n">
        <v>6504</v>
      </c>
      <c r="C17" s="18">
        <f>(5710.0/B17*100)</f>
        <v/>
      </c>
      <c r="D17" s="19" t="n">
        <v>794</v>
      </c>
      <c r="E17" s="18" t="n">
        <v>24.13233513</v>
      </c>
      <c r="F17" s="20" t="n">
        <v>1.58405021</v>
      </c>
      <c r="G17" s="18" t="n">
        <v>74.17061150000001</v>
      </c>
      <c r="H17" s="20" t="n">
        <v>1.56952967</v>
      </c>
      <c r="I17" s="18" t="n">
        <v>0</v>
      </c>
      <c r="J17" s="20" t="n">
        <v>0</v>
      </c>
      <c r="K17" s="18" t="n">
        <v>0.34185717</v>
      </c>
      <c r="L17" s="20" t="n">
        <v>0.19917644</v>
      </c>
      <c r="M17" s="18" t="n">
        <v>0</v>
      </c>
      <c r="N17" s="20" t="n">
        <v>0</v>
      </c>
      <c r="O17" s="18" t="n">
        <v>0</v>
      </c>
      <c r="P17" s="20" t="n">
        <v>0</v>
      </c>
      <c r="Q17" s="18" t="n">
        <v>1.3551962</v>
      </c>
      <c r="R17" s="20" t="n">
        <v>0.42305974</v>
      </c>
    </row>
    <row r="18" spans="1:18">
      <c r="A18" s="15" t="s">
        <v>440</v>
      </c>
      <c r="B18" s="17" t="n">
        <v>5532</v>
      </c>
      <c r="C18" s="18">
        <f>(4847.0/B18*100)</f>
        <v/>
      </c>
      <c r="D18" s="19" t="n">
        <v>685</v>
      </c>
      <c r="E18" s="18" t="n">
        <v>22.44216472</v>
      </c>
      <c r="F18" s="20" t="n">
        <v>1.74726299</v>
      </c>
      <c r="G18" s="18" t="n">
        <v>74.6787973</v>
      </c>
      <c r="H18" s="20" t="n">
        <v>1.8107024</v>
      </c>
      <c r="I18" s="18" t="n">
        <v>0</v>
      </c>
      <c r="J18" s="20" t="n">
        <v>0</v>
      </c>
      <c r="K18" s="18" t="n">
        <v>0.1424891</v>
      </c>
      <c r="L18" s="20" t="n">
        <v>0.13565763</v>
      </c>
      <c r="M18" s="18" t="n">
        <v>0</v>
      </c>
      <c r="N18" s="20" t="n">
        <v>0</v>
      </c>
      <c r="O18" s="18" t="n">
        <v>0</v>
      </c>
      <c r="P18" s="20" t="n">
        <v>0</v>
      </c>
      <c r="Q18" s="18" t="n">
        <v>2.73654888</v>
      </c>
      <c r="R18" s="20" t="n">
        <v>0.7886566</v>
      </c>
    </row>
    <row r="19" spans="1:18">
      <c r="A19" s="15" t="s">
        <v>441</v>
      </c>
      <c r="B19" s="17" t="n">
        <v>5658</v>
      </c>
      <c r="C19" s="18">
        <f>(4944.0/B19*100)</f>
        <v/>
      </c>
      <c r="D19" s="19" t="n">
        <v>714</v>
      </c>
      <c r="E19" s="18" t="n">
        <v>23.40764334</v>
      </c>
      <c r="F19" s="20" t="n">
        <v>1.79299578</v>
      </c>
      <c r="G19" s="18" t="n">
        <v>74.2294768</v>
      </c>
      <c r="H19" s="20" t="n">
        <v>1.67023521</v>
      </c>
      <c r="I19" s="18" t="n">
        <v>0</v>
      </c>
      <c r="J19" s="20" t="n">
        <v>0</v>
      </c>
      <c r="K19" s="18" t="n">
        <v>0</v>
      </c>
      <c r="L19" s="20" t="n">
        <v>0</v>
      </c>
      <c r="M19" s="18" t="n">
        <v>0</v>
      </c>
      <c r="N19" s="20" t="n">
        <v>0</v>
      </c>
      <c r="O19" s="18" t="n">
        <v>0</v>
      </c>
      <c r="P19" s="20" t="n">
        <v>0</v>
      </c>
      <c r="Q19" s="18" t="n">
        <v>2.36287986</v>
      </c>
      <c r="R19" s="20" t="n">
        <v>0.6278626899999999</v>
      </c>
    </row>
    <row r="20" spans="1:18">
      <c r="A20" s="15" t="s">
        <v>442</v>
      </c>
      <c r="B20" s="17" t="n">
        <v>3371</v>
      </c>
      <c r="C20" s="18">
        <f>(2960.0/B20*100)</f>
        <v/>
      </c>
      <c r="D20" s="19" t="n">
        <v>411</v>
      </c>
      <c r="E20" s="18" t="n">
        <v>25.48431011</v>
      </c>
      <c r="F20" s="20" t="n">
        <v>2.08078551</v>
      </c>
      <c r="G20" s="18" t="n">
        <v>72.21967105</v>
      </c>
      <c r="H20" s="20" t="n">
        <v>2.16079934</v>
      </c>
      <c r="I20" s="18" t="n">
        <v>0</v>
      </c>
      <c r="J20" s="20" t="n">
        <v>0</v>
      </c>
      <c r="K20" s="18" t="n">
        <v>0.44692479</v>
      </c>
      <c r="L20" s="20" t="n">
        <v>0.31560707</v>
      </c>
      <c r="M20" s="18" t="n">
        <v>0.37399793</v>
      </c>
      <c r="N20" s="20" t="n">
        <v>0.35886727</v>
      </c>
      <c r="O20" s="18" t="n">
        <v>0</v>
      </c>
      <c r="P20" s="20" t="n">
        <v>0</v>
      </c>
      <c r="Q20" s="18" t="n">
        <v>1.47509612</v>
      </c>
      <c r="R20" s="20" t="n">
        <v>0.59136489</v>
      </c>
    </row>
    <row r="21" spans="1:18">
      <c r="A21" s="15" t="s">
        <v>443</v>
      </c>
      <c r="B21" s="17" t="n">
        <v>5741</v>
      </c>
      <c r="C21" s="18">
        <f>(4790.0/B21*100)</f>
        <v/>
      </c>
      <c r="D21" s="19" t="n">
        <v>951</v>
      </c>
      <c r="E21" s="18" t="n">
        <v>22.0044011</v>
      </c>
      <c r="F21" s="20" t="n">
        <v>1.53267643</v>
      </c>
      <c r="G21" s="18" t="n">
        <v>76.69794091999999</v>
      </c>
      <c r="H21" s="20" t="n">
        <v>1.50630062</v>
      </c>
      <c r="I21" s="18" t="n">
        <v>0</v>
      </c>
      <c r="J21" s="20" t="n">
        <v>0</v>
      </c>
      <c r="K21" s="18" t="n">
        <v>0.08779974</v>
      </c>
      <c r="L21" s="20" t="n">
        <v>0.06205631</v>
      </c>
      <c r="M21" s="18" t="n">
        <v>0</v>
      </c>
      <c r="N21" s="20" t="n">
        <v>0</v>
      </c>
      <c r="O21" s="18" t="n">
        <v>0</v>
      </c>
      <c r="P21" s="20" t="n">
        <v>0</v>
      </c>
      <c r="Q21" s="18" t="n">
        <v>1.20985824</v>
      </c>
      <c r="R21" s="20" t="n">
        <v>0.36707185</v>
      </c>
    </row>
    <row r="22" spans="1:18">
      <c r="A22" s="15" t="s">
        <v>444</v>
      </c>
      <c r="B22" s="17" t="n">
        <v>6598</v>
      </c>
      <c r="C22" s="18">
        <f>(5781.0/B22*100)</f>
        <v/>
      </c>
      <c r="D22" s="19" t="n">
        <v>817</v>
      </c>
      <c r="E22" s="18" t="n">
        <v>23.7465725</v>
      </c>
      <c r="F22" s="20" t="n">
        <v>1.55471694</v>
      </c>
      <c r="G22" s="18" t="n">
        <v>72.67373253</v>
      </c>
      <c r="H22" s="20" t="n">
        <v>1.55844727</v>
      </c>
      <c r="I22" s="18" t="n">
        <v>0</v>
      </c>
      <c r="J22" s="20" t="n">
        <v>0</v>
      </c>
      <c r="K22" s="18" t="n">
        <v>0.2142792</v>
      </c>
      <c r="L22" s="20" t="n">
        <v>0.1510845</v>
      </c>
      <c r="M22" s="18" t="n">
        <v>0</v>
      </c>
      <c r="N22" s="20" t="n">
        <v>0</v>
      </c>
      <c r="O22" s="18" t="n">
        <v>0</v>
      </c>
      <c r="P22" s="20" t="n">
        <v>0</v>
      </c>
      <c r="Q22" s="18" t="n">
        <v>3.36541577</v>
      </c>
      <c r="R22" s="20" t="n">
        <v>0.65971857</v>
      </c>
    </row>
    <row r="23" spans="1:18">
      <c r="A23" s="15" t="s">
        <v>445</v>
      </c>
      <c r="B23" s="17" t="n">
        <v>11583</v>
      </c>
      <c r="C23" s="18">
        <f>(10139.0/B23*100)</f>
        <v/>
      </c>
      <c r="D23" s="19" t="n">
        <v>1444</v>
      </c>
      <c r="E23" s="18" t="n">
        <v>25.30495322</v>
      </c>
      <c r="F23" s="20" t="n">
        <v>1.71951708</v>
      </c>
      <c r="G23" s="18" t="n">
        <v>70.88216772</v>
      </c>
      <c r="H23" s="20" t="n">
        <v>1.7895619</v>
      </c>
      <c r="I23" s="18" t="n">
        <v>0</v>
      </c>
      <c r="J23" s="20" t="n">
        <v>0</v>
      </c>
      <c r="K23" s="18" t="n">
        <v>0.1746987</v>
      </c>
      <c r="L23" s="20" t="n">
        <v>0.19712153</v>
      </c>
      <c r="M23" s="18" t="n">
        <v>0.53038792</v>
      </c>
      <c r="N23" s="20" t="n">
        <v>0.20531647</v>
      </c>
      <c r="O23" s="18" t="n">
        <v>0</v>
      </c>
      <c r="P23" s="20" t="n">
        <v>0</v>
      </c>
      <c r="Q23" s="18" t="n">
        <v>3.10779244</v>
      </c>
      <c r="R23" s="20" t="n">
        <v>0.84944151</v>
      </c>
    </row>
    <row r="24" spans="1:18">
      <c r="A24" s="15" t="s">
        <v>446</v>
      </c>
      <c r="B24" s="17" t="n">
        <v>6647</v>
      </c>
      <c r="C24" s="18">
        <f>(5834.0/B24*100)</f>
        <v/>
      </c>
      <c r="D24" s="19" t="n">
        <v>813</v>
      </c>
      <c r="E24" s="18" t="n">
        <v>15.8579585</v>
      </c>
      <c r="F24" s="20" t="n">
        <v>1.37406646</v>
      </c>
      <c r="G24" s="18" t="n">
        <v>82.98655599999999</v>
      </c>
      <c r="H24" s="20" t="n">
        <v>1.41648762</v>
      </c>
      <c r="I24" s="18" t="n">
        <v>0</v>
      </c>
      <c r="J24" s="20" t="n">
        <v>0</v>
      </c>
      <c r="K24" s="18" t="n">
        <v>0.10897952</v>
      </c>
      <c r="L24" s="20" t="n">
        <v>0.10869228</v>
      </c>
      <c r="M24" s="18" t="n">
        <v>0</v>
      </c>
      <c r="N24" s="20" t="n">
        <v>0</v>
      </c>
      <c r="O24" s="18" t="n">
        <v>0</v>
      </c>
      <c r="P24" s="20" t="n">
        <v>0</v>
      </c>
      <c r="Q24" s="18" t="n">
        <v>1.04650598</v>
      </c>
      <c r="R24" s="20" t="n">
        <v>0.30648826</v>
      </c>
    </row>
    <row r="25" spans="1:18">
      <c r="A25" s="15" t="s">
        <v>447</v>
      </c>
      <c r="B25" s="17" t="n">
        <v>5581</v>
      </c>
      <c r="C25" s="18">
        <f>(4907.0/B25*100)</f>
        <v/>
      </c>
      <c r="D25" s="19" t="n">
        <v>674</v>
      </c>
      <c r="E25" s="18" t="n">
        <v>21.31815381</v>
      </c>
      <c r="F25" s="20" t="n">
        <v>1.64591109</v>
      </c>
      <c r="G25" s="18" t="n">
        <v>77.37666489</v>
      </c>
      <c r="H25" s="20" t="n">
        <v>1.73744595</v>
      </c>
      <c r="I25" s="18" t="n">
        <v>0</v>
      </c>
      <c r="J25" s="20" t="n">
        <v>0</v>
      </c>
      <c r="K25" s="18" t="n">
        <v>0</v>
      </c>
      <c r="L25" s="20" t="n">
        <v>0</v>
      </c>
      <c r="M25" s="18" t="n">
        <v>0</v>
      </c>
      <c r="N25" s="20" t="n">
        <v>0</v>
      </c>
      <c r="O25" s="18" t="n">
        <v>0</v>
      </c>
      <c r="P25" s="20" t="n">
        <v>0</v>
      </c>
      <c r="Q25" s="18" t="n">
        <v>1.3051813</v>
      </c>
      <c r="R25" s="20" t="n">
        <v>0.44355904</v>
      </c>
    </row>
    <row r="26" spans="1:18">
      <c r="A26" s="15" t="s">
        <v>448</v>
      </c>
      <c r="B26" s="17" t="n">
        <v>4869</v>
      </c>
      <c r="C26" s="18">
        <f>(4272.0/B26*100)</f>
        <v/>
      </c>
      <c r="D26" s="19" t="n">
        <v>597</v>
      </c>
      <c r="E26" s="18" t="n">
        <v>27.86591608</v>
      </c>
      <c r="F26" s="20" t="n">
        <v>1.9564741</v>
      </c>
      <c r="G26" s="18" t="n">
        <v>71.3639182</v>
      </c>
      <c r="H26" s="20" t="n">
        <v>1.92226631</v>
      </c>
      <c r="I26" s="18" t="n">
        <v>0</v>
      </c>
      <c r="J26" s="20" t="n">
        <v>0</v>
      </c>
      <c r="K26" s="18" t="n">
        <v>0</v>
      </c>
      <c r="L26" s="20" t="n">
        <v>0</v>
      </c>
      <c r="M26" s="18" t="n">
        <v>0.49404485</v>
      </c>
      <c r="N26" s="20" t="n">
        <v>0.37277021</v>
      </c>
      <c r="O26" s="18" t="n">
        <v>0</v>
      </c>
      <c r="P26" s="20" t="n">
        <v>0</v>
      </c>
      <c r="Q26" s="18" t="n">
        <v>0.27612087</v>
      </c>
      <c r="R26" s="20" t="n">
        <v>0.19822187</v>
      </c>
    </row>
    <row r="27" spans="1:18">
      <c r="A27" s="15" t="s">
        <v>449</v>
      </c>
      <c r="B27" s="17" t="n">
        <v>5299</v>
      </c>
      <c r="C27" s="18">
        <f>(4658.0/B27*100)</f>
        <v/>
      </c>
      <c r="D27" s="19" t="n">
        <v>641</v>
      </c>
      <c r="E27" s="18" t="n">
        <v>26.61451904</v>
      </c>
      <c r="F27" s="20" t="n">
        <v>1.74219444</v>
      </c>
      <c r="G27" s="18" t="n">
        <v>70.73009229</v>
      </c>
      <c r="H27" s="20" t="n">
        <v>1.76474275</v>
      </c>
      <c r="I27" s="18" t="n">
        <v>0</v>
      </c>
      <c r="J27" s="20" t="n">
        <v>0</v>
      </c>
      <c r="K27" s="18" t="n">
        <v>0</v>
      </c>
      <c r="L27" s="20" t="n">
        <v>0</v>
      </c>
      <c r="M27" s="18" t="n">
        <v>0</v>
      </c>
      <c r="N27" s="20" t="n">
        <v>0</v>
      </c>
      <c r="O27" s="18" t="n">
        <v>0</v>
      </c>
      <c r="P27" s="20" t="n">
        <v>0</v>
      </c>
      <c r="Q27" s="18" t="n">
        <v>2.65538867</v>
      </c>
      <c r="R27" s="20" t="n">
        <v>0.5924306499999999</v>
      </c>
    </row>
    <row r="28" spans="1:18">
      <c r="A28" s="15" t="s">
        <v>450</v>
      </c>
      <c r="B28" s="17" t="n">
        <v>7568</v>
      </c>
      <c r="C28" s="18">
        <f>(6644.0/B28*100)</f>
        <v/>
      </c>
      <c r="D28" s="19" t="n">
        <v>924</v>
      </c>
      <c r="E28" s="18" t="n">
        <v>34.16928021</v>
      </c>
      <c r="F28" s="20" t="n">
        <v>1.63472083</v>
      </c>
      <c r="G28" s="18" t="n">
        <v>64.61121399</v>
      </c>
      <c r="H28" s="20" t="n">
        <v>1.66191834</v>
      </c>
      <c r="I28" s="18" t="n">
        <v>0</v>
      </c>
      <c r="J28" s="20" t="n">
        <v>0</v>
      </c>
      <c r="K28" s="18" t="n">
        <v>0.50696498</v>
      </c>
      <c r="L28" s="20" t="n">
        <v>0.29995493</v>
      </c>
      <c r="M28" s="18" t="n">
        <v>0</v>
      </c>
      <c r="N28" s="20" t="n">
        <v>0</v>
      </c>
      <c r="O28" s="18" t="n">
        <v>0</v>
      </c>
      <c r="P28" s="20" t="n">
        <v>0</v>
      </c>
      <c r="Q28" s="18" t="n">
        <v>0.71254082</v>
      </c>
      <c r="R28" s="20" t="n">
        <v>0.31021167</v>
      </c>
    </row>
    <row r="29" spans="1:18">
      <c r="A29" s="15" t="s">
        <v>451</v>
      </c>
      <c r="B29" s="17" t="n">
        <v>5385</v>
      </c>
      <c r="C29" s="18">
        <f>(4739.0/B29*100)</f>
        <v/>
      </c>
      <c r="D29" s="19" t="n">
        <v>646</v>
      </c>
      <c r="E29" s="18" t="n">
        <v>21.92706432</v>
      </c>
      <c r="F29" s="20" t="n">
        <v>1.63147342</v>
      </c>
      <c r="G29" s="18" t="n">
        <v>77.35403021</v>
      </c>
      <c r="H29" s="20" t="n">
        <v>1.66315401</v>
      </c>
      <c r="I29" s="18" t="n">
        <v>0</v>
      </c>
      <c r="J29" s="20" t="n">
        <v>0</v>
      </c>
      <c r="K29" s="18" t="n">
        <v>0.09153656</v>
      </c>
      <c r="L29" s="20" t="n">
        <v>0.09149077999999999</v>
      </c>
      <c r="M29" s="18" t="n">
        <v>0</v>
      </c>
      <c r="N29" s="20" t="n">
        <v>0</v>
      </c>
      <c r="O29" s="18" t="n">
        <v>0</v>
      </c>
      <c r="P29" s="20" t="n">
        <v>0</v>
      </c>
      <c r="Q29" s="18" t="n">
        <v>0.6273689099999999</v>
      </c>
      <c r="R29" s="20" t="n">
        <v>0.32931136</v>
      </c>
    </row>
    <row r="30" spans="1:18">
      <c r="A30" s="15" t="s">
        <v>452</v>
      </c>
      <c r="B30" s="17" t="n">
        <v>4520</v>
      </c>
      <c r="C30" s="18">
        <f>(3966.0/B30*100)</f>
        <v/>
      </c>
      <c r="D30" s="19" t="n">
        <v>554</v>
      </c>
      <c r="E30" s="18" t="n">
        <v>23.10329294</v>
      </c>
      <c r="F30" s="20" t="n">
        <v>1.83370218</v>
      </c>
      <c r="G30" s="18" t="n">
        <v>73.73985725</v>
      </c>
      <c r="H30" s="20" t="n">
        <v>1.72724984</v>
      </c>
      <c r="I30" s="18" t="n">
        <v>0</v>
      </c>
      <c r="J30" s="20" t="n">
        <v>0</v>
      </c>
      <c r="K30" s="18" t="n">
        <v>0.14374306</v>
      </c>
      <c r="L30" s="20" t="n">
        <v>0.14460084</v>
      </c>
      <c r="M30" s="18" t="n">
        <v>0.40669624</v>
      </c>
      <c r="N30" s="20" t="n">
        <v>0.29481187</v>
      </c>
      <c r="O30" s="18" t="n">
        <v>0</v>
      </c>
      <c r="P30" s="20" t="n">
        <v>0</v>
      </c>
      <c r="Q30" s="18" t="n">
        <v>2.6064105</v>
      </c>
      <c r="R30" s="20" t="n">
        <v>0.71393269</v>
      </c>
    </row>
    <row r="31" spans="1:18">
      <c r="A31" s="15" t="s">
        <v>453</v>
      </c>
      <c r="B31" s="17" t="n">
        <v>5456</v>
      </c>
      <c r="C31" s="18">
        <f>(4789.0/B31*100)</f>
        <v/>
      </c>
      <c r="D31" s="19" t="n">
        <v>667</v>
      </c>
      <c r="E31" s="18" t="n">
        <v>25.52793299</v>
      </c>
      <c r="F31" s="20" t="n">
        <v>1.74558718</v>
      </c>
      <c r="G31" s="18" t="n">
        <v>71.34065243000001</v>
      </c>
      <c r="H31" s="20" t="n">
        <v>1.90592584</v>
      </c>
      <c r="I31" s="18" t="n">
        <v>0</v>
      </c>
      <c r="J31" s="20" t="n">
        <v>0</v>
      </c>
      <c r="K31" s="18" t="n">
        <v>0.56997435</v>
      </c>
      <c r="L31" s="20" t="n">
        <v>0.2774823</v>
      </c>
      <c r="M31" s="18" t="n">
        <v>0</v>
      </c>
      <c r="N31" s="20" t="n">
        <v>0</v>
      </c>
      <c r="O31" s="18" t="n">
        <v>0</v>
      </c>
      <c r="P31" s="20" t="n">
        <v>0</v>
      </c>
      <c r="Q31" s="18" t="n">
        <v>2.56144023</v>
      </c>
      <c r="R31" s="20" t="n">
        <v>0.65931368</v>
      </c>
    </row>
    <row r="32" spans="1:18">
      <c r="A32" s="15" t="s">
        <v>454</v>
      </c>
      <c r="B32" s="17" t="n">
        <v>4478</v>
      </c>
      <c r="C32" s="18">
        <f>(3745.0/B32*100)</f>
        <v/>
      </c>
      <c r="D32" s="19" t="n">
        <v>733</v>
      </c>
      <c r="E32" s="18" t="n">
        <v>21.66710801</v>
      </c>
      <c r="F32" s="20" t="n">
        <v>1.6819221</v>
      </c>
      <c r="G32" s="18" t="n">
        <v>76.92529528</v>
      </c>
      <c r="H32" s="20" t="n">
        <v>1.73198396</v>
      </c>
      <c r="I32" s="18" t="n">
        <v>0</v>
      </c>
      <c r="J32" s="20" t="n">
        <v>0</v>
      </c>
      <c r="K32" s="18" t="n">
        <v>0</v>
      </c>
      <c r="L32" s="20" t="n">
        <v>0</v>
      </c>
      <c r="M32" s="18" t="n">
        <v>0</v>
      </c>
      <c r="N32" s="20" t="n">
        <v>0</v>
      </c>
      <c r="O32" s="18" t="n">
        <v>0</v>
      </c>
      <c r="P32" s="20" t="n">
        <v>0</v>
      </c>
      <c r="Q32" s="18" t="n">
        <v>1.40759671</v>
      </c>
      <c r="R32" s="20" t="n">
        <v>0.44181893</v>
      </c>
    </row>
    <row r="33" spans="1:18">
      <c r="A33" s="15" t="s">
        <v>455</v>
      </c>
      <c r="B33" s="17" t="n">
        <v>7325</v>
      </c>
      <c r="C33" s="18">
        <f>(6420.0/B33*100)</f>
        <v/>
      </c>
      <c r="D33" s="19" t="n">
        <v>905</v>
      </c>
      <c r="E33" s="18" t="n">
        <v>26.93263462</v>
      </c>
      <c r="F33" s="20" t="n">
        <v>1.68964643</v>
      </c>
      <c r="G33" s="18" t="n">
        <v>71.99958943</v>
      </c>
      <c r="H33" s="20" t="n">
        <v>1.68237236</v>
      </c>
      <c r="I33" s="18" t="n">
        <v>0</v>
      </c>
      <c r="J33" s="20" t="n">
        <v>0</v>
      </c>
      <c r="K33" s="18" t="n">
        <v>0.19776973</v>
      </c>
      <c r="L33" s="20" t="n">
        <v>0.16356423</v>
      </c>
      <c r="M33" s="18" t="n">
        <v>0.11965241</v>
      </c>
      <c r="N33" s="20" t="n">
        <v>0.08380542000000001</v>
      </c>
      <c r="O33" s="18" t="n">
        <v>0</v>
      </c>
      <c r="P33" s="20" t="n">
        <v>0</v>
      </c>
      <c r="Q33" s="18" t="n">
        <v>0.7503538</v>
      </c>
      <c r="R33" s="20" t="n">
        <v>0.31592465</v>
      </c>
    </row>
    <row r="34" spans="1:18">
      <c r="A34" s="15" t="s">
        <v>456</v>
      </c>
      <c r="B34" s="17" t="n">
        <v>6350</v>
      </c>
      <c r="C34" s="18">
        <f>(5598.0/B34*100)</f>
        <v/>
      </c>
      <c r="D34" s="19" t="n">
        <v>752</v>
      </c>
      <c r="E34" s="18" t="n">
        <v>31.15180204</v>
      </c>
      <c r="F34" s="20" t="n">
        <v>1.42026118</v>
      </c>
      <c r="G34" s="18" t="n">
        <v>66.37353118999999</v>
      </c>
      <c r="H34" s="20" t="n">
        <v>1.56329852</v>
      </c>
      <c r="I34" s="18" t="n">
        <v>0</v>
      </c>
      <c r="J34" s="20" t="n">
        <v>0</v>
      </c>
      <c r="K34" s="18" t="n">
        <v>0.20969056</v>
      </c>
      <c r="L34" s="20" t="n">
        <v>0.20882466</v>
      </c>
      <c r="M34" s="18" t="n">
        <v>0</v>
      </c>
      <c r="N34" s="20" t="n">
        <v>0</v>
      </c>
      <c r="O34" s="18" t="n">
        <v>0</v>
      </c>
      <c r="P34" s="20" t="n">
        <v>0</v>
      </c>
      <c r="Q34" s="18" t="n">
        <v>2.26497622</v>
      </c>
      <c r="R34" s="20" t="n">
        <v>0.57390671</v>
      </c>
    </row>
    <row r="35" spans="1:18">
      <c r="A35" s="15" t="s">
        <v>457</v>
      </c>
      <c r="B35" s="17" t="n">
        <v>6406</v>
      </c>
      <c r="C35" s="18">
        <f>(5633.0/B35*100)</f>
        <v/>
      </c>
      <c r="D35" s="19" t="n">
        <v>773</v>
      </c>
      <c r="E35" s="18" t="n">
        <v>21.44173938</v>
      </c>
      <c r="F35" s="20" t="n">
        <v>1.79445116</v>
      </c>
      <c r="G35" s="18" t="n">
        <v>77.30123487</v>
      </c>
      <c r="H35" s="20" t="n">
        <v>1.860464</v>
      </c>
      <c r="I35" s="18" t="n">
        <v>0</v>
      </c>
      <c r="J35" s="20" t="n">
        <v>0</v>
      </c>
      <c r="K35" s="18" t="n">
        <v>0</v>
      </c>
      <c r="L35" s="20" t="n">
        <v>0</v>
      </c>
      <c r="M35" s="18" t="n">
        <v>0.21964901</v>
      </c>
      <c r="N35" s="20" t="n">
        <v>0.21926221</v>
      </c>
      <c r="O35" s="18" t="n">
        <v>0</v>
      </c>
      <c r="P35" s="20" t="n">
        <v>0</v>
      </c>
      <c r="Q35" s="18" t="n">
        <v>1.03737674</v>
      </c>
      <c r="R35" s="20" t="n">
        <v>0.36157062</v>
      </c>
    </row>
    <row r="36" spans="1:18">
      <c r="A36" s="15" t="s">
        <v>458</v>
      </c>
      <c r="B36" s="17" t="n">
        <v>6736</v>
      </c>
      <c r="C36" s="18">
        <f>(5922.0/B36*100)</f>
        <v/>
      </c>
      <c r="D36" s="19" t="n">
        <v>814</v>
      </c>
      <c r="E36" s="18" t="n">
        <v>23.90244336</v>
      </c>
      <c r="F36" s="20" t="n">
        <v>1.69345921</v>
      </c>
      <c r="G36" s="18" t="n">
        <v>73.84447</v>
      </c>
      <c r="H36" s="20" t="n">
        <v>1.62562143</v>
      </c>
      <c r="I36" s="18" t="n">
        <v>0</v>
      </c>
      <c r="J36" s="20" t="n">
        <v>0</v>
      </c>
      <c r="K36" s="18" t="n">
        <v>0.1333771</v>
      </c>
      <c r="L36" s="20" t="n">
        <v>0.19668612</v>
      </c>
      <c r="M36" s="18" t="n">
        <v>0</v>
      </c>
      <c r="N36" s="20" t="n">
        <v>0</v>
      </c>
      <c r="O36" s="18" t="n">
        <v>0</v>
      </c>
      <c r="P36" s="20" t="n">
        <v>0</v>
      </c>
      <c r="Q36" s="18" t="n">
        <v>2.11970955</v>
      </c>
      <c r="R36" s="20" t="n">
        <v>0.59696538</v>
      </c>
    </row>
    <row r="37" spans="1:18">
      <c r="A37" s="15" t="s">
        <v>459</v>
      </c>
      <c r="B37" s="17" t="n">
        <v>5458</v>
      </c>
      <c r="C37" s="18">
        <f>(4763.0/B37*100)</f>
        <v/>
      </c>
      <c r="D37" s="19" t="n">
        <v>695</v>
      </c>
      <c r="E37" s="18" t="n">
        <v>23.02535682</v>
      </c>
      <c r="F37" s="20" t="n">
        <v>1.83028678</v>
      </c>
      <c r="G37" s="18" t="n">
        <v>73.01720989</v>
      </c>
      <c r="H37" s="20" t="n">
        <v>1.8536108</v>
      </c>
      <c r="I37" s="18" t="n">
        <v>0</v>
      </c>
      <c r="J37" s="20" t="n">
        <v>0</v>
      </c>
      <c r="K37" s="18" t="n">
        <v>0.27807893</v>
      </c>
      <c r="L37" s="20" t="n">
        <v>0.19791258</v>
      </c>
      <c r="M37" s="18" t="n">
        <v>0</v>
      </c>
      <c r="N37" s="20" t="n">
        <v>0</v>
      </c>
      <c r="O37" s="18" t="n">
        <v>0</v>
      </c>
      <c r="P37" s="20" t="n">
        <v>0</v>
      </c>
      <c r="Q37" s="18" t="n">
        <v>3.67935436</v>
      </c>
      <c r="R37" s="20" t="n">
        <v>0.63663178</v>
      </c>
    </row>
    <row r="38" spans="1:18">
      <c r="A38" s="15" t="s">
        <v>460</v>
      </c>
      <c r="B38" s="17" t="n">
        <v>5860</v>
      </c>
      <c r="C38" s="18">
        <f>(4895.0/B38*100)</f>
        <v/>
      </c>
      <c r="D38" s="19" t="n">
        <v>965</v>
      </c>
      <c r="E38" s="18" t="n">
        <v>24.31122083</v>
      </c>
      <c r="F38" s="20" t="n">
        <v>1.61328486</v>
      </c>
      <c r="G38" s="18" t="n">
        <v>73.54090994000001</v>
      </c>
      <c r="H38" s="20" t="n">
        <v>1.67894592</v>
      </c>
      <c r="I38" s="18" t="n">
        <v>0</v>
      </c>
      <c r="J38" s="20" t="n">
        <v>0</v>
      </c>
      <c r="K38" s="18" t="n">
        <v>0.32478695</v>
      </c>
      <c r="L38" s="20" t="n">
        <v>0.28541888</v>
      </c>
      <c r="M38" s="18" t="n">
        <v>0.35152299</v>
      </c>
      <c r="N38" s="20" t="n">
        <v>0.20663098</v>
      </c>
      <c r="O38" s="18" t="n">
        <v>0</v>
      </c>
      <c r="P38" s="20" t="n">
        <v>0</v>
      </c>
      <c r="Q38" s="18" t="n">
        <v>1.47155929</v>
      </c>
      <c r="R38" s="20" t="n">
        <v>0.5011071</v>
      </c>
    </row>
    <row r="39" spans="1:18">
      <c r="A39" s="15" t="s">
        <v>461</v>
      </c>
      <c r="B39" s="17" t="n">
        <v>5895</v>
      </c>
      <c r="C39" s="18">
        <f>(5176.0/B39*100)</f>
        <v/>
      </c>
      <c r="D39" s="19" t="n">
        <v>719</v>
      </c>
      <c r="E39" s="18" t="n">
        <v>25.37130954</v>
      </c>
      <c r="F39" s="20" t="n">
        <v>1.68689903</v>
      </c>
      <c r="G39" s="18" t="n">
        <v>72.13921207</v>
      </c>
      <c r="H39" s="20" t="n">
        <v>1.98987657</v>
      </c>
      <c r="I39" s="18" t="n">
        <v>0</v>
      </c>
      <c r="J39" s="20" t="n">
        <v>0</v>
      </c>
      <c r="K39" s="18" t="n">
        <v>0.1986762</v>
      </c>
      <c r="L39" s="20" t="n">
        <v>0.19822368</v>
      </c>
      <c r="M39" s="18" t="n">
        <v>0</v>
      </c>
      <c r="N39" s="20" t="n">
        <v>0</v>
      </c>
      <c r="O39" s="18" t="n">
        <v>0</v>
      </c>
      <c r="P39" s="20" t="n">
        <v>0</v>
      </c>
      <c r="Q39" s="18" t="n">
        <v>2.29080219</v>
      </c>
      <c r="R39" s="20" t="n">
        <v>0.70482079</v>
      </c>
    </row>
    <row r="40" spans="1:18">
      <c r="A40" s="15" t="s">
        <v>462</v>
      </c>
      <c r="B40" s="17" t="n">
        <v>14157</v>
      </c>
      <c r="C40" s="18">
        <f>(12441.0/B40*100)</f>
        <v/>
      </c>
      <c r="D40" s="19" t="n">
        <v>1716</v>
      </c>
      <c r="E40" s="18" t="n">
        <v>19.33715063</v>
      </c>
      <c r="F40" s="20" t="n">
        <v>1.4251092</v>
      </c>
      <c r="G40" s="18" t="n">
        <v>78.12968795</v>
      </c>
      <c r="H40" s="20" t="n">
        <v>1.50409873</v>
      </c>
      <c r="I40" s="18" t="n">
        <v>0</v>
      </c>
      <c r="J40" s="20" t="n">
        <v>0</v>
      </c>
      <c r="K40" s="18" t="n">
        <v>0.02495123</v>
      </c>
      <c r="L40" s="20" t="n">
        <v>0.01779199</v>
      </c>
      <c r="M40" s="18" t="n">
        <v>0.28075203</v>
      </c>
      <c r="N40" s="20" t="n">
        <v>0.22126744</v>
      </c>
      <c r="O40" s="18" t="n">
        <v>0</v>
      </c>
      <c r="P40" s="20" t="n">
        <v>0</v>
      </c>
      <c r="Q40" s="18" t="n">
        <v>2.22745816</v>
      </c>
      <c r="R40" s="20" t="n">
        <v>0.53082511</v>
      </c>
    </row>
    <row r="41" spans="1:18">
      <c r="A41" s="15" t="s">
        <v>463</v>
      </c>
      <c r="B41" s="17" t="n">
        <v>5712</v>
      </c>
      <c r="C41" s="18">
        <f>(5007.0/B41*100)</f>
        <v/>
      </c>
      <c r="D41" s="19" t="n">
        <v>705</v>
      </c>
      <c r="E41" s="18" t="n">
        <v>20.83550255</v>
      </c>
      <c r="F41" s="20" t="n">
        <v>1.64934848</v>
      </c>
      <c r="G41" s="18" t="n">
        <v>77.98087597</v>
      </c>
      <c r="H41" s="20" t="n">
        <v>1.57607101</v>
      </c>
      <c r="I41" s="18" t="n">
        <v>0</v>
      </c>
      <c r="J41" s="20" t="n">
        <v>0</v>
      </c>
      <c r="K41" s="18" t="n">
        <v>0</v>
      </c>
      <c r="L41" s="20" t="n">
        <v>0</v>
      </c>
      <c r="M41" s="18" t="n">
        <v>0</v>
      </c>
      <c r="N41" s="20" t="n">
        <v>0</v>
      </c>
      <c r="O41" s="18" t="n">
        <v>0</v>
      </c>
      <c r="P41" s="20" t="n">
        <v>0</v>
      </c>
      <c r="Q41" s="18" t="n">
        <v>1.18362148</v>
      </c>
      <c r="R41" s="20" t="n">
        <v>0.40465512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(20585.0/B46*100)</f>
        <v/>
      </c>
      <c r="D46" s="19" t="n">
        <v>2556</v>
      </c>
      <c r="E46" s="18" t="n">
        <v>35.87223268</v>
      </c>
      <c r="F46" s="20" t="n">
        <v>1.30004765</v>
      </c>
      <c r="G46" s="18" t="n">
        <v>59.14173247</v>
      </c>
      <c r="H46" s="20" t="n">
        <v>1.35593136</v>
      </c>
      <c r="I46" s="18" t="n">
        <v>0</v>
      </c>
      <c r="J46" s="20" t="n">
        <v>0</v>
      </c>
      <c r="K46" s="18" t="n">
        <v>0.80380771</v>
      </c>
      <c r="L46" s="20" t="n">
        <v>0.21844851</v>
      </c>
      <c r="M46" s="18" t="n">
        <v>0.6058665600000001</v>
      </c>
      <c r="N46" s="20" t="n">
        <v>0.23091805</v>
      </c>
      <c r="O46" s="18" t="n">
        <v>0</v>
      </c>
      <c r="P46" s="20" t="n">
        <v>0</v>
      </c>
      <c r="Q46" s="18" t="n">
        <v>3.57636058</v>
      </c>
      <c r="R46" s="20" t="n">
        <v>0.53667399</v>
      </c>
    </row>
    <row r="47" spans="1:18">
      <c r="A47" s="15" t="s">
        <v>470</v>
      </c>
      <c r="B47" s="17" t="n">
        <v>5928</v>
      </c>
      <c r="C47" s="18">
        <f>(5174.0/B47*100)</f>
        <v/>
      </c>
      <c r="D47" s="19" t="n">
        <v>754</v>
      </c>
      <c r="E47" s="18" t="n">
        <v>35.29614651</v>
      </c>
      <c r="F47" s="20" t="n">
        <v>2.07941472</v>
      </c>
      <c r="G47" s="18" t="n">
        <v>60.80110459</v>
      </c>
      <c r="H47" s="20" t="n">
        <v>2.08915263</v>
      </c>
      <c r="I47" s="18" t="n">
        <v>0</v>
      </c>
      <c r="J47" s="20" t="n">
        <v>0</v>
      </c>
      <c r="K47" s="18" t="n">
        <v>0.12824509</v>
      </c>
      <c r="L47" s="20" t="n">
        <v>0.1234231</v>
      </c>
      <c r="M47" s="18" t="n">
        <v>0</v>
      </c>
      <c r="N47" s="20" t="n">
        <v>0</v>
      </c>
      <c r="O47" s="18" t="n">
        <v>0</v>
      </c>
      <c r="P47" s="20" t="n">
        <v>0</v>
      </c>
      <c r="Q47" s="18" t="n">
        <v>3.77450381</v>
      </c>
      <c r="R47" s="20" t="n">
        <v>0.70540941</v>
      </c>
    </row>
    <row r="48" spans="1:18">
      <c r="A48" s="15" t="s">
        <v>471</v>
      </c>
      <c r="B48" s="17" t="n">
        <v>9841</v>
      </c>
      <c r="C48" s="18">
        <f>(8630.0/B48*100)</f>
        <v/>
      </c>
      <c r="D48" s="19" t="n">
        <v>1211</v>
      </c>
      <c r="E48" s="18" t="n">
        <v>17.12660487</v>
      </c>
      <c r="F48" s="20" t="n">
        <v>1.50949535</v>
      </c>
      <c r="G48" s="18" t="n">
        <v>79.09382393999999</v>
      </c>
      <c r="H48" s="20" t="n">
        <v>1.58913415</v>
      </c>
      <c r="I48" s="18" t="n">
        <v>0</v>
      </c>
      <c r="J48" s="20" t="n">
        <v>0</v>
      </c>
      <c r="K48" s="18" t="n">
        <v>0.34718396</v>
      </c>
      <c r="L48" s="20" t="n">
        <v>0.24469344</v>
      </c>
      <c r="M48" s="18" t="n">
        <v>0</v>
      </c>
      <c r="N48" s="20" t="n">
        <v>0</v>
      </c>
      <c r="O48" s="18" t="n">
        <v>0</v>
      </c>
      <c r="P48" s="20" t="n">
        <v>0</v>
      </c>
      <c r="Q48" s="18" t="n">
        <v>3.43238723</v>
      </c>
      <c r="R48" s="20" t="n">
        <v>0.59835006</v>
      </c>
    </row>
    <row r="49" spans="1:18">
      <c r="A49" s="15" t="s">
        <v>472</v>
      </c>
      <c r="B49" s="17" t="n">
        <v>11795</v>
      </c>
      <c r="C49" s="18">
        <f>(10384.0/B49*100)</f>
        <v/>
      </c>
      <c r="D49" s="19" t="n">
        <v>1411</v>
      </c>
      <c r="E49" s="18" t="n">
        <v>32.81327021</v>
      </c>
      <c r="F49" s="20" t="n">
        <v>1.76038393</v>
      </c>
      <c r="G49" s="18" t="n">
        <v>64.16021449</v>
      </c>
      <c r="H49" s="20" t="n">
        <v>1.90323505</v>
      </c>
      <c r="I49" s="18" t="n">
        <v>0</v>
      </c>
      <c r="J49" s="20" t="n">
        <v>0</v>
      </c>
      <c r="K49" s="18" t="n">
        <v>1.19556794</v>
      </c>
      <c r="L49" s="20" t="n">
        <v>0.43528412</v>
      </c>
      <c r="M49" s="18" t="n">
        <v>0.0038036</v>
      </c>
      <c r="N49" s="20" t="n">
        <v>0.00383136</v>
      </c>
      <c r="O49" s="18" t="n">
        <v>0</v>
      </c>
      <c r="P49" s="20" t="n">
        <v>0</v>
      </c>
      <c r="Q49" s="18" t="n">
        <v>1.82714376</v>
      </c>
      <c r="R49" s="20" t="n">
        <v>0.53257501</v>
      </c>
    </row>
    <row r="50" spans="1:18">
      <c r="A50" s="15" t="s">
        <v>473</v>
      </c>
      <c r="B50" s="17" t="n">
        <v>6866</v>
      </c>
      <c r="C50" s="18">
        <f>(6116.0/B50*100)</f>
        <v/>
      </c>
      <c r="D50" s="19" t="n">
        <v>750</v>
      </c>
      <c r="E50" s="18" t="n">
        <v>33.9807049</v>
      </c>
      <c r="F50" s="20" t="n">
        <v>2.39430964</v>
      </c>
      <c r="G50" s="18" t="n">
        <v>64.2981357</v>
      </c>
      <c r="H50" s="20" t="n">
        <v>2.32164439</v>
      </c>
      <c r="I50" s="18" t="n">
        <v>0</v>
      </c>
      <c r="J50" s="20" t="n">
        <v>0</v>
      </c>
      <c r="K50" s="18" t="n">
        <v>0.47197216</v>
      </c>
      <c r="L50" s="20" t="n">
        <v>0.23866684</v>
      </c>
      <c r="M50" s="18" t="n">
        <v>0</v>
      </c>
      <c r="N50" s="20" t="n">
        <v>0</v>
      </c>
      <c r="O50" s="18" t="n">
        <v>0</v>
      </c>
      <c r="P50" s="20" t="n">
        <v>0</v>
      </c>
      <c r="Q50" s="18" t="n">
        <v>1.24918724</v>
      </c>
      <c r="R50" s="20" t="n">
        <v>0.43173982</v>
      </c>
    </row>
    <row r="51" spans="1:18">
      <c r="A51" s="15" t="s">
        <v>474</v>
      </c>
      <c r="B51" s="17" t="n">
        <v>5809</v>
      </c>
      <c r="C51" s="18">
        <f>(5079.0/B51*100)</f>
        <v/>
      </c>
      <c r="D51" s="19" t="n">
        <v>730</v>
      </c>
      <c r="E51" s="18" t="n">
        <v>22.45677177</v>
      </c>
      <c r="F51" s="20" t="n">
        <v>1.76072996</v>
      </c>
      <c r="G51" s="18" t="n">
        <v>75.92953799</v>
      </c>
      <c r="H51" s="20" t="n">
        <v>1.81925772</v>
      </c>
      <c r="I51" s="18" t="n">
        <v>0</v>
      </c>
      <c r="J51" s="20" t="n">
        <v>0</v>
      </c>
      <c r="K51" s="18" t="n">
        <v>0</v>
      </c>
      <c r="L51" s="20" t="n">
        <v>0</v>
      </c>
      <c r="M51" s="18" t="n">
        <v>0</v>
      </c>
      <c r="N51" s="20" t="n">
        <v>0</v>
      </c>
      <c r="O51" s="18" t="n">
        <v>0</v>
      </c>
      <c r="P51" s="20" t="n">
        <v>0</v>
      </c>
      <c r="Q51" s="18" t="n">
        <v>1.61369025</v>
      </c>
      <c r="R51" s="20" t="n">
        <v>0.43236279</v>
      </c>
    </row>
    <row r="52" spans="1:18">
      <c r="A52" s="15" t="s">
        <v>475</v>
      </c>
      <c r="B52" s="17" t="n">
        <v>5571</v>
      </c>
      <c r="C52" s="18">
        <f>(4905.0/B52*100)</f>
        <v/>
      </c>
      <c r="D52" s="19" t="n">
        <v>666</v>
      </c>
      <c r="E52" s="18" t="n">
        <v>30.1761721</v>
      </c>
      <c r="F52" s="20" t="n">
        <v>2.25729942</v>
      </c>
      <c r="G52" s="18" t="n">
        <v>66.48597881000001</v>
      </c>
      <c r="H52" s="20" t="n">
        <v>2.36772995</v>
      </c>
      <c r="I52" s="18" t="n">
        <v>0</v>
      </c>
      <c r="J52" s="20" t="n">
        <v>0</v>
      </c>
      <c r="K52" s="18" t="n">
        <v>0</v>
      </c>
      <c r="L52" s="20" t="n">
        <v>0</v>
      </c>
      <c r="M52" s="18" t="n">
        <v>0</v>
      </c>
      <c r="N52" s="20" t="n">
        <v>0</v>
      </c>
      <c r="O52" s="18" t="n">
        <v>0</v>
      </c>
      <c r="P52" s="20" t="n">
        <v>0</v>
      </c>
      <c r="Q52" s="18" t="n">
        <v>3.33784909</v>
      </c>
      <c r="R52" s="20" t="n">
        <v>0.69936045</v>
      </c>
    </row>
    <row r="53" spans="1:18">
      <c r="A53" s="15" t="s">
        <v>476</v>
      </c>
      <c r="B53" s="17" t="n">
        <v>4740</v>
      </c>
      <c r="C53" s="18">
        <f>(3974.0/B53*100)</f>
        <v/>
      </c>
      <c r="D53" s="19" t="n">
        <v>766</v>
      </c>
      <c r="E53" s="18" t="n">
        <v>44.53481976</v>
      </c>
      <c r="F53" s="20" t="n">
        <v>2.24475056</v>
      </c>
      <c r="G53" s="18" t="n">
        <v>40.03288842</v>
      </c>
      <c r="H53" s="20" t="n">
        <v>2.31833887</v>
      </c>
      <c r="I53" s="18" t="n">
        <v>0</v>
      </c>
      <c r="J53" s="20" t="n">
        <v>0</v>
      </c>
      <c r="K53" s="18" t="n">
        <v>8.48895065</v>
      </c>
      <c r="L53" s="20" t="n">
        <v>1.09777196</v>
      </c>
      <c r="M53" s="18" t="n">
        <v>0.94657057</v>
      </c>
      <c r="N53" s="20" t="n">
        <v>0.77204887</v>
      </c>
      <c r="O53" s="18" t="n">
        <v>0</v>
      </c>
      <c r="P53" s="20" t="n">
        <v>0</v>
      </c>
      <c r="Q53" s="18" t="n">
        <v>5.9967706</v>
      </c>
      <c r="R53" s="20" t="n">
        <v>0.95116278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(4708.0/B55*100)</f>
        <v/>
      </c>
      <c r="D55" s="19" t="n">
        <v>651</v>
      </c>
      <c r="E55" s="18" t="n">
        <v>17.67828661</v>
      </c>
      <c r="F55" s="20" t="n">
        <v>1.77898742</v>
      </c>
      <c r="G55" s="18" t="n">
        <v>81.20432919</v>
      </c>
      <c r="H55" s="20" t="n">
        <v>1.80933012</v>
      </c>
      <c r="I55" s="18" t="n">
        <v>0</v>
      </c>
      <c r="J55" s="20" t="n">
        <v>0</v>
      </c>
      <c r="K55" s="18" t="n">
        <v>0.12960585</v>
      </c>
      <c r="L55" s="20" t="n">
        <v>0.13010357</v>
      </c>
      <c r="M55" s="18" t="n">
        <v>0.21934703</v>
      </c>
      <c r="N55" s="20" t="n">
        <v>0.22582906</v>
      </c>
      <c r="O55" s="18" t="n">
        <v>0</v>
      </c>
      <c r="P55" s="20" t="n">
        <v>0</v>
      </c>
      <c r="Q55" s="18" t="n">
        <v>0.76843132</v>
      </c>
      <c r="R55" s="20" t="n">
        <v>0.33472771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27.7910064</v>
      </c>
      <c r="F61" s="20" t="n">
        <v>1.82823191</v>
      </c>
      <c r="G61" s="18" t="n">
        <v>71.01671139</v>
      </c>
      <c r="H61" s="20" t="n">
        <v>1.8269299</v>
      </c>
      <c r="I61" s="18" t="n">
        <v>0</v>
      </c>
      <c r="J61" s="20" t="n">
        <v>0</v>
      </c>
      <c r="K61" s="18" t="n">
        <v>0.05966164</v>
      </c>
      <c r="L61" s="20" t="n">
        <v>0.04232966</v>
      </c>
      <c r="M61" s="18" t="n">
        <v>0.15606017</v>
      </c>
      <c r="N61" s="20" t="n">
        <v>0.15417885</v>
      </c>
      <c r="O61" s="18" t="n">
        <v>0</v>
      </c>
      <c r="P61" s="20" t="n">
        <v>0</v>
      </c>
      <c r="Q61" s="18" t="n">
        <v>0.9765603899999999</v>
      </c>
      <c r="R61" s="20" t="n">
        <v>0.3667107</v>
      </c>
    </row>
    <row r="62" spans="1:18">
      <c r="A62" s="15" t="s">
        <v>486</v>
      </c>
      <c r="B62" s="17" t="n">
        <v>4476</v>
      </c>
      <c r="C62" s="18">
        <f>(3924.0/B62*100)</f>
        <v/>
      </c>
      <c r="D62" s="19" t="n">
        <v>552</v>
      </c>
      <c r="E62" s="18" t="n">
        <v>18.52614767</v>
      </c>
      <c r="F62" s="20" t="n">
        <v>1.87991969</v>
      </c>
      <c r="G62" s="18" t="n">
        <v>80.93412941</v>
      </c>
      <c r="H62" s="20" t="n">
        <v>1.84595522</v>
      </c>
      <c r="I62" s="18" t="n">
        <v>0</v>
      </c>
      <c r="J62" s="20" t="n">
        <v>0</v>
      </c>
      <c r="K62" s="18" t="n">
        <v>0</v>
      </c>
      <c r="L62" s="20" t="n">
        <v>0</v>
      </c>
      <c r="M62" s="18" t="n">
        <v>0</v>
      </c>
      <c r="N62" s="20" t="n">
        <v>0</v>
      </c>
      <c r="O62" s="18" t="n">
        <v>0</v>
      </c>
      <c r="P62" s="20" t="n">
        <v>0</v>
      </c>
      <c r="Q62" s="18" t="n">
        <v>0.53972292</v>
      </c>
      <c r="R62" s="20" t="n">
        <v>0.31180644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(4974.0/B67*100)</f>
        <v/>
      </c>
      <c r="D67" s="19" t="n">
        <v>691</v>
      </c>
      <c r="E67" s="18" t="n">
        <v>29.21227679</v>
      </c>
      <c r="F67" s="20" t="n">
        <v>1.77431495</v>
      </c>
      <c r="G67" s="18" t="n">
        <v>63.69003694</v>
      </c>
      <c r="H67" s="20" t="n">
        <v>1.89271437</v>
      </c>
      <c r="I67" s="18" t="n">
        <v>0</v>
      </c>
      <c r="J67" s="20" t="n">
        <v>0</v>
      </c>
      <c r="K67" s="18" t="n">
        <v>0.1309163</v>
      </c>
      <c r="L67" s="20" t="n">
        <v>0.13024038</v>
      </c>
      <c r="M67" s="18" t="n">
        <v>0.74843942</v>
      </c>
      <c r="N67" s="20" t="n">
        <v>0.34522965</v>
      </c>
      <c r="O67" s="18" t="n">
        <v>0</v>
      </c>
      <c r="P67" s="20" t="n">
        <v>0</v>
      </c>
      <c r="Q67" s="18" t="n">
        <v>6.21833055</v>
      </c>
      <c r="R67" s="20" t="n">
        <v>0.91799339</v>
      </c>
    </row>
    <row r="68" spans="1:18">
      <c r="A68" s="15" t="s">
        <v>492</v>
      </c>
      <c r="B68" s="17" t="n">
        <v>6971</v>
      </c>
      <c r="C68" s="18">
        <f>(6164.0/B68*100)</f>
        <v/>
      </c>
      <c r="D68" s="19" t="n">
        <v>807</v>
      </c>
      <c r="E68" s="18" t="n">
        <v>33.73147574</v>
      </c>
      <c r="F68" s="20" t="n">
        <v>2.02803282</v>
      </c>
      <c r="G68" s="18" t="n">
        <v>63.19250601</v>
      </c>
      <c r="H68" s="20" t="n">
        <v>2.08028834</v>
      </c>
      <c r="I68" s="18" t="n">
        <v>0</v>
      </c>
      <c r="J68" s="20" t="n">
        <v>0</v>
      </c>
      <c r="K68" s="18" t="n">
        <v>0.22106521</v>
      </c>
      <c r="L68" s="20" t="n">
        <v>0.16112405</v>
      </c>
      <c r="M68" s="18" t="n">
        <v>0.13352914</v>
      </c>
      <c r="N68" s="20" t="n">
        <v>0.13332491</v>
      </c>
      <c r="O68" s="18" t="n">
        <v>0</v>
      </c>
      <c r="P68" s="20" t="n">
        <v>0</v>
      </c>
      <c r="Q68" s="18" t="n">
        <v>2.7214239</v>
      </c>
      <c r="R68" s="20" t="n">
        <v>0.63961733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(10067.0/B70*100)</f>
        <v/>
      </c>
      <c r="D70" s="19" t="n">
        <v>2016</v>
      </c>
      <c r="E70" s="18" t="n">
        <v>31.53937961</v>
      </c>
      <c r="F70" s="20" t="n">
        <v>0.93504786</v>
      </c>
      <c r="G70" s="18" t="n">
        <v>61.62761511</v>
      </c>
      <c r="H70" s="20" t="n">
        <v>0.98248906</v>
      </c>
      <c r="I70" s="18" t="n">
        <v>0</v>
      </c>
      <c r="J70" s="20" t="n">
        <v>0</v>
      </c>
      <c r="K70" s="18" t="n">
        <v>1.44470988</v>
      </c>
      <c r="L70" s="20" t="n">
        <v>0.29121662</v>
      </c>
      <c r="M70" s="18" t="n">
        <v>0</v>
      </c>
      <c r="N70" s="20" t="n">
        <v>0</v>
      </c>
      <c r="O70" s="18" t="n">
        <v>0</v>
      </c>
      <c r="P70" s="20" t="n">
        <v>0</v>
      </c>
      <c r="Q70" s="18" t="n">
        <v>5.38829541</v>
      </c>
      <c r="R70" s="20" t="n">
        <v>0.41063201</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(5310.0/B72*100)</f>
        <v/>
      </c>
      <c r="D72" s="19" t="n">
        <v>726</v>
      </c>
      <c r="E72" s="18" t="n">
        <v>22.70139713</v>
      </c>
      <c r="F72" s="20" t="n">
        <v>2.07181622</v>
      </c>
      <c r="G72" s="18" t="n">
        <v>75.43745416</v>
      </c>
      <c r="H72" s="20" t="n">
        <v>2.14252781</v>
      </c>
      <c r="I72" s="18" t="n">
        <v>0</v>
      </c>
      <c r="J72" s="20" t="n">
        <v>0</v>
      </c>
      <c r="K72" s="18" t="n">
        <v>0.49950722</v>
      </c>
      <c r="L72" s="20" t="n">
        <v>0.38949579</v>
      </c>
      <c r="M72" s="18" t="n">
        <v>0.12831586</v>
      </c>
      <c r="N72" s="20" t="n">
        <v>0.13004666</v>
      </c>
      <c r="O72" s="18" t="n">
        <v>0</v>
      </c>
      <c r="P72" s="20" t="n">
        <v>0</v>
      </c>
      <c r="Q72" s="18" t="n">
        <v>1.23332563</v>
      </c>
      <c r="R72" s="20" t="n">
        <v>0.39506936</v>
      </c>
    </row>
    <row r="73" spans="1:18">
      <c r="A73" s="15" t="s">
        <v>497</v>
      </c>
      <c r="B73" s="17" t="n">
        <v>6115</v>
      </c>
      <c r="C73" s="18">
        <f>(5373.0/B73*100)</f>
        <v/>
      </c>
      <c r="D73" s="19" t="n">
        <v>742</v>
      </c>
      <c r="E73" s="18" t="n">
        <v>14.46738369</v>
      </c>
      <c r="F73" s="20" t="n">
        <v>1.50065135</v>
      </c>
      <c r="G73" s="18" t="n">
        <v>84.35207534</v>
      </c>
      <c r="H73" s="20" t="n">
        <v>1.5574715</v>
      </c>
      <c r="I73" s="18" t="n">
        <v>0</v>
      </c>
      <c r="J73" s="20" t="n">
        <v>0</v>
      </c>
      <c r="K73" s="18" t="n">
        <v>0</v>
      </c>
      <c r="L73" s="20" t="n">
        <v>0</v>
      </c>
      <c r="M73" s="18" t="n">
        <v>0.08247387</v>
      </c>
      <c r="N73" s="20" t="n">
        <v>0.0827585</v>
      </c>
      <c r="O73" s="18" t="n">
        <v>0</v>
      </c>
      <c r="P73" s="20" t="n">
        <v>0</v>
      </c>
      <c r="Q73" s="18" t="n">
        <v>1.0980671</v>
      </c>
      <c r="R73" s="20" t="n">
        <v>0.37989297</v>
      </c>
    </row>
    <row r="74" spans="1:18">
      <c r="A74" s="15" t="s">
        <v>498</v>
      </c>
      <c r="B74" s="17" t="n">
        <v>7708</v>
      </c>
      <c r="C74" s="18">
        <f>(6757.0/B74*100)</f>
        <v/>
      </c>
      <c r="D74" s="19" t="n">
        <v>951</v>
      </c>
      <c r="E74" s="18" t="n">
        <v>20.93535367</v>
      </c>
      <c r="F74" s="20" t="n">
        <v>1.33608776</v>
      </c>
      <c r="G74" s="18" t="n">
        <v>76.9347238</v>
      </c>
      <c r="H74" s="20" t="n">
        <v>1.39606913</v>
      </c>
      <c r="I74" s="18" t="n">
        <v>0</v>
      </c>
      <c r="J74" s="20" t="n">
        <v>0</v>
      </c>
      <c r="K74" s="18" t="n">
        <v>0.07269736</v>
      </c>
      <c r="L74" s="20" t="n">
        <v>0.07470087</v>
      </c>
      <c r="M74" s="18" t="n">
        <v>0</v>
      </c>
      <c r="N74" s="20" t="n">
        <v>0</v>
      </c>
      <c r="O74" s="18" t="n">
        <v>0</v>
      </c>
      <c r="P74" s="20" t="n">
        <v>0</v>
      </c>
      <c r="Q74" s="18" t="n">
        <v>2.05722516</v>
      </c>
      <c r="R74" s="20" t="n">
        <v>0.45925904</v>
      </c>
    </row>
    <row r="75" spans="1:18">
      <c r="A75" s="15" t="s">
        <v>499</v>
      </c>
      <c r="B75" s="17" t="n">
        <v>8249</v>
      </c>
      <c r="C75" s="18">
        <f>(7263.0/B75*100)</f>
        <v/>
      </c>
      <c r="D75" s="19" t="n">
        <v>986</v>
      </c>
      <c r="E75" s="18" t="n">
        <v>24.74712507</v>
      </c>
      <c r="F75" s="20" t="n">
        <v>1.59346377</v>
      </c>
      <c r="G75" s="18" t="n">
        <v>74.58387868</v>
      </c>
      <c r="H75" s="20" t="n">
        <v>1.62476848</v>
      </c>
      <c r="I75" s="18" t="n">
        <v>0</v>
      </c>
      <c r="J75" s="20" t="n">
        <v>0</v>
      </c>
      <c r="K75" s="18" t="n">
        <v>0</v>
      </c>
      <c r="L75" s="20" t="n">
        <v>0</v>
      </c>
      <c r="M75" s="18" t="n">
        <v>0.00434888</v>
      </c>
      <c r="N75" s="20" t="n">
        <v>0.00420885</v>
      </c>
      <c r="O75" s="18" t="n">
        <v>0</v>
      </c>
      <c r="P75" s="20" t="n">
        <v>0</v>
      </c>
      <c r="Q75" s="18" t="n">
        <v>0.66464738</v>
      </c>
      <c r="R75" s="20" t="n">
        <v>0.2829917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(4786.0/B77*100)</f>
        <v/>
      </c>
      <c r="D77" s="19" t="n">
        <v>589</v>
      </c>
      <c r="E77" s="18" t="n">
        <v>41.91511941</v>
      </c>
      <c r="F77" s="20" t="n">
        <v>2.21591145</v>
      </c>
      <c r="G77" s="18" t="n">
        <v>46.9475844</v>
      </c>
      <c r="H77" s="20" t="n">
        <v>2.03356312</v>
      </c>
      <c r="I77" s="18" t="n">
        <v>0</v>
      </c>
      <c r="J77" s="20" t="n">
        <v>0</v>
      </c>
      <c r="K77" s="18" t="n">
        <v>2.99006283</v>
      </c>
      <c r="L77" s="20" t="n">
        <v>0.72840423</v>
      </c>
      <c r="M77" s="18" t="n">
        <v>1.05107491</v>
      </c>
      <c r="N77" s="20" t="n">
        <v>0.50377352</v>
      </c>
      <c r="O77" s="18" t="n">
        <v>0</v>
      </c>
      <c r="P77" s="20" t="n">
        <v>0</v>
      </c>
      <c r="Q77" s="18" t="n">
        <v>7.09615844</v>
      </c>
      <c r="R77" s="20" t="n">
        <v>1.12569966</v>
      </c>
    </row>
    <row r="78" spans="1:18">
      <c r="A78" s="15" t="s">
        <v>502</v>
      </c>
      <c r="B78" s="17" t="n">
        <v>14167</v>
      </c>
      <c r="C78" s="18">
        <f>(12486.0/B78*100)</f>
        <v/>
      </c>
      <c r="D78" s="19" t="n">
        <v>1681</v>
      </c>
      <c r="E78" s="18" t="n">
        <v>34.42953505</v>
      </c>
      <c r="F78" s="20" t="n">
        <v>1.43681874</v>
      </c>
      <c r="G78" s="18" t="n">
        <v>61.68724628</v>
      </c>
      <c r="H78" s="20" t="n">
        <v>1.51592881</v>
      </c>
      <c r="I78" s="18" t="n">
        <v>0</v>
      </c>
      <c r="J78" s="20" t="n">
        <v>0</v>
      </c>
      <c r="K78" s="18" t="n">
        <v>0.51103277</v>
      </c>
      <c r="L78" s="20" t="n">
        <v>0.20064857</v>
      </c>
      <c r="M78" s="18" t="n">
        <v>0.25479476</v>
      </c>
      <c r="N78" s="20" t="n">
        <v>0.18644425</v>
      </c>
      <c r="O78" s="18" t="n">
        <v>0</v>
      </c>
      <c r="P78" s="20" t="n">
        <v>0</v>
      </c>
      <c r="Q78" s="18" t="n">
        <v>3.11739114</v>
      </c>
      <c r="R78" s="20" t="n">
        <v>0.52297593</v>
      </c>
    </row>
    <row r="79" spans="1:18">
      <c r="A79" s="15" t="s">
        <v>503</v>
      </c>
      <c r="B79" s="17" t="n">
        <v>6062</v>
      </c>
      <c r="C79" s="18">
        <f>(5327.0/B79*100)</f>
        <v/>
      </c>
      <c r="D79" s="19" t="n">
        <v>735</v>
      </c>
      <c r="E79" s="18" t="n">
        <v>30.26728771</v>
      </c>
      <c r="F79" s="20" t="n">
        <v>1.88622037</v>
      </c>
      <c r="G79" s="18" t="n">
        <v>64.64795211000001</v>
      </c>
      <c r="H79" s="20" t="n">
        <v>2.05790905</v>
      </c>
      <c r="I79" s="18" t="n">
        <v>0</v>
      </c>
      <c r="J79" s="20" t="n">
        <v>0</v>
      </c>
      <c r="K79" s="18" t="n">
        <v>0.2596669</v>
      </c>
      <c r="L79" s="20" t="n">
        <v>0.18491414</v>
      </c>
      <c r="M79" s="18" t="n">
        <v>0.12304844</v>
      </c>
      <c r="N79" s="20" t="n">
        <v>0.12361384</v>
      </c>
      <c r="O79" s="18" t="n">
        <v>0</v>
      </c>
      <c r="P79" s="20" t="n">
        <v>0</v>
      </c>
      <c r="Q79" s="18" t="n">
        <v>4.70204484</v>
      </c>
      <c r="R79" s="20" t="n">
        <v>0.74959419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(28328.0/B82*100)</f>
        <v/>
      </c>
      <c r="D82" s="19" t="n">
        <v>4002</v>
      </c>
      <c r="E82" s="18" t="n">
        <v>23.38776288</v>
      </c>
      <c r="F82" s="20" t="n">
        <v>0.99519574</v>
      </c>
      <c r="G82" s="18" t="n">
        <v>74.33186571</v>
      </c>
      <c r="H82" s="20" t="n">
        <v>1.07131985</v>
      </c>
      <c r="I82" s="18" t="n">
        <v>0</v>
      </c>
      <c r="J82" s="20" t="n">
        <v>0</v>
      </c>
      <c r="K82" s="18" t="n">
        <v>0.06615059</v>
      </c>
      <c r="L82" s="20" t="n">
        <v>0.03322567</v>
      </c>
      <c r="M82" s="18" t="n">
        <v>0.02031874</v>
      </c>
      <c r="N82" s="20" t="n">
        <v>0.01431938</v>
      </c>
      <c r="O82" s="18" t="n">
        <v>0</v>
      </c>
      <c r="P82" s="20" t="n">
        <v>0</v>
      </c>
      <c r="Q82" s="18" t="n">
        <v>2.19390208</v>
      </c>
      <c r="R82" s="20" t="n">
        <v>0.37960485</v>
      </c>
    </row>
    <row r="83" spans="1:18">
      <c r="A83" s="15" t="s">
        <v>507</v>
      </c>
      <c r="B83" s="17" t="n">
        <v>1652</v>
      </c>
      <c r="C83" s="18">
        <f>(1462.0/B83*100)</f>
        <v/>
      </c>
      <c r="D83" s="19" t="n">
        <v>190</v>
      </c>
      <c r="E83" s="18" t="n">
        <v>23.73646084</v>
      </c>
      <c r="F83" s="20" t="n">
        <v>3.36082813</v>
      </c>
      <c r="G83" s="18" t="n">
        <v>75.83947109</v>
      </c>
      <c r="H83" s="20" t="n">
        <v>3.45481846</v>
      </c>
      <c r="I83" s="18" t="n">
        <v>0</v>
      </c>
      <c r="J83" s="20" t="n">
        <v>0</v>
      </c>
      <c r="K83" s="18" t="n">
        <v>0</v>
      </c>
      <c r="L83" s="20" t="n">
        <v>0</v>
      </c>
      <c r="M83" s="18" t="n">
        <v>0</v>
      </c>
      <c r="N83" s="20" t="n">
        <v>0</v>
      </c>
      <c r="O83" s="18" t="n">
        <v>0</v>
      </c>
      <c r="P83" s="20" t="n">
        <v>0</v>
      </c>
      <c r="Q83" s="18" t="n">
        <v>0.42406807</v>
      </c>
      <c r="R83" s="20" t="n">
        <v>0.41781844</v>
      </c>
    </row>
    <row r="84" spans="1:18">
      <c r="A84" s="23" t="s">
        <v>508</v>
      </c>
      <c r="B84" s="24" t="n">
        <v>1887</v>
      </c>
      <c r="C84" s="25">
        <f>(1662.0/B84*100)</f>
        <v/>
      </c>
      <c r="D84" s="19" t="n">
        <v>225</v>
      </c>
      <c r="E84" s="18" t="n">
        <v>27.88821084</v>
      </c>
      <c r="F84" s="20" t="n">
        <v>3.03930611</v>
      </c>
      <c r="G84" s="18" t="n">
        <v>71.7528538</v>
      </c>
      <c r="H84" s="20" t="n">
        <v>3.03246291</v>
      </c>
      <c r="I84" s="18" t="n">
        <v>0</v>
      </c>
      <c r="J84" s="20" t="n">
        <v>0</v>
      </c>
      <c r="K84" s="18" t="n">
        <v>0</v>
      </c>
      <c r="L84" s="20" t="n">
        <v>0</v>
      </c>
      <c r="M84" s="18" t="n">
        <v>0</v>
      </c>
      <c r="N84" s="20" t="n">
        <v>0</v>
      </c>
      <c r="O84" s="18" t="n">
        <v>0</v>
      </c>
      <c r="P84" s="20" t="n">
        <v>0</v>
      </c>
      <c r="Q84" s="18" t="n">
        <v>0.35893536</v>
      </c>
      <c r="R84" s="20" t="n">
        <v>0.32943531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(12761.0/B7*100)</f>
        <v/>
      </c>
      <c r="D7" s="19" t="n">
        <v>1769</v>
      </c>
      <c r="E7" s="18" t="n">
        <v>14.22212754</v>
      </c>
      <c r="F7" s="20" t="n">
        <v>0.90056083</v>
      </c>
      <c r="G7" s="18" t="n">
        <v>84.97272460000001</v>
      </c>
      <c r="H7" s="20" t="n">
        <v>0.92533469</v>
      </c>
      <c r="I7" s="18" t="n">
        <v>0</v>
      </c>
      <c r="J7" s="20" t="n">
        <v>0</v>
      </c>
      <c r="K7" s="18" t="n">
        <v>0.41249393</v>
      </c>
      <c r="L7" s="20" t="n">
        <v>0.17978314</v>
      </c>
      <c r="M7" s="18" t="n">
        <v>0</v>
      </c>
      <c r="N7" s="20" t="n">
        <v>0</v>
      </c>
      <c r="O7" s="18" t="n">
        <v>0</v>
      </c>
      <c r="P7" s="20" t="n">
        <v>0</v>
      </c>
      <c r="Q7" s="18" t="n">
        <v>0.39265393</v>
      </c>
      <c r="R7" s="20" t="n">
        <v>0.16602818</v>
      </c>
    </row>
    <row r="8" spans="1:18">
      <c r="A8" s="15" t="s">
        <v>430</v>
      </c>
      <c r="B8" s="17" t="n">
        <v>7007</v>
      </c>
      <c r="C8" s="18">
        <f>(6151.0/B8*100)</f>
        <v/>
      </c>
      <c r="D8" s="19" t="n">
        <v>856</v>
      </c>
      <c r="E8" s="18" t="n">
        <v>23.83113111</v>
      </c>
      <c r="F8" s="20" t="n">
        <v>1.32806679</v>
      </c>
      <c r="G8" s="18" t="n">
        <v>75.10269144</v>
      </c>
      <c r="H8" s="20" t="n">
        <v>1.37289915</v>
      </c>
      <c r="I8" s="18" t="n">
        <v>0</v>
      </c>
      <c r="J8" s="20" t="n">
        <v>0</v>
      </c>
      <c r="K8" s="18" t="n">
        <v>0</v>
      </c>
      <c r="L8" s="20" t="n">
        <v>0</v>
      </c>
      <c r="M8" s="18" t="n">
        <v>0</v>
      </c>
      <c r="N8" s="20" t="n">
        <v>0</v>
      </c>
      <c r="O8" s="18" t="n">
        <v>0</v>
      </c>
      <c r="P8" s="20" t="n">
        <v>0</v>
      </c>
      <c r="Q8" s="18" t="n">
        <v>1.06617746</v>
      </c>
      <c r="R8" s="20" t="n">
        <v>0.37783866</v>
      </c>
    </row>
    <row r="9" spans="1:18">
      <c r="A9" s="15" t="s">
        <v>431</v>
      </c>
      <c r="B9" s="17" t="n">
        <v>9651</v>
      </c>
      <c r="C9" s="18">
        <f>(8501.0/B9*100)</f>
        <v/>
      </c>
      <c r="D9" s="19" t="n">
        <v>1150</v>
      </c>
      <c r="E9" s="18" t="n">
        <v>15.84236613</v>
      </c>
      <c r="F9" s="20" t="n">
        <v>1.26524322</v>
      </c>
      <c r="G9" s="18" t="n">
        <v>83.01273983999999</v>
      </c>
      <c r="H9" s="20" t="n">
        <v>1.33795755</v>
      </c>
      <c r="I9" s="18" t="n">
        <v>0</v>
      </c>
      <c r="J9" s="20" t="n">
        <v>0</v>
      </c>
      <c r="K9" s="18" t="n">
        <v>0</v>
      </c>
      <c r="L9" s="20" t="n">
        <v>0</v>
      </c>
      <c r="M9" s="18" t="n">
        <v>0</v>
      </c>
      <c r="N9" s="20" t="n">
        <v>0</v>
      </c>
      <c r="O9" s="18" t="n">
        <v>0</v>
      </c>
      <c r="P9" s="20" t="n">
        <v>0</v>
      </c>
      <c r="Q9" s="18" t="n">
        <v>1.14489404</v>
      </c>
      <c r="R9" s="20" t="n">
        <v>0.28524329</v>
      </c>
    </row>
    <row r="10" spans="1:18">
      <c r="A10" s="15" t="s">
        <v>432</v>
      </c>
      <c r="B10" s="17" t="n">
        <v>20058</v>
      </c>
      <c r="C10" s="18">
        <f>(17607.0/B10*100)</f>
        <v/>
      </c>
      <c r="D10" s="19" t="n">
        <v>2451</v>
      </c>
      <c r="E10" s="18" t="n">
        <v>11.50019377</v>
      </c>
      <c r="F10" s="20" t="n">
        <v>0.76028608</v>
      </c>
      <c r="G10" s="18" t="n">
        <v>87.86318106</v>
      </c>
      <c r="H10" s="20" t="n">
        <v>0.75262463</v>
      </c>
      <c r="I10" s="18" t="n">
        <v>0</v>
      </c>
      <c r="J10" s="20" t="n">
        <v>0</v>
      </c>
      <c r="K10" s="18" t="n">
        <v>0.21842047</v>
      </c>
      <c r="L10" s="20" t="n">
        <v>0.14308211</v>
      </c>
      <c r="M10" s="18" t="n">
        <v>0</v>
      </c>
      <c r="N10" s="20" t="n">
        <v>0</v>
      </c>
      <c r="O10" s="18" t="n">
        <v>0</v>
      </c>
      <c r="P10" s="20" t="n">
        <v>0</v>
      </c>
      <c r="Q10" s="18" t="n">
        <v>0.41820471</v>
      </c>
      <c r="R10" s="20" t="n">
        <v>0.1837084</v>
      </c>
    </row>
    <row r="11" spans="1:18">
      <c r="A11" s="15" t="s">
        <v>433</v>
      </c>
      <c r="B11" s="17" t="n">
        <v>7053</v>
      </c>
      <c r="C11" s="18">
        <f>(6207.0/B11*100)</f>
        <v/>
      </c>
      <c r="D11" s="19" t="n">
        <v>846</v>
      </c>
      <c r="E11" s="18" t="n">
        <v>20.38575966</v>
      </c>
      <c r="F11" s="20" t="n">
        <v>1.90024044</v>
      </c>
      <c r="G11" s="18" t="n">
        <v>78.74797891999999</v>
      </c>
      <c r="H11" s="20" t="n">
        <v>1.90926092</v>
      </c>
      <c r="I11" s="18" t="n">
        <v>0</v>
      </c>
      <c r="J11" s="20" t="n">
        <v>0</v>
      </c>
      <c r="K11" s="18" t="n">
        <v>0.15745433</v>
      </c>
      <c r="L11" s="20" t="n">
        <v>0.15778437</v>
      </c>
      <c r="M11" s="18" t="n">
        <v>0</v>
      </c>
      <c r="N11" s="20" t="n">
        <v>0</v>
      </c>
      <c r="O11" s="18" t="n">
        <v>0</v>
      </c>
      <c r="P11" s="20" t="n">
        <v>0</v>
      </c>
      <c r="Q11" s="18" t="n">
        <v>0.70880708</v>
      </c>
      <c r="R11" s="20" t="n">
        <v>0.26557139</v>
      </c>
    </row>
    <row r="12" spans="1:18">
      <c r="A12" s="15" t="s">
        <v>434</v>
      </c>
      <c r="B12" s="17" t="n">
        <v>6894</v>
      </c>
      <c r="C12" s="18">
        <f>(6048.0/B12*100)</f>
        <v/>
      </c>
      <c r="D12" s="19" t="n">
        <v>846</v>
      </c>
      <c r="E12" s="18" t="n">
        <v>14.33448449</v>
      </c>
      <c r="F12" s="20" t="n">
        <v>1.2297883</v>
      </c>
      <c r="G12" s="18" t="n">
        <v>84.82672297000001</v>
      </c>
      <c r="H12" s="20" t="n">
        <v>1.27693896</v>
      </c>
      <c r="I12" s="18" t="n">
        <v>0</v>
      </c>
      <c r="J12" s="20" t="n">
        <v>0</v>
      </c>
      <c r="K12" s="18" t="n">
        <v>0</v>
      </c>
      <c r="L12" s="20" t="n">
        <v>0</v>
      </c>
      <c r="M12" s="18" t="n">
        <v>0</v>
      </c>
      <c r="N12" s="20" t="n">
        <v>0</v>
      </c>
      <c r="O12" s="18" t="n">
        <v>0</v>
      </c>
      <c r="P12" s="20" t="n">
        <v>0</v>
      </c>
      <c r="Q12" s="18" t="n">
        <v>0.83879254</v>
      </c>
      <c r="R12" s="20" t="n">
        <v>0.47677721</v>
      </c>
    </row>
    <row r="13" spans="1:18">
      <c r="A13" s="15" t="s">
        <v>435</v>
      </c>
      <c r="B13" s="17" t="n">
        <v>7161</v>
      </c>
      <c r="C13" s="18">
        <f>(6311.0/B13*100)</f>
        <v/>
      </c>
      <c r="D13" s="19" t="n">
        <v>850</v>
      </c>
      <c r="E13" s="18" t="n">
        <v>12.96097929</v>
      </c>
      <c r="F13" s="20" t="n">
        <v>1.1639057</v>
      </c>
      <c r="G13" s="18" t="n">
        <v>86.86713523</v>
      </c>
      <c r="H13" s="20" t="n">
        <v>1.16792948</v>
      </c>
      <c r="I13" s="18" t="n">
        <v>0</v>
      </c>
      <c r="J13" s="20" t="n">
        <v>0</v>
      </c>
      <c r="K13" s="18" t="n">
        <v>0.12936682</v>
      </c>
      <c r="L13" s="20" t="n">
        <v>0.13335484</v>
      </c>
      <c r="M13" s="18" t="n">
        <v>0</v>
      </c>
      <c r="N13" s="20" t="n">
        <v>0</v>
      </c>
      <c r="O13" s="18" t="n">
        <v>0</v>
      </c>
      <c r="P13" s="20" t="n">
        <v>0</v>
      </c>
      <c r="Q13" s="18" t="n">
        <v>0.04251867</v>
      </c>
      <c r="R13" s="20" t="n">
        <v>0.04262743</v>
      </c>
    </row>
    <row r="14" spans="1:18">
      <c r="A14" s="15" t="s">
        <v>436</v>
      </c>
      <c r="B14" s="17" t="n">
        <v>5587</v>
      </c>
      <c r="C14" s="18">
        <f>(4890.0/B14*100)</f>
        <v/>
      </c>
      <c r="D14" s="19" t="n">
        <v>697</v>
      </c>
      <c r="E14" s="18" t="n">
        <v>16.05732021</v>
      </c>
      <c r="F14" s="20" t="n">
        <v>1.44069265</v>
      </c>
      <c r="G14" s="18" t="n">
        <v>83.69337256999999</v>
      </c>
      <c r="H14" s="20" t="n">
        <v>1.45531282</v>
      </c>
      <c r="I14" s="18" t="n">
        <v>0</v>
      </c>
      <c r="J14" s="20" t="n">
        <v>0</v>
      </c>
      <c r="K14" s="18" t="n">
        <v>0.13214311</v>
      </c>
      <c r="L14" s="20" t="n">
        <v>0.13733634</v>
      </c>
      <c r="M14" s="18" t="n">
        <v>0</v>
      </c>
      <c r="N14" s="20" t="n">
        <v>0</v>
      </c>
      <c r="O14" s="18" t="n">
        <v>0</v>
      </c>
      <c r="P14" s="20" t="n">
        <v>0</v>
      </c>
      <c r="Q14" s="18" t="n">
        <v>0.11716412</v>
      </c>
      <c r="R14" s="20" t="n">
        <v>0.11533578</v>
      </c>
    </row>
    <row r="15" spans="1:18">
      <c r="A15" s="15" t="s">
        <v>437</v>
      </c>
      <c r="B15" s="17" t="n">
        <v>5882</v>
      </c>
      <c r="C15" s="18">
        <f>(5155.0/B15*100)</f>
        <v/>
      </c>
      <c r="D15" s="19" t="n">
        <v>727</v>
      </c>
      <c r="E15" s="18" t="n">
        <v>6.13028085</v>
      </c>
      <c r="F15" s="20" t="n">
        <v>0.97776589</v>
      </c>
      <c r="G15" s="18" t="n">
        <v>93.86971914999999</v>
      </c>
      <c r="H15" s="20" t="n">
        <v>0.97776589</v>
      </c>
      <c r="I15" s="18" t="n">
        <v>0</v>
      </c>
      <c r="J15" s="20" t="n">
        <v>0</v>
      </c>
      <c r="K15" s="18" t="n">
        <v>0</v>
      </c>
      <c r="L15" s="20" t="n">
        <v>0</v>
      </c>
      <c r="M15" s="18" t="n">
        <v>0</v>
      </c>
      <c r="N15" s="20" t="n">
        <v>0</v>
      </c>
      <c r="O15" s="18" t="n">
        <v>0</v>
      </c>
      <c r="P15" s="20" t="n">
        <v>0</v>
      </c>
      <c r="Q15" s="18" t="n">
        <v>0</v>
      </c>
      <c r="R15" s="20" t="n">
        <v>0</v>
      </c>
    </row>
    <row r="16" spans="1:18">
      <c r="A16" s="15" t="s">
        <v>438</v>
      </c>
      <c r="B16" s="17" t="n">
        <v>6108</v>
      </c>
      <c r="C16" s="18">
        <f>(5367.0/B16*100)</f>
        <v/>
      </c>
      <c r="D16" s="19" t="n">
        <v>741</v>
      </c>
      <c r="E16" s="18" t="n">
        <v>17.13617603</v>
      </c>
      <c r="F16" s="20" t="n">
        <v>1.5569196</v>
      </c>
      <c r="G16" s="18" t="n">
        <v>80.83693882999999</v>
      </c>
      <c r="H16" s="20" t="n">
        <v>1.7577473</v>
      </c>
      <c r="I16" s="18" t="n">
        <v>0</v>
      </c>
      <c r="J16" s="20" t="n">
        <v>0</v>
      </c>
      <c r="K16" s="18" t="n">
        <v>0.2778845</v>
      </c>
      <c r="L16" s="20" t="n">
        <v>0.24240792</v>
      </c>
      <c r="M16" s="18" t="n">
        <v>0</v>
      </c>
      <c r="N16" s="20" t="n">
        <v>0</v>
      </c>
      <c r="O16" s="18" t="n">
        <v>0</v>
      </c>
      <c r="P16" s="20" t="n">
        <v>0</v>
      </c>
      <c r="Q16" s="18" t="n">
        <v>1.74900064</v>
      </c>
      <c r="R16" s="20" t="n">
        <v>0.53439686</v>
      </c>
    </row>
    <row r="17" spans="1:18">
      <c r="A17" s="15" t="s">
        <v>439</v>
      </c>
      <c r="B17" s="17" t="n">
        <v>6504</v>
      </c>
      <c r="C17" s="18">
        <f>(5711.0/B17*100)</f>
        <v/>
      </c>
      <c r="D17" s="19" t="n">
        <v>793</v>
      </c>
      <c r="E17" s="18" t="n">
        <v>20.51237463</v>
      </c>
      <c r="F17" s="20" t="n">
        <v>1.4846229</v>
      </c>
      <c r="G17" s="18" t="n">
        <v>78.26467214</v>
      </c>
      <c r="H17" s="20" t="n">
        <v>1.50517877</v>
      </c>
      <c r="I17" s="18" t="n">
        <v>0</v>
      </c>
      <c r="J17" s="20" t="n">
        <v>0</v>
      </c>
      <c r="K17" s="18" t="n">
        <v>0.34217352</v>
      </c>
      <c r="L17" s="20" t="n">
        <v>0.19935951</v>
      </c>
      <c r="M17" s="18" t="n">
        <v>0</v>
      </c>
      <c r="N17" s="20" t="n">
        <v>0</v>
      </c>
      <c r="O17" s="18" t="n">
        <v>0</v>
      </c>
      <c r="P17" s="20" t="n">
        <v>0</v>
      </c>
      <c r="Q17" s="18" t="n">
        <v>0.88077971</v>
      </c>
      <c r="R17" s="20" t="n">
        <v>0.29475541</v>
      </c>
    </row>
    <row r="18" spans="1:18">
      <c r="A18" s="15" t="s">
        <v>440</v>
      </c>
      <c r="B18" s="17" t="n">
        <v>5532</v>
      </c>
      <c r="C18" s="18">
        <f>(4848.0/B18*100)</f>
        <v/>
      </c>
      <c r="D18" s="19" t="n">
        <v>684</v>
      </c>
      <c r="E18" s="18" t="n">
        <v>22.66855781</v>
      </c>
      <c r="F18" s="20" t="n">
        <v>2.09127419</v>
      </c>
      <c r="G18" s="18" t="n">
        <v>76.21974011</v>
      </c>
      <c r="H18" s="20" t="n">
        <v>1.99961673</v>
      </c>
      <c r="I18" s="18" t="n">
        <v>0</v>
      </c>
      <c r="J18" s="20" t="n">
        <v>0</v>
      </c>
      <c r="K18" s="18" t="n">
        <v>0.29636309</v>
      </c>
      <c r="L18" s="20" t="n">
        <v>0.2105103</v>
      </c>
      <c r="M18" s="18" t="n">
        <v>0</v>
      </c>
      <c r="N18" s="20" t="n">
        <v>0</v>
      </c>
      <c r="O18" s="18" t="n">
        <v>0</v>
      </c>
      <c r="P18" s="20" t="n">
        <v>0</v>
      </c>
      <c r="Q18" s="18" t="n">
        <v>0.81533899</v>
      </c>
      <c r="R18" s="20" t="n">
        <v>0.3397443</v>
      </c>
    </row>
    <row r="19" spans="1:18">
      <c r="A19" s="15" t="s">
        <v>441</v>
      </c>
      <c r="B19" s="17" t="n">
        <v>5658</v>
      </c>
      <c r="C19" s="18">
        <f>(4947.0/B19*100)</f>
        <v/>
      </c>
      <c r="D19" s="19" t="n">
        <v>711</v>
      </c>
      <c r="E19" s="18" t="n">
        <v>24.71881041</v>
      </c>
      <c r="F19" s="20" t="n">
        <v>1.85082414</v>
      </c>
      <c r="G19" s="18" t="n">
        <v>74.85960872</v>
      </c>
      <c r="H19" s="20" t="n">
        <v>1.90780829</v>
      </c>
      <c r="I19" s="18" t="n">
        <v>0</v>
      </c>
      <c r="J19" s="20" t="n">
        <v>0</v>
      </c>
      <c r="K19" s="18" t="n">
        <v>0</v>
      </c>
      <c r="L19" s="20" t="n">
        <v>0</v>
      </c>
      <c r="M19" s="18" t="n">
        <v>0</v>
      </c>
      <c r="N19" s="20" t="n">
        <v>0</v>
      </c>
      <c r="O19" s="18" t="n">
        <v>0</v>
      </c>
      <c r="P19" s="20" t="n">
        <v>0</v>
      </c>
      <c r="Q19" s="18" t="n">
        <v>0.42158087</v>
      </c>
      <c r="R19" s="20" t="n">
        <v>0.22296536</v>
      </c>
    </row>
    <row r="20" spans="1:18">
      <c r="A20" s="15" t="s">
        <v>442</v>
      </c>
      <c r="B20" s="17" t="n">
        <v>3371</v>
      </c>
      <c r="C20" s="18">
        <f>(2961.0/B20*100)</f>
        <v/>
      </c>
      <c r="D20" s="19" t="n">
        <v>410</v>
      </c>
      <c r="E20" s="18" t="n">
        <v>22.7460593</v>
      </c>
      <c r="F20" s="20" t="n">
        <v>2.13137539</v>
      </c>
      <c r="G20" s="18" t="n">
        <v>75.84482155000001</v>
      </c>
      <c r="H20" s="20" t="n">
        <v>2.1694116</v>
      </c>
      <c r="I20" s="18" t="n">
        <v>0</v>
      </c>
      <c r="J20" s="20" t="n">
        <v>0</v>
      </c>
      <c r="K20" s="18" t="n">
        <v>0.44796649</v>
      </c>
      <c r="L20" s="20" t="n">
        <v>0.3165818</v>
      </c>
      <c r="M20" s="18" t="n">
        <v>0</v>
      </c>
      <c r="N20" s="20" t="n">
        <v>0</v>
      </c>
      <c r="O20" s="18" t="n">
        <v>0</v>
      </c>
      <c r="P20" s="20" t="n">
        <v>0</v>
      </c>
      <c r="Q20" s="18" t="n">
        <v>0.96115266</v>
      </c>
      <c r="R20" s="20" t="n">
        <v>0.46739463</v>
      </c>
    </row>
    <row r="21" spans="1:18">
      <c r="A21" s="15" t="s">
        <v>443</v>
      </c>
      <c r="B21" s="17" t="n">
        <v>5741</v>
      </c>
      <c r="C21" s="18">
        <f>(4791.0/B21*100)</f>
        <v/>
      </c>
      <c r="D21" s="19" t="n">
        <v>950</v>
      </c>
      <c r="E21" s="18" t="n">
        <v>8.44489538</v>
      </c>
      <c r="F21" s="20" t="n">
        <v>1.0502746</v>
      </c>
      <c r="G21" s="18" t="n">
        <v>90.9588929</v>
      </c>
      <c r="H21" s="20" t="n">
        <v>1.05576458</v>
      </c>
      <c r="I21" s="18" t="n">
        <v>0</v>
      </c>
      <c r="J21" s="20" t="n">
        <v>0</v>
      </c>
      <c r="K21" s="18" t="n">
        <v>0.08793017</v>
      </c>
      <c r="L21" s="20" t="n">
        <v>0.06214484</v>
      </c>
      <c r="M21" s="18" t="n">
        <v>0</v>
      </c>
      <c r="N21" s="20" t="n">
        <v>0</v>
      </c>
      <c r="O21" s="18" t="n">
        <v>0</v>
      </c>
      <c r="P21" s="20" t="n">
        <v>0</v>
      </c>
      <c r="Q21" s="18" t="n">
        <v>0.50828156</v>
      </c>
      <c r="R21" s="20" t="n">
        <v>0.21463866</v>
      </c>
    </row>
    <row r="22" spans="1:18">
      <c r="A22" s="15" t="s">
        <v>444</v>
      </c>
      <c r="B22" s="17" t="n">
        <v>6598</v>
      </c>
      <c r="C22" s="18">
        <f>(5876.0/B22*100)</f>
        <v/>
      </c>
      <c r="D22" s="19" t="n">
        <v>722</v>
      </c>
      <c r="E22" s="18" t="n">
        <v>22.07696074</v>
      </c>
      <c r="F22" s="20" t="n">
        <v>1.73023972</v>
      </c>
      <c r="G22" s="18" t="n">
        <v>76.17418469</v>
      </c>
      <c r="H22" s="20" t="n">
        <v>1.62573484</v>
      </c>
      <c r="I22" s="18" t="n">
        <v>0</v>
      </c>
      <c r="J22" s="20" t="n">
        <v>0</v>
      </c>
      <c r="K22" s="18" t="n">
        <v>0.2461218</v>
      </c>
      <c r="L22" s="20" t="n">
        <v>0.17338908</v>
      </c>
      <c r="M22" s="18" t="n">
        <v>0</v>
      </c>
      <c r="N22" s="20" t="n">
        <v>0</v>
      </c>
      <c r="O22" s="18" t="n">
        <v>0</v>
      </c>
      <c r="P22" s="20" t="n">
        <v>0</v>
      </c>
      <c r="Q22" s="18" t="n">
        <v>1.50273277</v>
      </c>
      <c r="R22" s="20" t="n">
        <v>0.49886824</v>
      </c>
    </row>
    <row r="23" spans="1:18">
      <c r="A23" s="15" t="s">
        <v>445</v>
      </c>
      <c r="B23" s="17" t="n">
        <v>11583</v>
      </c>
      <c r="C23" s="18">
        <f>(10138.0/B23*100)</f>
        <v/>
      </c>
      <c r="D23" s="19" t="n">
        <v>1445</v>
      </c>
      <c r="E23" s="18" t="n">
        <v>15.58426334</v>
      </c>
      <c r="F23" s="20" t="n">
        <v>1.5636825</v>
      </c>
      <c r="G23" s="18" t="n">
        <v>83.43633359</v>
      </c>
      <c r="H23" s="20" t="n">
        <v>1.67312771</v>
      </c>
      <c r="I23" s="18" t="n">
        <v>0</v>
      </c>
      <c r="J23" s="20" t="n">
        <v>0</v>
      </c>
      <c r="K23" s="18" t="n">
        <v>0.17469571</v>
      </c>
      <c r="L23" s="20" t="n">
        <v>0.19711819</v>
      </c>
      <c r="M23" s="18" t="n">
        <v>0</v>
      </c>
      <c r="N23" s="20" t="n">
        <v>0</v>
      </c>
      <c r="O23" s="18" t="n">
        <v>0</v>
      </c>
      <c r="P23" s="20" t="n">
        <v>0</v>
      </c>
      <c r="Q23" s="18" t="n">
        <v>0.80470737</v>
      </c>
      <c r="R23" s="20" t="n">
        <v>0.36210456</v>
      </c>
    </row>
    <row r="24" spans="1:18">
      <c r="A24" s="15" t="s">
        <v>446</v>
      </c>
      <c r="B24" s="17" t="n">
        <v>6647</v>
      </c>
      <c r="C24" s="18">
        <f>(5835.0/B24*100)</f>
        <v/>
      </c>
      <c r="D24" s="19" t="n">
        <v>812</v>
      </c>
      <c r="E24" s="18" t="n">
        <v>23.42770383</v>
      </c>
      <c r="F24" s="20" t="n">
        <v>1.63423062</v>
      </c>
      <c r="G24" s="18" t="n">
        <v>75.78731601</v>
      </c>
      <c r="H24" s="20" t="n">
        <v>1.6267711</v>
      </c>
      <c r="I24" s="18" t="n">
        <v>0</v>
      </c>
      <c r="J24" s="20" t="n">
        <v>0</v>
      </c>
      <c r="K24" s="18" t="n">
        <v>0.10911273</v>
      </c>
      <c r="L24" s="20" t="n">
        <v>0.10882501</v>
      </c>
      <c r="M24" s="18" t="n">
        <v>0</v>
      </c>
      <c r="N24" s="20" t="n">
        <v>0</v>
      </c>
      <c r="O24" s="18" t="n">
        <v>0</v>
      </c>
      <c r="P24" s="20" t="n">
        <v>0</v>
      </c>
      <c r="Q24" s="18" t="n">
        <v>0.67586743</v>
      </c>
      <c r="R24" s="20" t="n">
        <v>0.28476538</v>
      </c>
    </row>
    <row r="25" spans="1:18">
      <c r="A25" s="15" t="s">
        <v>447</v>
      </c>
      <c r="B25" s="17" t="n">
        <v>5581</v>
      </c>
      <c r="C25" s="18">
        <f>(4908.0/B25*100)</f>
        <v/>
      </c>
      <c r="D25" s="19" t="n">
        <v>673</v>
      </c>
      <c r="E25" s="18" t="n">
        <v>18.59252559</v>
      </c>
      <c r="F25" s="20" t="n">
        <v>1.64893264</v>
      </c>
      <c r="G25" s="18" t="n">
        <v>81.29023196999999</v>
      </c>
      <c r="H25" s="20" t="n">
        <v>1.66445125</v>
      </c>
      <c r="I25" s="18" t="n">
        <v>0</v>
      </c>
      <c r="J25" s="20" t="n">
        <v>0</v>
      </c>
      <c r="K25" s="18" t="n">
        <v>0</v>
      </c>
      <c r="L25" s="20" t="n">
        <v>0</v>
      </c>
      <c r="M25" s="18" t="n">
        <v>0</v>
      </c>
      <c r="N25" s="20" t="n">
        <v>0</v>
      </c>
      <c r="O25" s="18" t="n">
        <v>0</v>
      </c>
      <c r="P25" s="20" t="n">
        <v>0</v>
      </c>
      <c r="Q25" s="18" t="n">
        <v>0.11724244</v>
      </c>
      <c r="R25" s="20" t="n">
        <v>0.11749478</v>
      </c>
    </row>
    <row r="26" spans="1:18">
      <c r="A26" s="15" t="s">
        <v>448</v>
      </c>
      <c r="B26" s="17" t="n">
        <v>4869</v>
      </c>
      <c r="C26" s="18">
        <f>(4271.0/B26*100)</f>
        <v/>
      </c>
      <c r="D26" s="19" t="n">
        <v>598</v>
      </c>
      <c r="E26" s="18" t="n">
        <v>18.24555966</v>
      </c>
      <c r="F26" s="20" t="n">
        <v>1.75752197</v>
      </c>
      <c r="G26" s="18" t="n">
        <v>81.57423571</v>
      </c>
      <c r="H26" s="20" t="n">
        <v>1.74532371</v>
      </c>
      <c r="I26" s="18" t="n">
        <v>0</v>
      </c>
      <c r="J26" s="20" t="n">
        <v>0</v>
      </c>
      <c r="K26" s="18" t="n">
        <v>0</v>
      </c>
      <c r="L26" s="20" t="n">
        <v>0</v>
      </c>
      <c r="M26" s="18" t="n">
        <v>0</v>
      </c>
      <c r="N26" s="20" t="n">
        <v>0</v>
      </c>
      <c r="O26" s="18" t="n">
        <v>0</v>
      </c>
      <c r="P26" s="20" t="n">
        <v>0</v>
      </c>
      <c r="Q26" s="18" t="n">
        <v>0.18020463</v>
      </c>
      <c r="R26" s="20" t="n">
        <v>0.18645227</v>
      </c>
    </row>
    <row r="27" spans="1:18">
      <c r="A27" s="15" t="s">
        <v>449</v>
      </c>
      <c r="B27" s="17" t="n">
        <v>5299</v>
      </c>
      <c r="C27" s="18">
        <f>(4660.0/B27*100)</f>
        <v/>
      </c>
      <c r="D27" s="19" t="n">
        <v>639</v>
      </c>
      <c r="E27" s="18" t="n">
        <v>24.76179816</v>
      </c>
      <c r="F27" s="20" t="n">
        <v>1.58175821</v>
      </c>
      <c r="G27" s="18" t="n">
        <v>73.98678701</v>
      </c>
      <c r="H27" s="20" t="n">
        <v>1.58901548</v>
      </c>
      <c r="I27" s="18" t="n">
        <v>0</v>
      </c>
      <c r="J27" s="20" t="n">
        <v>0</v>
      </c>
      <c r="K27" s="18" t="n">
        <v>0</v>
      </c>
      <c r="L27" s="20" t="n">
        <v>0</v>
      </c>
      <c r="M27" s="18" t="n">
        <v>0</v>
      </c>
      <c r="N27" s="20" t="n">
        <v>0</v>
      </c>
      <c r="O27" s="18" t="n">
        <v>0</v>
      </c>
      <c r="P27" s="20" t="n">
        <v>0</v>
      </c>
      <c r="Q27" s="18" t="n">
        <v>1.25141483</v>
      </c>
      <c r="R27" s="20" t="n">
        <v>0.43024313</v>
      </c>
    </row>
    <row r="28" spans="1:18">
      <c r="A28" s="15" t="s">
        <v>450</v>
      </c>
      <c r="B28" s="17" t="n">
        <v>7568</v>
      </c>
      <c r="C28" s="18">
        <f>(6652.0/B28*100)</f>
        <v/>
      </c>
      <c r="D28" s="19" t="n">
        <v>916</v>
      </c>
      <c r="E28" s="18" t="n">
        <v>30.4505633</v>
      </c>
      <c r="F28" s="20" t="n">
        <v>2.06900207</v>
      </c>
      <c r="G28" s="18" t="n">
        <v>68.32991008</v>
      </c>
      <c r="H28" s="20" t="n">
        <v>2.17455964</v>
      </c>
      <c r="I28" s="18" t="n">
        <v>0</v>
      </c>
      <c r="J28" s="20" t="n">
        <v>0</v>
      </c>
      <c r="K28" s="18" t="n">
        <v>0.70457308</v>
      </c>
      <c r="L28" s="20" t="n">
        <v>0.35474954</v>
      </c>
      <c r="M28" s="18" t="n">
        <v>0</v>
      </c>
      <c r="N28" s="20" t="n">
        <v>0</v>
      </c>
      <c r="O28" s="18" t="n">
        <v>0</v>
      </c>
      <c r="P28" s="20" t="n">
        <v>0</v>
      </c>
      <c r="Q28" s="18" t="n">
        <v>0.51495353</v>
      </c>
      <c r="R28" s="20" t="n">
        <v>0.25714933</v>
      </c>
    </row>
    <row r="29" spans="1:18">
      <c r="A29" s="15" t="s">
        <v>451</v>
      </c>
      <c r="B29" s="17" t="n">
        <v>5385</v>
      </c>
      <c r="C29" s="18">
        <f>(4739.0/B29*100)</f>
        <v/>
      </c>
      <c r="D29" s="19" t="n">
        <v>646</v>
      </c>
      <c r="E29" s="18" t="n">
        <v>13.99399008</v>
      </c>
      <c r="F29" s="20" t="n">
        <v>1.53050331</v>
      </c>
      <c r="G29" s="18" t="n">
        <v>85.74805240000001</v>
      </c>
      <c r="H29" s="20" t="n">
        <v>1.58632975</v>
      </c>
      <c r="I29" s="18" t="n">
        <v>0</v>
      </c>
      <c r="J29" s="20" t="n">
        <v>0</v>
      </c>
      <c r="K29" s="18" t="n">
        <v>0.09153656</v>
      </c>
      <c r="L29" s="20" t="n">
        <v>0.09149077999999999</v>
      </c>
      <c r="M29" s="18" t="n">
        <v>0</v>
      </c>
      <c r="N29" s="20" t="n">
        <v>0</v>
      </c>
      <c r="O29" s="18" t="n">
        <v>0</v>
      </c>
      <c r="P29" s="20" t="n">
        <v>0</v>
      </c>
      <c r="Q29" s="18" t="n">
        <v>0.16642096</v>
      </c>
      <c r="R29" s="20" t="n">
        <v>0.15557087</v>
      </c>
    </row>
    <row r="30" spans="1:18">
      <c r="A30" s="15" t="s">
        <v>452</v>
      </c>
      <c r="B30" s="17" t="n">
        <v>4520</v>
      </c>
      <c r="C30" s="18">
        <f>(3971.0/B30*100)</f>
        <v/>
      </c>
      <c r="D30" s="19" t="n">
        <v>549</v>
      </c>
      <c r="E30" s="18" t="n">
        <v>14.06191831</v>
      </c>
      <c r="F30" s="20" t="n">
        <v>1.41448936</v>
      </c>
      <c r="G30" s="18" t="n">
        <v>84.80567345</v>
      </c>
      <c r="H30" s="20" t="n">
        <v>1.49252116</v>
      </c>
      <c r="I30" s="18" t="n">
        <v>0</v>
      </c>
      <c r="J30" s="20" t="n">
        <v>0</v>
      </c>
      <c r="K30" s="18" t="n">
        <v>0.35069767</v>
      </c>
      <c r="L30" s="20" t="n">
        <v>0.27490907</v>
      </c>
      <c r="M30" s="18" t="n">
        <v>0</v>
      </c>
      <c r="N30" s="20" t="n">
        <v>0</v>
      </c>
      <c r="O30" s="18" t="n">
        <v>0</v>
      </c>
      <c r="P30" s="20" t="n">
        <v>0</v>
      </c>
      <c r="Q30" s="18" t="n">
        <v>0.7817105600000001</v>
      </c>
      <c r="R30" s="20" t="n">
        <v>0.35368872</v>
      </c>
    </row>
    <row r="31" spans="1:18">
      <c r="A31" s="15" t="s">
        <v>453</v>
      </c>
      <c r="B31" s="17" t="n">
        <v>5456</v>
      </c>
      <c r="C31" s="18">
        <f>(4789.0/B31*100)</f>
        <v/>
      </c>
      <c r="D31" s="19" t="n">
        <v>667</v>
      </c>
      <c r="E31" s="18" t="n">
        <v>10.06642573</v>
      </c>
      <c r="F31" s="20" t="n">
        <v>1.25956608</v>
      </c>
      <c r="G31" s="18" t="n">
        <v>88.93716963</v>
      </c>
      <c r="H31" s="20" t="n">
        <v>1.39317349</v>
      </c>
      <c r="I31" s="18" t="n">
        <v>0</v>
      </c>
      <c r="J31" s="20" t="n">
        <v>0</v>
      </c>
      <c r="K31" s="18" t="n">
        <v>0.56997435</v>
      </c>
      <c r="L31" s="20" t="n">
        <v>0.2774823</v>
      </c>
      <c r="M31" s="18" t="n">
        <v>0</v>
      </c>
      <c r="N31" s="20" t="n">
        <v>0</v>
      </c>
      <c r="O31" s="18" t="n">
        <v>0</v>
      </c>
      <c r="P31" s="20" t="n">
        <v>0</v>
      </c>
      <c r="Q31" s="18" t="n">
        <v>0.42643029</v>
      </c>
      <c r="R31" s="20" t="n">
        <v>0.23895678</v>
      </c>
    </row>
    <row r="32" spans="1:18">
      <c r="A32" s="15" t="s">
        <v>454</v>
      </c>
      <c r="B32" s="17" t="n">
        <v>4478</v>
      </c>
      <c r="C32" s="18">
        <f>(3745.0/B32*100)</f>
        <v/>
      </c>
      <c r="D32" s="19" t="n">
        <v>733</v>
      </c>
      <c r="E32" s="18" t="n">
        <v>16.85974692</v>
      </c>
      <c r="F32" s="20" t="n">
        <v>1.5221272</v>
      </c>
      <c r="G32" s="18" t="n">
        <v>83.01351821999999</v>
      </c>
      <c r="H32" s="20" t="n">
        <v>1.53779692</v>
      </c>
      <c r="I32" s="18" t="n">
        <v>0</v>
      </c>
      <c r="J32" s="20" t="n">
        <v>0</v>
      </c>
      <c r="K32" s="18" t="n">
        <v>0</v>
      </c>
      <c r="L32" s="20" t="n">
        <v>0</v>
      </c>
      <c r="M32" s="18" t="n">
        <v>0</v>
      </c>
      <c r="N32" s="20" t="n">
        <v>0</v>
      </c>
      <c r="O32" s="18" t="n">
        <v>0</v>
      </c>
      <c r="P32" s="20" t="n">
        <v>0</v>
      </c>
      <c r="Q32" s="18" t="n">
        <v>0.12673487</v>
      </c>
      <c r="R32" s="20" t="n">
        <v>0.12671003</v>
      </c>
    </row>
    <row r="33" spans="1:18">
      <c r="A33" s="15" t="s">
        <v>455</v>
      </c>
      <c r="B33" s="17" t="n">
        <v>7325</v>
      </c>
      <c r="C33" s="18">
        <f>(6422.0/B33*100)</f>
        <v/>
      </c>
      <c r="D33" s="19" t="n">
        <v>903</v>
      </c>
      <c r="E33" s="18" t="n">
        <v>14.63804422</v>
      </c>
      <c r="F33" s="20" t="n">
        <v>1.06203155</v>
      </c>
      <c r="G33" s="18" t="n">
        <v>84.48121439000001</v>
      </c>
      <c r="H33" s="20" t="n">
        <v>1.07216731</v>
      </c>
      <c r="I33" s="18" t="n">
        <v>0</v>
      </c>
      <c r="J33" s="20" t="n">
        <v>0</v>
      </c>
      <c r="K33" s="18" t="n">
        <v>0.19814605</v>
      </c>
      <c r="L33" s="20" t="n">
        <v>0.16388111</v>
      </c>
      <c r="M33" s="18" t="n">
        <v>0</v>
      </c>
      <c r="N33" s="20" t="n">
        <v>0</v>
      </c>
      <c r="O33" s="18" t="n">
        <v>0</v>
      </c>
      <c r="P33" s="20" t="n">
        <v>0</v>
      </c>
      <c r="Q33" s="18" t="n">
        <v>0.68259534</v>
      </c>
      <c r="R33" s="20" t="n">
        <v>0.28031557</v>
      </c>
    </row>
    <row r="34" spans="1:18">
      <c r="A34" s="15" t="s">
        <v>456</v>
      </c>
      <c r="B34" s="17" t="n">
        <v>6350</v>
      </c>
      <c r="C34" s="18">
        <f>(5599.0/B34*100)</f>
        <v/>
      </c>
      <c r="D34" s="19" t="n">
        <v>751</v>
      </c>
      <c r="E34" s="18" t="n">
        <v>22.74306174</v>
      </c>
      <c r="F34" s="20" t="n">
        <v>1.76672843</v>
      </c>
      <c r="G34" s="18" t="n">
        <v>76.62673991</v>
      </c>
      <c r="H34" s="20" t="n">
        <v>1.75469806</v>
      </c>
      <c r="I34" s="18" t="n">
        <v>0</v>
      </c>
      <c r="J34" s="20" t="n">
        <v>0</v>
      </c>
      <c r="K34" s="18" t="n">
        <v>0.20991421</v>
      </c>
      <c r="L34" s="20" t="n">
        <v>0.2090465</v>
      </c>
      <c r="M34" s="18" t="n">
        <v>0</v>
      </c>
      <c r="N34" s="20" t="n">
        <v>0</v>
      </c>
      <c r="O34" s="18" t="n">
        <v>0</v>
      </c>
      <c r="P34" s="20" t="n">
        <v>0</v>
      </c>
      <c r="Q34" s="18" t="n">
        <v>0.42028413</v>
      </c>
      <c r="R34" s="20" t="n">
        <v>0.25962519</v>
      </c>
    </row>
    <row r="35" spans="1:18">
      <c r="A35" s="15" t="s">
        <v>457</v>
      </c>
      <c r="B35" s="17" t="n">
        <v>6406</v>
      </c>
      <c r="C35" s="18">
        <f>(5633.0/B35*100)</f>
        <v/>
      </c>
      <c r="D35" s="19" t="n">
        <v>773</v>
      </c>
      <c r="E35" s="18" t="n">
        <v>16.97036213</v>
      </c>
      <c r="F35" s="20" t="n">
        <v>1.68079725</v>
      </c>
      <c r="G35" s="18" t="n">
        <v>82.42278606000001</v>
      </c>
      <c r="H35" s="20" t="n">
        <v>1.70994955</v>
      </c>
      <c r="I35" s="18" t="n">
        <v>0</v>
      </c>
      <c r="J35" s="20" t="n">
        <v>0</v>
      </c>
      <c r="K35" s="18" t="n">
        <v>0</v>
      </c>
      <c r="L35" s="20" t="n">
        <v>0</v>
      </c>
      <c r="M35" s="18" t="n">
        <v>0</v>
      </c>
      <c r="N35" s="20" t="n">
        <v>0</v>
      </c>
      <c r="O35" s="18" t="n">
        <v>0</v>
      </c>
      <c r="P35" s="20" t="n">
        <v>0</v>
      </c>
      <c r="Q35" s="18" t="n">
        <v>0.6068518000000001</v>
      </c>
      <c r="R35" s="20" t="n">
        <v>0.28862442</v>
      </c>
    </row>
    <row r="36" spans="1:18">
      <c r="A36" s="15" t="s">
        <v>458</v>
      </c>
      <c r="B36" s="17" t="n">
        <v>6736</v>
      </c>
      <c r="C36" s="18">
        <f>(5924.0/B36*100)</f>
        <v/>
      </c>
      <c r="D36" s="19" t="n">
        <v>812</v>
      </c>
      <c r="E36" s="18" t="n">
        <v>17.32512302</v>
      </c>
      <c r="F36" s="20" t="n">
        <v>1.50224493</v>
      </c>
      <c r="G36" s="18" t="n">
        <v>82.12718470999999</v>
      </c>
      <c r="H36" s="20" t="n">
        <v>1.50356364</v>
      </c>
      <c r="I36" s="18" t="n">
        <v>0</v>
      </c>
      <c r="J36" s="20" t="n">
        <v>0</v>
      </c>
      <c r="K36" s="18" t="n">
        <v>0.1337096</v>
      </c>
      <c r="L36" s="20" t="n">
        <v>0.19717199</v>
      </c>
      <c r="M36" s="18" t="n">
        <v>0</v>
      </c>
      <c r="N36" s="20" t="n">
        <v>0</v>
      </c>
      <c r="O36" s="18" t="n">
        <v>0</v>
      </c>
      <c r="P36" s="20" t="n">
        <v>0</v>
      </c>
      <c r="Q36" s="18" t="n">
        <v>0.41398266</v>
      </c>
      <c r="R36" s="20" t="n">
        <v>0.21741614</v>
      </c>
    </row>
    <row r="37" spans="1:18">
      <c r="A37" s="15" t="s">
        <v>459</v>
      </c>
      <c r="B37" s="17" t="n">
        <v>5458</v>
      </c>
      <c r="C37" s="18">
        <f>(4768.0/B37*100)</f>
        <v/>
      </c>
      <c r="D37" s="19" t="n">
        <v>690</v>
      </c>
      <c r="E37" s="18" t="n">
        <v>11.02452767</v>
      </c>
      <c r="F37" s="20" t="n">
        <v>1.18298333</v>
      </c>
      <c r="G37" s="18" t="n">
        <v>88.0668561</v>
      </c>
      <c r="H37" s="20" t="n">
        <v>1.2233437</v>
      </c>
      <c r="I37" s="18" t="n">
        <v>0</v>
      </c>
      <c r="J37" s="20" t="n">
        <v>0</v>
      </c>
      <c r="K37" s="18" t="n">
        <v>0.27991089</v>
      </c>
      <c r="L37" s="20" t="n">
        <v>0.19925513</v>
      </c>
      <c r="M37" s="18" t="n">
        <v>0</v>
      </c>
      <c r="N37" s="20" t="n">
        <v>0</v>
      </c>
      <c r="O37" s="18" t="n">
        <v>0</v>
      </c>
      <c r="P37" s="20" t="n">
        <v>0</v>
      </c>
      <c r="Q37" s="18" t="n">
        <v>0.62870534</v>
      </c>
      <c r="R37" s="20" t="n">
        <v>0.28151976</v>
      </c>
    </row>
    <row r="38" spans="1:18">
      <c r="A38" s="15" t="s">
        <v>460</v>
      </c>
      <c r="B38" s="17" t="n">
        <v>5860</v>
      </c>
      <c r="C38" s="18">
        <f>(4899.0/B38*100)</f>
        <v/>
      </c>
      <c r="D38" s="19" t="n">
        <v>961</v>
      </c>
      <c r="E38" s="18" t="n">
        <v>20.99999921</v>
      </c>
      <c r="F38" s="20" t="n">
        <v>1.63301653</v>
      </c>
      <c r="G38" s="18" t="n">
        <v>78.03096626999999</v>
      </c>
      <c r="H38" s="20" t="n">
        <v>1.65671996</v>
      </c>
      <c r="I38" s="18" t="n">
        <v>0</v>
      </c>
      <c r="J38" s="20" t="n">
        <v>0</v>
      </c>
      <c r="K38" s="18" t="n">
        <v>0.32690731</v>
      </c>
      <c r="L38" s="20" t="n">
        <v>0.28722579</v>
      </c>
      <c r="M38" s="18" t="n">
        <v>0</v>
      </c>
      <c r="N38" s="20" t="n">
        <v>0</v>
      </c>
      <c r="O38" s="18" t="n">
        <v>0</v>
      </c>
      <c r="P38" s="20" t="n">
        <v>0</v>
      </c>
      <c r="Q38" s="18" t="n">
        <v>0.6421272099999999</v>
      </c>
      <c r="R38" s="20" t="n">
        <v>0.27749551</v>
      </c>
    </row>
    <row r="39" spans="1:18">
      <c r="A39" s="15" t="s">
        <v>461</v>
      </c>
      <c r="B39" s="17" t="n">
        <v>5895</v>
      </c>
      <c r="C39" s="18">
        <f>(5177.0/B39*100)</f>
        <v/>
      </c>
      <c r="D39" s="19" t="n">
        <v>718</v>
      </c>
      <c r="E39" s="18" t="n">
        <v>32.67554307</v>
      </c>
      <c r="F39" s="20" t="n">
        <v>2.16304165</v>
      </c>
      <c r="G39" s="18" t="n">
        <v>66.97263352</v>
      </c>
      <c r="H39" s="20" t="n">
        <v>2.17508691</v>
      </c>
      <c r="I39" s="18" t="n">
        <v>0</v>
      </c>
      <c r="J39" s="20" t="n">
        <v>0</v>
      </c>
      <c r="K39" s="18" t="n">
        <v>0.19879398</v>
      </c>
      <c r="L39" s="20" t="n">
        <v>0.19834283</v>
      </c>
      <c r="M39" s="18" t="n">
        <v>0</v>
      </c>
      <c r="N39" s="20" t="n">
        <v>0</v>
      </c>
      <c r="O39" s="18" t="n">
        <v>0</v>
      </c>
      <c r="P39" s="20" t="n">
        <v>0</v>
      </c>
      <c r="Q39" s="18" t="n">
        <v>0.15302943</v>
      </c>
      <c r="R39" s="20" t="n">
        <v>0.12979678</v>
      </c>
    </row>
    <row r="40" spans="1:18">
      <c r="A40" s="15" t="s">
        <v>462</v>
      </c>
      <c r="B40" s="17" t="n">
        <v>14157</v>
      </c>
      <c r="C40" s="18">
        <f>(12439.0/B40*100)</f>
        <v/>
      </c>
      <c r="D40" s="19" t="n">
        <v>1718</v>
      </c>
      <c r="E40" s="18" t="n">
        <v>12.92771764</v>
      </c>
      <c r="F40" s="20" t="n">
        <v>1.15223585</v>
      </c>
      <c r="G40" s="18" t="n">
        <v>86.28391639</v>
      </c>
      <c r="H40" s="20" t="n">
        <v>1.3278227</v>
      </c>
      <c r="I40" s="18" t="n">
        <v>0</v>
      </c>
      <c r="J40" s="20" t="n">
        <v>0</v>
      </c>
      <c r="K40" s="18" t="n">
        <v>0.02494355</v>
      </c>
      <c r="L40" s="20" t="n">
        <v>0.01778654</v>
      </c>
      <c r="M40" s="18" t="n">
        <v>0</v>
      </c>
      <c r="N40" s="20" t="n">
        <v>0</v>
      </c>
      <c r="O40" s="18" t="n">
        <v>0</v>
      </c>
      <c r="P40" s="20" t="n">
        <v>0</v>
      </c>
      <c r="Q40" s="18" t="n">
        <v>0.76342243</v>
      </c>
      <c r="R40" s="20" t="n">
        <v>0.49376814</v>
      </c>
    </row>
    <row r="41" spans="1:18">
      <c r="A41" s="15" t="s">
        <v>463</v>
      </c>
      <c r="B41" s="17" t="n">
        <v>5712</v>
      </c>
      <c r="C41" s="18">
        <f>(5009.0/B41*100)</f>
        <v/>
      </c>
      <c r="D41" s="19" t="n">
        <v>703</v>
      </c>
      <c r="E41" s="18" t="n">
        <v>13.67340214</v>
      </c>
      <c r="F41" s="20" t="n">
        <v>1.35070877</v>
      </c>
      <c r="G41" s="18" t="n">
        <v>85.9173998</v>
      </c>
      <c r="H41" s="20" t="n">
        <v>1.41924637</v>
      </c>
      <c r="I41" s="18" t="n">
        <v>0</v>
      </c>
      <c r="J41" s="20" t="n">
        <v>0</v>
      </c>
      <c r="K41" s="18" t="n">
        <v>0</v>
      </c>
      <c r="L41" s="20" t="n">
        <v>0</v>
      </c>
      <c r="M41" s="18" t="n">
        <v>0</v>
      </c>
      <c r="N41" s="20" t="n">
        <v>0</v>
      </c>
      <c r="O41" s="18" t="n">
        <v>0</v>
      </c>
      <c r="P41" s="20" t="n">
        <v>0</v>
      </c>
      <c r="Q41" s="18" t="n">
        <v>0.40919806</v>
      </c>
      <c r="R41" s="20" t="n">
        <v>0.21090138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(20632.0/B46*100)</f>
        <v/>
      </c>
      <c r="D46" s="19" t="n">
        <v>2509</v>
      </c>
      <c r="E46" s="18" t="n">
        <v>37.94216233</v>
      </c>
      <c r="F46" s="20" t="n">
        <v>1.44899925</v>
      </c>
      <c r="G46" s="18" t="n">
        <v>59.95109462</v>
      </c>
      <c r="H46" s="20" t="n">
        <v>1.46994715</v>
      </c>
      <c r="I46" s="18" t="n">
        <v>0</v>
      </c>
      <c r="J46" s="20" t="n">
        <v>0</v>
      </c>
      <c r="K46" s="18" t="n">
        <v>0.83245023</v>
      </c>
      <c r="L46" s="20" t="n">
        <v>0.22380229</v>
      </c>
      <c r="M46" s="18" t="n">
        <v>0</v>
      </c>
      <c r="N46" s="20" t="n">
        <v>0</v>
      </c>
      <c r="O46" s="18" t="n">
        <v>0</v>
      </c>
      <c r="P46" s="20" t="n">
        <v>0</v>
      </c>
      <c r="Q46" s="18" t="n">
        <v>1.27429283</v>
      </c>
      <c r="R46" s="20" t="n">
        <v>0.24828308</v>
      </c>
    </row>
    <row r="47" spans="1:18">
      <c r="A47" s="15" t="s">
        <v>470</v>
      </c>
      <c r="B47" s="17" t="n">
        <v>5928</v>
      </c>
      <c r="C47" s="18">
        <f>(5177.0/B47*100)</f>
        <v/>
      </c>
      <c r="D47" s="19" t="n">
        <v>751</v>
      </c>
      <c r="E47" s="18" t="n">
        <v>29.10336928</v>
      </c>
      <c r="F47" s="20" t="n">
        <v>1.89190097</v>
      </c>
      <c r="G47" s="18" t="n">
        <v>70.22984844</v>
      </c>
      <c r="H47" s="20" t="n">
        <v>1.91674113</v>
      </c>
      <c r="I47" s="18" t="n">
        <v>0</v>
      </c>
      <c r="J47" s="20" t="n">
        <v>0</v>
      </c>
      <c r="K47" s="18" t="n">
        <v>0.12872926</v>
      </c>
      <c r="L47" s="20" t="n">
        <v>0.12388767</v>
      </c>
      <c r="M47" s="18" t="n">
        <v>0</v>
      </c>
      <c r="N47" s="20" t="n">
        <v>0</v>
      </c>
      <c r="O47" s="18" t="n">
        <v>0</v>
      </c>
      <c r="P47" s="20" t="n">
        <v>0</v>
      </c>
      <c r="Q47" s="18" t="n">
        <v>0.5380530100000001</v>
      </c>
      <c r="R47" s="20" t="n">
        <v>0.34137515</v>
      </c>
    </row>
    <row r="48" spans="1:18">
      <c r="A48" s="15" t="s">
        <v>471</v>
      </c>
      <c r="B48" s="17" t="n">
        <v>9841</v>
      </c>
      <c r="C48" s="18">
        <f>(8630.0/B48*100)</f>
        <v/>
      </c>
      <c r="D48" s="19" t="n">
        <v>1211</v>
      </c>
      <c r="E48" s="18" t="n">
        <v>23.00441324</v>
      </c>
      <c r="F48" s="20" t="n">
        <v>1.59656835</v>
      </c>
      <c r="G48" s="18" t="n">
        <v>76.38154050999999</v>
      </c>
      <c r="H48" s="20" t="n">
        <v>1.59840612</v>
      </c>
      <c r="I48" s="18" t="n">
        <v>0</v>
      </c>
      <c r="J48" s="20" t="n">
        <v>0</v>
      </c>
      <c r="K48" s="18" t="n">
        <v>0.34718396</v>
      </c>
      <c r="L48" s="20" t="n">
        <v>0.24469344</v>
      </c>
      <c r="M48" s="18" t="n">
        <v>0</v>
      </c>
      <c r="N48" s="20" t="n">
        <v>0</v>
      </c>
      <c r="O48" s="18" t="n">
        <v>0</v>
      </c>
      <c r="P48" s="20" t="n">
        <v>0</v>
      </c>
      <c r="Q48" s="18" t="n">
        <v>0.26686229</v>
      </c>
      <c r="R48" s="20" t="n">
        <v>0.18617924</v>
      </c>
    </row>
    <row r="49" spans="1:18">
      <c r="A49" s="15" t="s">
        <v>472</v>
      </c>
      <c r="B49" s="17" t="n">
        <v>11795</v>
      </c>
      <c r="C49" s="18">
        <f>(10389.0/B49*100)</f>
        <v/>
      </c>
      <c r="D49" s="19" t="n">
        <v>1406</v>
      </c>
      <c r="E49" s="18" t="n">
        <v>31.65445357</v>
      </c>
      <c r="F49" s="20" t="n">
        <v>1.70179045</v>
      </c>
      <c r="G49" s="18" t="n">
        <v>65.28552109</v>
      </c>
      <c r="H49" s="20" t="n">
        <v>1.75902631</v>
      </c>
      <c r="I49" s="18" t="n">
        <v>0</v>
      </c>
      <c r="J49" s="20" t="n">
        <v>0</v>
      </c>
      <c r="K49" s="18" t="n">
        <v>1.5404897</v>
      </c>
      <c r="L49" s="20" t="n">
        <v>0.5000732</v>
      </c>
      <c r="M49" s="18" t="n">
        <v>0</v>
      </c>
      <c r="N49" s="20" t="n">
        <v>0</v>
      </c>
      <c r="O49" s="18" t="n">
        <v>0</v>
      </c>
      <c r="P49" s="20" t="n">
        <v>0</v>
      </c>
      <c r="Q49" s="18" t="n">
        <v>1.51953564</v>
      </c>
      <c r="R49" s="20" t="n">
        <v>0.53132343</v>
      </c>
    </row>
    <row r="50" spans="1:18">
      <c r="A50" s="15" t="s">
        <v>473</v>
      </c>
      <c r="B50" s="17" t="n">
        <v>6866</v>
      </c>
      <c r="C50" s="18">
        <f>(6119.0/B50*100)</f>
        <v/>
      </c>
      <c r="D50" s="19" t="n">
        <v>747</v>
      </c>
      <c r="E50" s="18" t="n">
        <v>27.8343461</v>
      </c>
      <c r="F50" s="20" t="n">
        <v>1.89248954</v>
      </c>
      <c r="G50" s="18" t="n">
        <v>71.1534594</v>
      </c>
      <c r="H50" s="20" t="n">
        <v>1.85560149</v>
      </c>
      <c r="I50" s="18" t="n">
        <v>0</v>
      </c>
      <c r="J50" s="20" t="n">
        <v>0</v>
      </c>
      <c r="K50" s="18" t="n">
        <v>0.47403947</v>
      </c>
      <c r="L50" s="20" t="n">
        <v>0.23964823</v>
      </c>
      <c r="M50" s="18" t="n">
        <v>0</v>
      </c>
      <c r="N50" s="20" t="n">
        <v>0</v>
      </c>
      <c r="O50" s="18" t="n">
        <v>0</v>
      </c>
      <c r="P50" s="20" t="n">
        <v>0</v>
      </c>
      <c r="Q50" s="18" t="n">
        <v>0.53815503</v>
      </c>
      <c r="R50" s="20" t="n">
        <v>0.22656376</v>
      </c>
    </row>
    <row r="51" spans="1:18">
      <c r="A51" s="15" t="s">
        <v>474</v>
      </c>
      <c r="B51" s="17" t="n">
        <v>5809</v>
      </c>
      <c r="C51" s="18">
        <f>(5079.0/B51*100)</f>
        <v/>
      </c>
      <c r="D51" s="19" t="n">
        <v>730</v>
      </c>
      <c r="E51" s="18" t="n">
        <v>20.4106298</v>
      </c>
      <c r="F51" s="20" t="n">
        <v>1.39095869</v>
      </c>
      <c r="G51" s="18" t="n">
        <v>78.73509903</v>
      </c>
      <c r="H51" s="20" t="n">
        <v>1.41711032</v>
      </c>
      <c r="I51" s="18" t="n">
        <v>0</v>
      </c>
      <c r="J51" s="20" t="n">
        <v>0</v>
      </c>
      <c r="K51" s="18" t="n">
        <v>0</v>
      </c>
      <c r="L51" s="20" t="n">
        <v>0</v>
      </c>
      <c r="M51" s="18" t="n">
        <v>0</v>
      </c>
      <c r="N51" s="20" t="n">
        <v>0</v>
      </c>
      <c r="O51" s="18" t="n">
        <v>0</v>
      </c>
      <c r="P51" s="20" t="n">
        <v>0</v>
      </c>
      <c r="Q51" s="18" t="n">
        <v>0.85427117</v>
      </c>
      <c r="R51" s="20" t="n">
        <v>0.33411481</v>
      </c>
    </row>
    <row r="52" spans="1:18">
      <c r="A52" s="15" t="s">
        <v>475</v>
      </c>
      <c r="B52" s="17" t="n">
        <v>5571</v>
      </c>
      <c r="C52" s="18">
        <f>(4906.0/B52*100)</f>
        <v/>
      </c>
      <c r="D52" s="19" t="n">
        <v>665</v>
      </c>
      <c r="E52" s="18" t="n">
        <v>33.94060185</v>
      </c>
      <c r="F52" s="20" t="n">
        <v>2.17963993</v>
      </c>
      <c r="G52" s="18" t="n">
        <v>64.75439473</v>
      </c>
      <c r="H52" s="20" t="n">
        <v>2.23430451</v>
      </c>
      <c r="I52" s="18" t="n">
        <v>0</v>
      </c>
      <c r="J52" s="20" t="n">
        <v>0</v>
      </c>
      <c r="K52" s="18" t="n">
        <v>0</v>
      </c>
      <c r="L52" s="20" t="n">
        <v>0</v>
      </c>
      <c r="M52" s="18" t="n">
        <v>0</v>
      </c>
      <c r="N52" s="20" t="n">
        <v>0</v>
      </c>
      <c r="O52" s="18" t="n">
        <v>0</v>
      </c>
      <c r="P52" s="20" t="n">
        <v>0</v>
      </c>
      <c r="Q52" s="18" t="n">
        <v>1.30500342</v>
      </c>
      <c r="R52" s="20" t="n">
        <v>0.38534574</v>
      </c>
    </row>
    <row r="53" spans="1:18">
      <c r="A53" s="15" t="s">
        <v>476</v>
      </c>
      <c r="B53" s="17" t="n">
        <v>4740</v>
      </c>
      <c r="C53" s="18">
        <f>(3975.0/B53*100)</f>
        <v/>
      </c>
      <c r="D53" s="19" t="n">
        <v>765</v>
      </c>
      <c r="E53" s="18" t="n">
        <v>38.68532371</v>
      </c>
      <c r="F53" s="20" t="n">
        <v>1.71262984</v>
      </c>
      <c r="G53" s="18" t="n">
        <v>48.17377732</v>
      </c>
      <c r="H53" s="20" t="n">
        <v>1.85713742</v>
      </c>
      <c r="I53" s="18" t="n">
        <v>0</v>
      </c>
      <c r="J53" s="20" t="n">
        <v>0</v>
      </c>
      <c r="K53" s="18" t="n">
        <v>9.59042191</v>
      </c>
      <c r="L53" s="20" t="n">
        <v>1.21110062</v>
      </c>
      <c r="M53" s="18" t="n">
        <v>0</v>
      </c>
      <c r="N53" s="20" t="n">
        <v>0</v>
      </c>
      <c r="O53" s="18" t="n">
        <v>0</v>
      </c>
      <c r="P53" s="20" t="n">
        <v>0</v>
      </c>
      <c r="Q53" s="18" t="n">
        <v>3.55047706</v>
      </c>
      <c r="R53" s="20" t="n">
        <v>0.80318673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(4709.0/B55*100)</f>
        <v/>
      </c>
      <c r="D55" s="19" t="n">
        <v>650</v>
      </c>
      <c r="E55" s="18" t="n">
        <v>16.08959463</v>
      </c>
      <c r="F55" s="20" t="n">
        <v>1.45605176</v>
      </c>
      <c r="G55" s="18" t="n">
        <v>83.24202889</v>
      </c>
      <c r="H55" s="20" t="n">
        <v>1.48241808</v>
      </c>
      <c r="I55" s="18" t="n">
        <v>0</v>
      </c>
      <c r="J55" s="20" t="n">
        <v>0</v>
      </c>
      <c r="K55" s="18" t="n">
        <v>0.34936145</v>
      </c>
      <c r="L55" s="20" t="n">
        <v>0.2616535</v>
      </c>
      <c r="M55" s="18" t="n">
        <v>0</v>
      </c>
      <c r="N55" s="20" t="n">
        <v>0</v>
      </c>
      <c r="O55" s="18" t="n">
        <v>0</v>
      </c>
      <c r="P55" s="20" t="n">
        <v>0</v>
      </c>
      <c r="Q55" s="18" t="n">
        <v>0.31901503</v>
      </c>
      <c r="R55" s="20" t="n">
        <v>0.22253864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(5745.0/B61*100)</f>
        <v/>
      </c>
      <c r="D61" s="19" t="n">
        <v>780</v>
      </c>
      <c r="E61" s="18" t="n">
        <v>15.35185366</v>
      </c>
      <c r="F61" s="20" t="n">
        <v>1.49613155</v>
      </c>
      <c r="G61" s="18" t="n">
        <v>84.19422699</v>
      </c>
      <c r="H61" s="20" t="n">
        <v>1.54314348</v>
      </c>
      <c r="I61" s="18" t="n">
        <v>0</v>
      </c>
      <c r="J61" s="20" t="n">
        <v>0</v>
      </c>
      <c r="K61" s="18" t="n">
        <v>0.05977578</v>
      </c>
      <c r="L61" s="20" t="n">
        <v>0.04240866</v>
      </c>
      <c r="M61" s="18" t="n">
        <v>0</v>
      </c>
      <c r="N61" s="20" t="n">
        <v>0</v>
      </c>
      <c r="O61" s="18" t="n">
        <v>0</v>
      </c>
      <c r="P61" s="20" t="n">
        <v>0</v>
      </c>
      <c r="Q61" s="18" t="n">
        <v>0.39414357</v>
      </c>
      <c r="R61" s="20" t="n">
        <v>0.21902623</v>
      </c>
    </row>
    <row r="62" spans="1:18">
      <c r="A62" s="15" t="s">
        <v>486</v>
      </c>
      <c r="B62" s="17" t="n">
        <v>4476</v>
      </c>
      <c r="C62" s="18">
        <f>(3925.0/B62*100)</f>
        <v/>
      </c>
      <c r="D62" s="19" t="n">
        <v>551</v>
      </c>
      <c r="E62" s="18" t="n">
        <v>16.48944835</v>
      </c>
      <c r="F62" s="20" t="n">
        <v>1.65727146</v>
      </c>
      <c r="G62" s="18" t="n">
        <v>83.32407481</v>
      </c>
      <c r="H62" s="20" t="n">
        <v>1.64131972</v>
      </c>
      <c r="I62" s="18" t="n">
        <v>0</v>
      </c>
      <c r="J62" s="20" t="n">
        <v>0</v>
      </c>
      <c r="K62" s="18" t="n">
        <v>0</v>
      </c>
      <c r="L62" s="20" t="n">
        <v>0</v>
      </c>
      <c r="M62" s="18" t="n">
        <v>0</v>
      </c>
      <c r="N62" s="20" t="n">
        <v>0</v>
      </c>
      <c r="O62" s="18" t="n">
        <v>0</v>
      </c>
      <c r="P62" s="20" t="n">
        <v>0</v>
      </c>
      <c r="Q62" s="18" t="n">
        <v>0.18647684</v>
      </c>
      <c r="R62" s="20" t="n">
        <v>0.18761866</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(4977.0/B67*100)</f>
        <v/>
      </c>
      <c r="D67" s="19" t="n">
        <v>688</v>
      </c>
      <c r="E67" s="18" t="n">
        <v>25.26158319</v>
      </c>
      <c r="F67" s="20" t="n">
        <v>1.91143836</v>
      </c>
      <c r="G67" s="18" t="n">
        <v>71.45712794000001</v>
      </c>
      <c r="H67" s="20" t="n">
        <v>2.03043562</v>
      </c>
      <c r="I67" s="18" t="n">
        <v>0</v>
      </c>
      <c r="J67" s="20" t="n">
        <v>0</v>
      </c>
      <c r="K67" s="18" t="n">
        <v>0.13151149</v>
      </c>
      <c r="L67" s="20" t="n">
        <v>0.1308322</v>
      </c>
      <c r="M67" s="18" t="n">
        <v>0</v>
      </c>
      <c r="N67" s="20" t="n">
        <v>0</v>
      </c>
      <c r="O67" s="18" t="n">
        <v>0</v>
      </c>
      <c r="P67" s="20" t="n">
        <v>0</v>
      </c>
      <c r="Q67" s="18" t="n">
        <v>3.14977738</v>
      </c>
      <c r="R67" s="20" t="n">
        <v>0.67834913</v>
      </c>
    </row>
    <row r="68" spans="1:18">
      <c r="A68" s="15" t="s">
        <v>492</v>
      </c>
      <c r="B68" s="17" t="n">
        <v>6971</v>
      </c>
      <c r="C68" s="18">
        <f>(6175.0/B68*100)</f>
        <v/>
      </c>
      <c r="D68" s="19" t="n">
        <v>796</v>
      </c>
      <c r="E68" s="18" t="n">
        <v>44.95451231</v>
      </c>
      <c r="F68" s="20" t="n">
        <v>2.05288594</v>
      </c>
      <c r="G68" s="18" t="n">
        <v>53.72957261</v>
      </c>
      <c r="H68" s="20" t="n">
        <v>2.06582224</v>
      </c>
      <c r="I68" s="18" t="n">
        <v>0</v>
      </c>
      <c r="J68" s="20" t="n">
        <v>0</v>
      </c>
      <c r="K68" s="18" t="n">
        <v>0.22425278</v>
      </c>
      <c r="L68" s="20" t="n">
        <v>0.16341279</v>
      </c>
      <c r="M68" s="18" t="n">
        <v>0</v>
      </c>
      <c r="N68" s="20" t="n">
        <v>0</v>
      </c>
      <c r="O68" s="18" t="n">
        <v>0</v>
      </c>
      <c r="P68" s="20" t="n">
        <v>0</v>
      </c>
      <c r="Q68" s="18" t="n">
        <v>1.0916623</v>
      </c>
      <c r="R68" s="20" t="n">
        <v>0.3706231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(10068.0/B70*100)</f>
        <v/>
      </c>
      <c r="D70" s="19" t="n">
        <v>2015</v>
      </c>
      <c r="E70" s="18" t="n">
        <v>33.53364131</v>
      </c>
      <c r="F70" s="20" t="n">
        <v>0.9688776099999999</v>
      </c>
      <c r="G70" s="18" t="n">
        <v>62.40597229</v>
      </c>
      <c r="H70" s="20" t="n">
        <v>0.91814157</v>
      </c>
      <c r="I70" s="18" t="n">
        <v>0</v>
      </c>
      <c r="J70" s="20" t="n">
        <v>0</v>
      </c>
      <c r="K70" s="18" t="n">
        <v>1.5434279</v>
      </c>
      <c r="L70" s="20" t="n">
        <v>0.30737399</v>
      </c>
      <c r="M70" s="18" t="n">
        <v>0</v>
      </c>
      <c r="N70" s="20" t="n">
        <v>0</v>
      </c>
      <c r="O70" s="18" t="n">
        <v>0</v>
      </c>
      <c r="P70" s="20" t="n">
        <v>0</v>
      </c>
      <c r="Q70" s="18" t="n">
        <v>2.5169585</v>
      </c>
      <c r="R70" s="20" t="n">
        <v>0.32274973</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(5314.0/B72*100)</f>
        <v/>
      </c>
      <c r="D72" s="19" t="n">
        <v>722</v>
      </c>
      <c r="E72" s="18" t="n">
        <v>23.77866164</v>
      </c>
      <c r="F72" s="20" t="n">
        <v>2.27336952</v>
      </c>
      <c r="G72" s="18" t="n">
        <v>74.07831434000001</v>
      </c>
      <c r="H72" s="20" t="n">
        <v>2.3580771</v>
      </c>
      <c r="I72" s="18" t="n">
        <v>0</v>
      </c>
      <c r="J72" s="20" t="n">
        <v>0</v>
      </c>
      <c r="K72" s="18" t="n">
        <v>0.62382424</v>
      </c>
      <c r="L72" s="20" t="n">
        <v>0.40981078</v>
      </c>
      <c r="M72" s="18" t="n">
        <v>0</v>
      </c>
      <c r="N72" s="20" t="n">
        <v>0</v>
      </c>
      <c r="O72" s="18" t="n">
        <v>0</v>
      </c>
      <c r="P72" s="20" t="n">
        <v>0</v>
      </c>
      <c r="Q72" s="18" t="n">
        <v>1.51919979</v>
      </c>
      <c r="R72" s="20" t="n">
        <v>0.65360353</v>
      </c>
    </row>
    <row r="73" spans="1:18">
      <c r="A73" s="15" t="s">
        <v>497</v>
      </c>
      <c r="B73" s="17" t="n">
        <v>6115</v>
      </c>
      <c r="C73" s="18">
        <f>(5373.0/B73*100)</f>
        <v/>
      </c>
      <c r="D73" s="19" t="n">
        <v>742</v>
      </c>
      <c r="E73" s="18" t="n">
        <v>11.62352115</v>
      </c>
      <c r="F73" s="20" t="n">
        <v>1.34358812</v>
      </c>
      <c r="G73" s="18" t="n">
        <v>88.02880283</v>
      </c>
      <c r="H73" s="20" t="n">
        <v>1.33304468</v>
      </c>
      <c r="I73" s="18" t="n">
        <v>0</v>
      </c>
      <c r="J73" s="20" t="n">
        <v>0</v>
      </c>
      <c r="K73" s="18" t="n">
        <v>0</v>
      </c>
      <c r="L73" s="20" t="n">
        <v>0</v>
      </c>
      <c r="M73" s="18" t="n">
        <v>0</v>
      </c>
      <c r="N73" s="20" t="n">
        <v>0</v>
      </c>
      <c r="O73" s="18" t="n">
        <v>0</v>
      </c>
      <c r="P73" s="20" t="n">
        <v>0</v>
      </c>
      <c r="Q73" s="18" t="n">
        <v>0.34767602</v>
      </c>
      <c r="R73" s="20" t="n">
        <v>0.18962004</v>
      </c>
    </row>
    <row r="74" spans="1:18">
      <c r="A74" s="15" t="s">
        <v>498</v>
      </c>
      <c r="B74" s="17" t="n">
        <v>7708</v>
      </c>
      <c r="C74" s="18">
        <f>(6757.0/B74*100)</f>
        <v/>
      </c>
      <c r="D74" s="19" t="n">
        <v>951</v>
      </c>
      <c r="E74" s="18" t="n">
        <v>22.90170185</v>
      </c>
      <c r="F74" s="20" t="n">
        <v>1.49604072</v>
      </c>
      <c r="G74" s="18" t="n">
        <v>76.68203631</v>
      </c>
      <c r="H74" s="20" t="n">
        <v>1.49324613</v>
      </c>
      <c r="I74" s="18" t="n">
        <v>0</v>
      </c>
      <c r="J74" s="20" t="n">
        <v>0</v>
      </c>
      <c r="K74" s="18" t="n">
        <v>0.07269736</v>
      </c>
      <c r="L74" s="20" t="n">
        <v>0.07470087</v>
      </c>
      <c r="M74" s="18" t="n">
        <v>0</v>
      </c>
      <c r="N74" s="20" t="n">
        <v>0</v>
      </c>
      <c r="O74" s="18" t="n">
        <v>0</v>
      </c>
      <c r="P74" s="20" t="n">
        <v>0</v>
      </c>
      <c r="Q74" s="18" t="n">
        <v>0.34356448</v>
      </c>
      <c r="R74" s="20" t="n">
        <v>0.20502211</v>
      </c>
    </row>
    <row r="75" spans="1:18">
      <c r="A75" s="15" t="s">
        <v>499</v>
      </c>
      <c r="B75" s="17" t="n">
        <v>8249</v>
      </c>
      <c r="C75" s="18">
        <f>(7262.0/B75*100)</f>
        <v/>
      </c>
      <c r="D75" s="19" t="n">
        <v>987</v>
      </c>
      <c r="E75" s="18" t="n">
        <v>30.47988951</v>
      </c>
      <c r="F75" s="20" t="n">
        <v>1.9957911</v>
      </c>
      <c r="G75" s="18" t="n">
        <v>68.82237687999999</v>
      </c>
      <c r="H75" s="20" t="n">
        <v>2.02755239</v>
      </c>
      <c r="I75" s="18" t="n">
        <v>0</v>
      </c>
      <c r="J75" s="20" t="n">
        <v>0</v>
      </c>
      <c r="K75" s="18" t="n">
        <v>0</v>
      </c>
      <c r="L75" s="20" t="n">
        <v>0</v>
      </c>
      <c r="M75" s="18" t="n">
        <v>0</v>
      </c>
      <c r="N75" s="20" t="n">
        <v>0</v>
      </c>
      <c r="O75" s="18" t="n">
        <v>0</v>
      </c>
      <c r="P75" s="20" t="n">
        <v>0</v>
      </c>
      <c r="Q75" s="18" t="n">
        <v>0.69773361</v>
      </c>
      <c r="R75" s="20" t="n">
        <v>0.2960081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(4790.0/B77*100)</f>
        <v/>
      </c>
      <c r="D77" s="19" t="n">
        <v>585</v>
      </c>
      <c r="E77" s="18" t="n">
        <v>42.27916206</v>
      </c>
      <c r="F77" s="20" t="n">
        <v>1.90381052</v>
      </c>
      <c r="G77" s="18" t="n">
        <v>51.96243585</v>
      </c>
      <c r="H77" s="20" t="n">
        <v>1.9165441</v>
      </c>
      <c r="I77" s="18" t="n">
        <v>0</v>
      </c>
      <c r="J77" s="20" t="n">
        <v>0</v>
      </c>
      <c r="K77" s="18" t="n">
        <v>3.14651249</v>
      </c>
      <c r="L77" s="20" t="n">
        <v>0.77096422</v>
      </c>
      <c r="M77" s="18" t="n">
        <v>0</v>
      </c>
      <c r="N77" s="20" t="n">
        <v>0</v>
      </c>
      <c r="O77" s="18" t="n">
        <v>0</v>
      </c>
      <c r="P77" s="20" t="n">
        <v>0</v>
      </c>
      <c r="Q77" s="18" t="n">
        <v>2.6118896</v>
      </c>
      <c r="R77" s="20" t="n">
        <v>0.71211521</v>
      </c>
    </row>
    <row r="78" spans="1:18">
      <c r="A78" s="15" t="s">
        <v>502</v>
      </c>
      <c r="B78" s="17" t="n">
        <v>14167</v>
      </c>
      <c r="C78" s="18">
        <f>(12487.0/B78*100)</f>
        <v/>
      </c>
      <c r="D78" s="19" t="n">
        <v>1680</v>
      </c>
      <c r="E78" s="18" t="n">
        <v>34.31516356</v>
      </c>
      <c r="F78" s="20" t="n">
        <v>1.64442579</v>
      </c>
      <c r="G78" s="18" t="n">
        <v>63.30526358</v>
      </c>
      <c r="H78" s="20" t="n">
        <v>1.70632464</v>
      </c>
      <c r="I78" s="18" t="n">
        <v>0</v>
      </c>
      <c r="J78" s="20" t="n">
        <v>0</v>
      </c>
      <c r="K78" s="18" t="n">
        <v>0.66974393</v>
      </c>
      <c r="L78" s="20" t="n">
        <v>0.25653875</v>
      </c>
      <c r="M78" s="18" t="n">
        <v>0</v>
      </c>
      <c r="N78" s="20" t="n">
        <v>0</v>
      </c>
      <c r="O78" s="18" t="n">
        <v>0</v>
      </c>
      <c r="P78" s="20" t="n">
        <v>0</v>
      </c>
      <c r="Q78" s="18" t="n">
        <v>1.70982893</v>
      </c>
      <c r="R78" s="20" t="n">
        <v>0.36556416</v>
      </c>
    </row>
    <row r="79" spans="1:18">
      <c r="A79" s="15" t="s">
        <v>503</v>
      </c>
      <c r="B79" s="17" t="n">
        <v>6062</v>
      </c>
      <c r="C79" s="18">
        <f>(5334.0/B79*100)</f>
        <v/>
      </c>
      <c r="D79" s="19" t="n">
        <v>728</v>
      </c>
      <c r="E79" s="18" t="n">
        <v>30.84321701</v>
      </c>
      <c r="F79" s="20" t="n">
        <v>1.65183554</v>
      </c>
      <c r="G79" s="18" t="n">
        <v>67.80823386</v>
      </c>
      <c r="H79" s="20" t="n">
        <v>1.71897889</v>
      </c>
      <c r="I79" s="18" t="n">
        <v>0</v>
      </c>
      <c r="J79" s="20" t="n">
        <v>0</v>
      </c>
      <c r="K79" s="18" t="n">
        <v>0.2624219</v>
      </c>
      <c r="L79" s="20" t="n">
        <v>0.18698443</v>
      </c>
      <c r="M79" s="18" t="n">
        <v>0</v>
      </c>
      <c r="N79" s="20" t="n">
        <v>0</v>
      </c>
      <c r="O79" s="18" t="n">
        <v>0</v>
      </c>
      <c r="P79" s="20" t="n">
        <v>0</v>
      </c>
      <c r="Q79" s="18" t="n">
        <v>1.08612723</v>
      </c>
      <c r="R79" s="20" t="n">
        <v>0.4235343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(28332.0/B82*100)</f>
        <v/>
      </c>
      <c r="D82" s="19" t="n">
        <v>3998</v>
      </c>
      <c r="E82" s="18" t="n">
        <v>17.0390674</v>
      </c>
      <c r="F82" s="20" t="n">
        <v>0.90088769</v>
      </c>
      <c r="G82" s="18" t="n">
        <v>82.21548867</v>
      </c>
      <c r="H82" s="20" t="n">
        <v>0.8906274199999999</v>
      </c>
      <c r="I82" s="18" t="n">
        <v>0</v>
      </c>
      <c r="J82" s="20" t="n">
        <v>0</v>
      </c>
      <c r="K82" s="18" t="n">
        <v>0.06621845</v>
      </c>
      <c r="L82" s="20" t="n">
        <v>0.03325818</v>
      </c>
      <c r="M82" s="18" t="n">
        <v>0</v>
      </c>
      <c r="N82" s="20" t="n">
        <v>0</v>
      </c>
      <c r="O82" s="18" t="n">
        <v>0</v>
      </c>
      <c r="P82" s="20" t="n">
        <v>0</v>
      </c>
      <c r="Q82" s="18" t="n">
        <v>0.67922548</v>
      </c>
      <c r="R82" s="20" t="n">
        <v>0.23203361</v>
      </c>
    </row>
    <row r="83" spans="1:18">
      <c r="A83" s="15" t="s">
        <v>507</v>
      </c>
      <c r="B83" s="17" t="n">
        <v>1652</v>
      </c>
      <c r="C83" s="18">
        <f>(1462.0/B83*100)</f>
        <v/>
      </c>
      <c r="D83" s="19" t="n">
        <v>190</v>
      </c>
      <c r="E83" s="18" t="n">
        <v>8.64516413</v>
      </c>
      <c r="F83" s="20" t="n">
        <v>2.29375118</v>
      </c>
      <c r="G83" s="18" t="n">
        <v>91.35483587</v>
      </c>
      <c r="H83" s="20" t="n">
        <v>2.29375118</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(1662.0/B84*100)</f>
        <v/>
      </c>
      <c r="D84" s="19" t="n">
        <v>225</v>
      </c>
      <c r="E84" s="18" t="n">
        <v>17.02329602</v>
      </c>
      <c r="F84" s="20" t="n">
        <v>1.82701682</v>
      </c>
      <c r="G84" s="18" t="n">
        <v>82.97670398</v>
      </c>
      <c r="H84" s="20" t="n">
        <v>1.82701682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(12764.0/B7*100)</f>
        <v/>
      </c>
      <c r="D7" s="19" t="n">
        <v>1766</v>
      </c>
      <c r="E7" s="18" t="n">
        <v>25.39128328</v>
      </c>
      <c r="F7" s="20" t="n">
        <v>1.38398535</v>
      </c>
      <c r="G7" s="18" t="n">
        <v>68.90584036</v>
      </c>
      <c r="H7" s="20" t="n">
        <v>1.52965038</v>
      </c>
      <c r="I7" s="18" t="n">
        <v>0</v>
      </c>
      <c r="J7" s="20" t="n">
        <v>0</v>
      </c>
      <c r="K7" s="18" t="n">
        <v>0.42214354</v>
      </c>
      <c r="L7" s="20" t="n">
        <v>0.18013324</v>
      </c>
      <c r="M7" s="18" t="n">
        <v>0.12628756</v>
      </c>
      <c r="N7" s="20" t="n">
        <v>0.10280274</v>
      </c>
      <c r="O7" s="18" t="n">
        <v>0</v>
      </c>
      <c r="P7" s="20" t="n">
        <v>0</v>
      </c>
      <c r="Q7" s="18" t="n">
        <v>5.15444525</v>
      </c>
      <c r="R7" s="20" t="n">
        <v>0.64952781</v>
      </c>
    </row>
    <row r="8" spans="1:18">
      <c r="A8" s="15" t="s">
        <v>430</v>
      </c>
      <c r="B8" s="17" t="n">
        <v>7007</v>
      </c>
      <c r="C8" s="18">
        <f>(6155.0/B8*100)</f>
        <v/>
      </c>
      <c r="D8" s="19" t="n">
        <v>852</v>
      </c>
      <c r="E8" s="18" t="n">
        <v>32.44923289</v>
      </c>
      <c r="F8" s="20" t="n">
        <v>1.62498956</v>
      </c>
      <c r="G8" s="18" t="n">
        <v>53.10862316</v>
      </c>
      <c r="H8" s="20" t="n">
        <v>1.69151423</v>
      </c>
      <c r="I8" s="18" t="n">
        <v>0</v>
      </c>
      <c r="J8" s="20" t="n">
        <v>0</v>
      </c>
      <c r="K8" s="18" t="n">
        <v>0</v>
      </c>
      <c r="L8" s="20" t="n">
        <v>0</v>
      </c>
      <c r="M8" s="18" t="n">
        <v>0</v>
      </c>
      <c r="N8" s="20" t="n">
        <v>0</v>
      </c>
      <c r="O8" s="18" t="n">
        <v>0</v>
      </c>
      <c r="P8" s="20" t="n">
        <v>0</v>
      </c>
      <c r="Q8" s="18" t="n">
        <v>14.44214396</v>
      </c>
      <c r="R8" s="20" t="n">
        <v>1.39128419</v>
      </c>
    </row>
    <row r="9" spans="1:18">
      <c r="A9" s="15" t="s">
        <v>431</v>
      </c>
      <c r="B9" s="17" t="n">
        <v>9651</v>
      </c>
      <c r="C9" s="18">
        <f>(8504.0/B9*100)</f>
        <v/>
      </c>
      <c r="D9" s="19" t="n">
        <v>1147</v>
      </c>
      <c r="E9" s="18" t="n">
        <v>26.83179811</v>
      </c>
      <c r="F9" s="20" t="n">
        <v>1.25526684</v>
      </c>
      <c r="G9" s="18" t="n">
        <v>65.36274969999999</v>
      </c>
      <c r="H9" s="20" t="n">
        <v>1.28177386</v>
      </c>
      <c r="I9" s="18" t="n">
        <v>0</v>
      </c>
      <c r="J9" s="20" t="n">
        <v>0</v>
      </c>
      <c r="K9" s="18" t="n">
        <v>0</v>
      </c>
      <c r="L9" s="20" t="n">
        <v>0</v>
      </c>
      <c r="M9" s="18" t="n">
        <v>0.06296465</v>
      </c>
      <c r="N9" s="20" t="n">
        <v>0.06433447</v>
      </c>
      <c r="O9" s="18" t="n">
        <v>0</v>
      </c>
      <c r="P9" s="20" t="n">
        <v>0</v>
      </c>
      <c r="Q9" s="18" t="n">
        <v>7.74248754</v>
      </c>
      <c r="R9" s="20" t="n">
        <v>0.76246864</v>
      </c>
    </row>
    <row r="10" spans="1:18">
      <c r="A10" s="15" t="s">
        <v>432</v>
      </c>
      <c r="B10" s="17" t="n">
        <v>20058</v>
      </c>
      <c r="C10" s="18">
        <f>(17614.0/B10*100)</f>
        <v/>
      </c>
      <c r="D10" s="19" t="n">
        <v>2444</v>
      </c>
      <c r="E10" s="18" t="n">
        <v>20.9956538</v>
      </c>
      <c r="F10" s="20" t="n">
        <v>1.14665828</v>
      </c>
      <c r="G10" s="18" t="n">
        <v>76.15431925999999</v>
      </c>
      <c r="H10" s="20" t="n">
        <v>1.12707831</v>
      </c>
      <c r="I10" s="18" t="n">
        <v>0</v>
      </c>
      <c r="J10" s="20" t="n">
        <v>0</v>
      </c>
      <c r="K10" s="18" t="n">
        <v>0.23010938</v>
      </c>
      <c r="L10" s="20" t="n">
        <v>0.14394998</v>
      </c>
      <c r="M10" s="18" t="n">
        <v>0</v>
      </c>
      <c r="N10" s="20" t="n">
        <v>0</v>
      </c>
      <c r="O10" s="18" t="n">
        <v>0</v>
      </c>
      <c r="P10" s="20" t="n">
        <v>0</v>
      </c>
      <c r="Q10" s="18" t="n">
        <v>2.61991756</v>
      </c>
      <c r="R10" s="20" t="n">
        <v>0.44189344</v>
      </c>
    </row>
    <row r="11" spans="1:18">
      <c r="A11" s="15" t="s">
        <v>433</v>
      </c>
      <c r="B11" s="17" t="n">
        <v>7053</v>
      </c>
      <c r="C11" s="18">
        <f>(6212.0/B11*100)</f>
        <v/>
      </c>
      <c r="D11" s="19" t="n">
        <v>841</v>
      </c>
      <c r="E11" s="18" t="n">
        <v>36.59499088</v>
      </c>
      <c r="F11" s="20" t="n">
        <v>1.9657956</v>
      </c>
      <c r="G11" s="18" t="n">
        <v>53.61530174</v>
      </c>
      <c r="H11" s="20" t="n">
        <v>1.91045448</v>
      </c>
      <c r="I11" s="18" t="n">
        <v>0</v>
      </c>
      <c r="J11" s="20" t="n">
        <v>0</v>
      </c>
      <c r="K11" s="18" t="n">
        <v>0.38670085</v>
      </c>
      <c r="L11" s="20" t="n">
        <v>0.27734321</v>
      </c>
      <c r="M11" s="18" t="n">
        <v>0.11537221</v>
      </c>
      <c r="N11" s="20" t="n">
        <v>0.10478277</v>
      </c>
      <c r="O11" s="18" t="n">
        <v>0</v>
      </c>
      <c r="P11" s="20" t="n">
        <v>0</v>
      </c>
      <c r="Q11" s="18" t="n">
        <v>9.28763432</v>
      </c>
      <c r="R11" s="20" t="n">
        <v>1.16267225</v>
      </c>
    </row>
    <row r="12" spans="1:18">
      <c r="A12" s="15" t="s">
        <v>434</v>
      </c>
      <c r="B12" s="17" t="n">
        <v>6894</v>
      </c>
      <c r="C12" s="18">
        <f>(6051.0/B12*100)</f>
        <v/>
      </c>
      <c r="D12" s="19" t="n">
        <v>843</v>
      </c>
      <c r="E12" s="18" t="n">
        <v>18.00866095</v>
      </c>
      <c r="F12" s="20" t="n">
        <v>1.80041781</v>
      </c>
      <c r="G12" s="18" t="n">
        <v>66.15560648</v>
      </c>
      <c r="H12" s="20" t="n">
        <v>1.91238735</v>
      </c>
      <c r="I12" s="18" t="n">
        <v>0</v>
      </c>
      <c r="J12" s="20" t="n">
        <v>0</v>
      </c>
      <c r="K12" s="18" t="n">
        <v>0</v>
      </c>
      <c r="L12" s="20" t="n">
        <v>0</v>
      </c>
      <c r="M12" s="18" t="n">
        <v>0</v>
      </c>
      <c r="N12" s="20" t="n">
        <v>0</v>
      </c>
      <c r="O12" s="18" t="n">
        <v>0</v>
      </c>
      <c r="P12" s="20" t="n">
        <v>0</v>
      </c>
      <c r="Q12" s="18" t="n">
        <v>15.83573258</v>
      </c>
      <c r="R12" s="20" t="n">
        <v>1.49641188</v>
      </c>
    </row>
    <row r="13" spans="1:18">
      <c r="A13" s="15" t="s">
        <v>435</v>
      </c>
      <c r="B13" s="17" t="n">
        <v>7161</v>
      </c>
      <c r="C13" s="18">
        <f>(6313.0/B13*100)</f>
        <v/>
      </c>
      <c r="D13" s="19" t="n">
        <v>848</v>
      </c>
      <c r="E13" s="18" t="n">
        <v>18.51476658</v>
      </c>
      <c r="F13" s="20" t="n">
        <v>1.47087929</v>
      </c>
      <c r="G13" s="18" t="n">
        <v>75.95657482999999</v>
      </c>
      <c r="H13" s="20" t="n">
        <v>1.96038923</v>
      </c>
      <c r="I13" s="18" t="n">
        <v>0</v>
      </c>
      <c r="J13" s="20" t="n">
        <v>0</v>
      </c>
      <c r="K13" s="18" t="n">
        <v>0.12954005</v>
      </c>
      <c r="L13" s="20" t="n">
        <v>0.13353421</v>
      </c>
      <c r="M13" s="18" t="n">
        <v>0.03571447</v>
      </c>
      <c r="N13" s="20" t="n">
        <v>0.03587973</v>
      </c>
      <c r="O13" s="18" t="n">
        <v>0</v>
      </c>
      <c r="P13" s="20" t="n">
        <v>0</v>
      </c>
      <c r="Q13" s="18" t="n">
        <v>5.36340407</v>
      </c>
      <c r="R13" s="20" t="n">
        <v>0.9771928600000001</v>
      </c>
    </row>
    <row r="14" spans="1:18">
      <c r="A14" s="15" t="s">
        <v>436</v>
      </c>
      <c r="B14" s="17" t="n">
        <v>5587</v>
      </c>
      <c r="C14" s="18">
        <f>(4891.0/B14*100)</f>
        <v/>
      </c>
      <c r="D14" s="19" t="n">
        <v>696</v>
      </c>
      <c r="E14" s="18" t="n">
        <v>13.66399181</v>
      </c>
      <c r="F14" s="20" t="n">
        <v>1.4484303</v>
      </c>
      <c r="G14" s="18" t="n">
        <v>83.52133490999999</v>
      </c>
      <c r="H14" s="20" t="n">
        <v>1.5966269</v>
      </c>
      <c r="I14" s="18" t="n">
        <v>0</v>
      </c>
      <c r="J14" s="20" t="n">
        <v>0</v>
      </c>
      <c r="K14" s="18" t="n">
        <v>0.24360081</v>
      </c>
      <c r="L14" s="20" t="n">
        <v>0.17608805</v>
      </c>
      <c r="M14" s="18" t="n">
        <v>0</v>
      </c>
      <c r="N14" s="20" t="n">
        <v>0</v>
      </c>
      <c r="O14" s="18" t="n">
        <v>0</v>
      </c>
      <c r="P14" s="20" t="n">
        <v>0</v>
      </c>
      <c r="Q14" s="18" t="n">
        <v>2.57107247</v>
      </c>
      <c r="R14" s="20" t="n">
        <v>0.65007932</v>
      </c>
    </row>
    <row r="15" spans="1:18">
      <c r="A15" s="15" t="s">
        <v>437</v>
      </c>
      <c r="B15" s="17" t="n">
        <v>5882</v>
      </c>
      <c r="C15" s="18">
        <f>(5156.0/B15*100)</f>
        <v/>
      </c>
      <c r="D15" s="19" t="n">
        <v>726</v>
      </c>
      <c r="E15" s="18" t="n">
        <v>14.26803896</v>
      </c>
      <c r="F15" s="20" t="n">
        <v>1.51026989</v>
      </c>
      <c r="G15" s="18" t="n">
        <v>81.28080853</v>
      </c>
      <c r="H15" s="20" t="n">
        <v>1.51437491</v>
      </c>
      <c r="I15" s="18" t="n">
        <v>0</v>
      </c>
      <c r="J15" s="20" t="n">
        <v>0</v>
      </c>
      <c r="K15" s="18" t="n">
        <v>0</v>
      </c>
      <c r="L15" s="20" t="n">
        <v>0</v>
      </c>
      <c r="M15" s="18" t="n">
        <v>0</v>
      </c>
      <c r="N15" s="20" t="n">
        <v>0</v>
      </c>
      <c r="O15" s="18" t="n">
        <v>0</v>
      </c>
      <c r="P15" s="20" t="n">
        <v>0</v>
      </c>
      <c r="Q15" s="18" t="n">
        <v>4.4511525</v>
      </c>
      <c r="R15" s="20" t="n">
        <v>0.75641501</v>
      </c>
    </row>
    <row r="16" spans="1:18">
      <c r="A16" s="15" t="s">
        <v>438</v>
      </c>
      <c r="B16" s="17" t="n">
        <v>6108</v>
      </c>
      <c r="C16" s="18">
        <f>(5371.0/B16*100)</f>
        <v/>
      </c>
      <c r="D16" s="19" t="n">
        <v>737</v>
      </c>
      <c r="E16" s="18" t="n">
        <v>11.44096064</v>
      </c>
      <c r="F16" s="20" t="n">
        <v>1.14131472</v>
      </c>
      <c r="G16" s="18" t="n">
        <v>79.16069877</v>
      </c>
      <c r="H16" s="20" t="n">
        <v>1.41792784</v>
      </c>
      <c r="I16" s="18" t="n">
        <v>0</v>
      </c>
      <c r="J16" s="20" t="n">
        <v>0</v>
      </c>
      <c r="K16" s="18" t="n">
        <v>0.27933977</v>
      </c>
      <c r="L16" s="20" t="n">
        <v>0.24361237</v>
      </c>
      <c r="M16" s="18" t="n">
        <v>0</v>
      </c>
      <c r="N16" s="20" t="n">
        <v>0</v>
      </c>
      <c r="O16" s="18" t="n">
        <v>0</v>
      </c>
      <c r="P16" s="20" t="n">
        <v>0</v>
      </c>
      <c r="Q16" s="18" t="n">
        <v>9.11900082</v>
      </c>
      <c r="R16" s="20" t="n">
        <v>1.03727439</v>
      </c>
    </row>
    <row r="17" spans="1:18">
      <c r="A17" s="15" t="s">
        <v>439</v>
      </c>
      <c r="B17" s="17" t="n">
        <v>6504</v>
      </c>
      <c r="C17" s="18">
        <f>(5713.0/B17*100)</f>
        <v/>
      </c>
      <c r="D17" s="19" t="n">
        <v>791</v>
      </c>
      <c r="E17" s="18" t="n">
        <v>19.9526595</v>
      </c>
      <c r="F17" s="20" t="n">
        <v>1.50631384</v>
      </c>
      <c r="G17" s="18" t="n">
        <v>70.33286187</v>
      </c>
      <c r="H17" s="20" t="n">
        <v>1.54748056</v>
      </c>
      <c r="I17" s="18" t="n">
        <v>0</v>
      </c>
      <c r="J17" s="20" t="n">
        <v>0</v>
      </c>
      <c r="K17" s="18" t="n">
        <v>0.34304173</v>
      </c>
      <c r="L17" s="20" t="n">
        <v>0.19982378</v>
      </c>
      <c r="M17" s="18" t="n">
        <v>0</v>
      </c>
      <c r="N17" s="20" t="n">
        <v>0</v>
      </c>
      <c r="O17" s="18" t="n">
        <v>0</v>
      </c>
      <c r="P17" s="20" t="n">
        <v>0</v>
      </c>
      <c r="Q17" s="18" t="n">
        <v>9.371436900000001</v>
      </c>
      <c r="R17" s="20" t="n">
        <v>1.06216697</v>
      </c>
    </row>
    <row r="18" spans="1:18">
      <c r="A18" s="15" t="s">
        <v>440</v>
      </c>
      <c r="B18" s="17" t="n">
        <v>5532</v>
      </c>
      <c r="C18" s="18">
        <f>(4850.0/B18*100)</f>
        <v/>
      </c>
      <c r="D18" s="19" t="n">
        <v>682</v>
      </c>
      <c r="E18" s="18" t="n">
        <v>33.06880866</v>
      </c>
      <c r="F18" s="20" t="n">
        <v>1.96177286</v>
      </c>
      <c r="G18" s="18" t="n">
        <v>58.15364119</v>
      </c>
      <c r="H18" s="20" t="n">
        <v>1.86796871</v>
      </c>
      <c r="I18" s="18" t="n">
        <v>0</v>
      </c>
      <c r="J18" s="20" t="n">
        <v>0</v>
      </c>
      <c r="K18" s="18" t="n">
        <v>0.40728781</v>
      </c>
      <c r="L18" s="20" t="n">
        <v>0.24013415</v>
      </c>
      <c r="M18" s="18" t="n">
        <v>0</v>
      </c>
      <c r="N18" s="20" t="n">
        <v>0</v>
      </c>
      <c r="O18" s="18" t="n">
        <v>0</v>
      </c>
      <c r="P18" s="20" t="n">
        <v>0</v>
      </c>
      <c r="Q18" s="18" t="n">
        <v>8.37026234</v>
      </c>
      <c r="R18" s="20" t="n">
        <v>1.25746593</v>
      </c>
    </row>
    <row r="19" spans="1:18">
      <c r="A19" s="15" t="s">
        <v>441</v>
      </c>
      <c r="B19" s="17" t="n">
        <v>5658</v>
      </c>
      <c r="C19" s="18">
        <f>(4951.0/B19*100)</f>
        <v/>
      </c>
      <c r="D19" s="19" t="n">
        <v>707</v>
      </c>
      <c r="E19" s="18" t="n">
        <v>29.04028813</v>
      </c>
      <c r="F19" s="20" t="n">
        <v>1.7796065</v>
      </c>
      <c r="G19" s="18" t="n">
        <v>57.43965021</v>
      </c>
      <c r="H19" s="20" t="n">
        <v>2.17450668</v>
      </c>
      <c r="I19" s="18" t="n">
        <v>0</v>
      </c>
      <c r="J19" s="20" t="n">
        <v>0</v>
      </c>
      <c r="K19" s="18" t="n">
        <v>0</v>
      </c>
      <c r="L19" s="20" t="n">
        <v>0</v>
      </c>
      <c r="M19" s="18" t="n">
        <v>0</v>
      </c>
      <c r="N19" s="20" t="n">
        <v>0</v>
      </c>
      <c r="O19" s="18" t="n">
        <v>0</v>
      </c>
      <c r="P19" s="20" t="n">
        <v>0</v>
      </c>
      <c r="Q19" s="18" t="n">
        <v>13.52006165</v>
      </c>
      <c r="R19" s="20" t="n">
        <v>1.55449526</v>
      </c>
    </row>
    <row r="20" spans="1:18">
      <c r="A20" s="15" t="s">
        <v>442</v>
      </c>
      <c r="B20" s="17" t="n">
        <v>3371</v>
      </c>
      <c r="C20" s="18">
        <f>(2964.0/B20*100)</f>
        <v/>
      </c>
      <c r="D20" s="19" t="n">
        <v>407</v>
      </c>
      <c r="E20" s="18" t="n">
        <v>26.05973576</v>
      </c>
      <c r="F20" s="20" t="n">
        <v>2.10061748</v>
      </c>
      <c r="G20" s="18" t="n">
        <v>64.4506872</v>
      </c>
      <c r="H20" s="20" t="n">
        <v>2.44648192</v>
      </c>
      <c r="I20" s="18" t="n">
        <v>0</v>
      </c>
      <c r="J20" s="20" t="n">
        <v>0</v>
      </c>
      <c r="K20" s="18" t="n">
        <v>0.45153666</v>
      </c>
      <c r="L20" s="20" t="n">
        <v>0.31904157</v>
      </c>
      <c r="M20" s="18" t="n">
        <v>0.37785726</v>
      </c>
      <c r="N20" s="20" t="n">
        <v>0.36246254</v>
      </c>
      <c r="O20" s="18" t="n">
        <v>0</v>
      </c>
      <c r="P20" s="20" t="n">
        <v>0</v>
      </c>
      <c r="Q20" s="18" t="n">
        <v>8.660183119999999</v>
      </c>
      <c r="R20" s="20" t="n">
        <v>1.59447879</v>
      </c>
    </row>
    <row r="21" spans="1:18">
      <c r="A21" s="15" t="s">
        <v>443</v>
      </c>
      <c r="B21" s="17" t="n">
        <v>5741</v>
      </c>
      <c r="C21" s="18">
        <f>(4791.0/B21*100)</f>
        <v/>
      </c>
      <c r="D21" s="19" t="n">
        <v>950</v>
      </c>
      <c r="E21" s="18" t="n">
        <v>16.42087908</v>
      </c>
      <c r="F21" s="20" t="n">
        <v>1.28718176</v>
      </c>
      <c r="G21" s="18" t="n">
        <v>80.60099163</v>
      </c>
      <c r="H21" s="20" t="n">
        <v>1.42258455</v>
      </c>
      <c r="I21" s="18" t="n">
        <v>0</v>
      </c>
      <c r="J21" s="20" t="n">
        <v>0</v>
      </c>
      <c r="K21" s="18" t="n">
        <v>0.08788427</v>
      </c>
      <c r="L21" s="20" t="n">
        <v>0.06211537</v>
      </c>
      <c r="M21" s="18" t="n">
        <v>0</v>
      </c>
      <c r="N21" s="20" t="n">
        <v>0</v>
      </c>
      <c r="O21" s="18" t="n">
        <v>0</v>
      </c>
      <c r="P21" s="20" t="n">
        <v>0</v>
      </c>
      <c r="Q21" s="18" t="n">
        <v>2.89024502</v>
      </c>
      <c r="R21" s="20" t="n">
        <v>0.61425441</v>
      </c>
    </row>
    <row r="22" spans="1:18">
      <c r="A22" s="15" t="s">
        <v>444</v>
      </c>
      <c r="B22" s="17" t="n">
        <v>6598</v>
      </c>
      <c r="C22" s="18">
        <f>(5879.0/B22*100)</f>
        <v/>
      </c>
      <c r="D22" s="19" t="n">
        <v>719</v>
      </c>
      <c r="E22" s="18" t="n">
        <v>32.21386161</v>
      </c>
      <c r="F22" s="20" t="n">
        <v>1.85190177</v>
      </c>
      <c r="G22" s="18" t="n">
        <v>61.14306911</v>
      </c>
      <c r="H22" s="20" t="n">
        <v>2.0061157</v>
      </c>
      <c r="I22" s="18" t="n">
        <v>0</v>
      </c>
      <c r="J22" s="20" t="n">
        <v>0</v>
      </c>
      <c r="K22" s="18" t="n">
        <v>0.24700365</v>
      </c>
      <c r="L22" s="20" t="n">
        <v>0.17407569</v>
      </c>
      <c r="M22" s="18" t="n">
        <v>0</v>
      </c>
      <c r="N22" s="20" t="n">
        <v>0</v>
      </c>
      <c r="O22" s="18" t="n">
        <v>0</v>
      </c>
      <c r="P22" s="20" t="n">
        <v>0</v>
      </c>
      <c r="Q22" s="18" t="n">
        <v>6.39606564</v>
      </c>
      <c r="R22" s="20" t="n">
        <v>0.87794691</v>
      </c>
    </row>
    <row r="23" spans="1:18">
      <c r="A23" s="15" t="s">
        <v>445</v>
      </c>
      <c r="B23" s="17" t="n">
        <v>11583</v>
      </c>
      <c r="C23" s="18">
        <f>(10140.0/B23*100)</f>
        <v/>
      </c>
      <c r="D23" s="19" t="n">
        <v>1443</v>
      </c>
      <c r="E23" s="18" t="n">
        <v>41.18138879</v>
      </c>
      <c r="F23" s="20" t="n">
        <v>2.11046108</v>
      </c>
      <c r="G23" s="18" t="n">
        <v>42.08036682</v>
      </c>
      <c r="H23" s="20" t="n">
        <v>2.18534861</v>
      </c>
      <c r="I23" s="18" t="n">
        <v>0</v>
      </c>
      <c r="J23" s="20" t="n">
        <v>0</v>
      </c>
      <c r="K23" s="18" t="n">
        <v>0.17518223</v>
      </c>
      <c r="L23" s="20" t="n">
        <v>0.19777974</v>
      </c>
      <c r="M23" s="18" t="n">
        <v>0.65888591</v>
      </c>
      <c r="N23" s="20" t="n">
        <v>0.23572984</v>
      </c>
      <c r="O23" s="18" t="n">
        <v>0</v>
      </c>
      <c r="P23" s="20" t="n">
        <v>0</v>
      </c>
      <c r="Q23" s="18" t="n">
        <v>15.90417625</v>
      </c>
      <c r="R23" s="20" t="n">
        <v>1.48293512</v>
      </c>
    </row>
    <row r="24" spans="1:18">
      <c r="A24" s="15" t="s">
        <v>446</v>
      </c>
      <c r="B24" s="17" t="n">
        <v>6647</v>
      </c>
      <c r="C24" s="18">
        <f>(5843.0/B24*100)</f>
        <v/>
      </c>
      <c r="D24" s="19" t="n">
        <v>804</v>
      </c>
      <c r="E24" s="18" t="n">
        <v>19.78383842</v>
      </c>
      <c r="F24" s="20" t="n">
        <v>1.34643747</v>
      </c>
      <c r="G24" s="18" t="n">
        <v>65.94810456</v>
      </c>
      <c r="H24" s="20" t="n">
        <v>2.05226636</v>
      </c>
      <c r="I24" s="18" t="n">
        <v>0</v>
      </c>
      <c r="J24" s="20" t="n">
        <v>0</v>
      </c>
      <c r="K24" s="18" t="n">
        <v>0.11042241</v>
      </c>
      <c r="L24" s="20" t="n">
        <v>0.11012713</v>
      </c>
      <c r="M24" s="18" t="n">
        <v>0</v>
      </c>
      <c r="N24" s="20" t="n">
        <v>0</v>
      </c>
      <c r="O24" s="18" t="n">
        <v>0</v>
      </c>
      <c r="P24" s="20" t="n">
        <v>0</v>
      </c>
      <c r="Q24" s="18" t="n">
        <v>14.15763461</v>
      </c>
      <c r="R24" s="20" t="n">
        <v>1.52840341</v>
      </c>
    </row>
    <row r="25" spans="1:18">
      <c r="A25" s="15" t="s">
        <v>447</v>
      </c>
      <c r="B25" s="17" t="n">
        <v>5581</v>
      </c>
      <c r="C25" s="18">
        <f>(4907.0/B25*100)</f>
        <v/>
      </c>
      <c r="D25" s="19" t="n">
        <v>674</v>
      </c>
      <c r="E25" s="18" t="n">
        <v>30.33985856</v>
      </c>
      <c r="F25" s="20" t="n">
        <v>1.69529161</v>
      </c>
      <c r="G25" s="18" t="n">
        <v>58.62531755</v>
      </c>
      <c r="H25" s="20" t="n">
        <v>1.95044039</v>
      </c>
      <c r="I25" s="18" t="n">
        <v>0</v>
      </c>
      <c r="J25" s="20" t="n">
        <v>0</v>
      </c>
      <c r="K25" s="18" t="n">
        <v>0</v>
      </c>
      <c r="L25" s="20" t="n">
        <v>0</v>
      </c>
      <c r="M25" s="18" t="n">
        <v>0</v>
      </c>
      <c r="N25" s="20" t="n">
        <v>0</v>
      </c>
      <c r="O25" s="18" t="n">
        <v>0</v>
      </c>
      <c r="P25" s="20" t="n">
        <v>0</v>
      </c>
      <c r="Q25" s="18" t="n">
        <v>11.03482389</v>
      </c>
      <c r="R25" s="20" t="n">
        <v>1.14647292</v>
      </c>
    </row>
    <row r="26" spans="1:18">
      <c r="A26" s="15" t="s">
        <v>448</v>
      </c>
      <c r="B26" s="17" t="n">
        <v>4869</v>
      </c>
      <c r="C26" s="18">
        <f>(4271.0/B26*100)</f>
        <v/>
      </c>
      <c r="D26" s="19" t="n">
        <v>598</v>
      </c>
      <c r="E26" s="18" t="n">
        <v>29.68940755</v>
      </c>
      <c r="F26" s="20" t="n">
        <v>2.22041426</v>
      </c>
      <c r="G26" s="18" t="n">
        <v>65.21182964</v>
      </c>
      <c r="H26" s="20" t="n">
        <v>2.10928002</v>
      </c>
      <c r="I26" s="18" t="n">
        <v>0</v>
      </c>
      <c r="J26" s="20" t="n">
        <v>0</v>
      </c>
      <c r="K26" s="18" t="n">
        <v>0</v>
      </c>
      <c r="L26" s="20" t="n">
        <v>0</v>
      </c>
      <c r="M26" s="18" t="n">
        <v>0.49323709</v>
      </c>
      <c r="N26" s="20" t="n">
        <v>0.37215845</v>
      </c>
      <c r="O26" s="18" t="n">
        <v>0</v>
      </c>
      <c r="P26" s="20" t="n">
        <v>0</v>
      </c>
      <c r="Q26" s="18" t="n">
        <v>4.60552572</v>
      </c>
      <c r="R26" s="20" t="n">
        <v>0.96664412</v>
      </c>
    </row>
    <row r="27" spans="1:18">
      <c r="A27" s="15" t="s">
        <v>449</v>
      </c>
      <c r="B27" s="17" t="n">
        <v>5299</v>
      </c>
      <c r="C27" s="18">
        <f>(4664.0/B27*100)</f>
        <v/>
      </c>
      <c r="D27" s="19" t="n">
        <v>635</v>
      </c>
      <c r="E27" s="18" t="n">
        <v>25.15118512</v>
      </c>
      <c r="F27" s="20" t="n">
        <v>1.94181</v>
      </c>
      <c r="G27" s="18" t="n">
        <v>62.76913951</v>
      </c>
      <c r="H27" s="20" t="n">
        <v>2.01242398</v>
      </c>
      <c r="I27" s="18" t="n">
        <v>0</v>
      </c>
      <c r="J27" s="20" t="n">
        <v>0</v>
      </c>
      <c r="K27" s="18" t="n">
        <v>0.16603305</v>
      </c>
      <c r="L27" s="20" t="n">
        <v>0.16342229</v>
      </c>
      <c r="M27" s="18" t="n">
        <v>0</v>
      </c>
      <c r="N27" s="20" t="n">
        <v>0</v>
      </c>
      <c r="O27" s="18" t="n">
        <v>0</v>
      </c>
      <c r="P27" s="20" t="n">
        <v>0</v>
      </c>
      <c r="Q27" s="18" t="n">
        <v>11.91364231</v>
      </c>
      <c r="R27" s="20" t="n">
        <v>1.46850183</v>
      </c>
    </row>
    <row r="28" spans="1:18">
      <c r="A28" s="15" t="s">
        <v>450</v>
      </c>
      <c r="B28" s="17" t="n">
        <v>7568</v>
      </c>
      <c r="C28" s="18">
        <f>(6664.0/B28*100)</f>
        <v/>
      </c>
      <c r="D28" s="19" t="n">
        <v>904</v>
      </c>
      <c r="E28" s="18" t="n">
        <v>63.23666339</v>
      </c>
      <c r="F28" s="20" t="n">
        <v>2.0735338</v>
      </c>
      <c r="G28" s="18" t="n">
        <v>33.93532902</v>
      </c>
      <c r="H28" s="20" t="n">
        <v>1.97352274</v>
      </c>
      <c r="I28" s="18" t="n">
        <v>0</v>
      </c>
      <c r="J28" s="20" t="n">
        <v>0</v>
      </c>
      <c r="K28" s="18" t="n">
        <v>0.71670393</v>
      </c>
      <c r="L28" s="20" t="n">
        <v>0.3598872</v>
      </c>
      <c r="M28" s="18" t="n">
        <v>0</v>
      </c>
      <c r="N28" s="20" t="n">
        <v>0</v>
      </c>
      <c r="O28" s="18" t="n">
        <v>0</v>
      </c>
      <c r="P28" s="20" t="n">
        <v>0</v>
      </c>
      <c r="Q28" s="18" t="n">
        <v>2.11130366</v>
      </c>
      <c r="R28" s="20" t="n">
        <v>0.67120358</v>
      </c>
    </row>
    <row r="29" spans="1:18">
      <c r="A29" s="15" t="s">
        <v>451</v>
      </c>
      <c r="B29" s="17" t="n">
        <v>5385</v>
      </c>
      <c r="C29" s="18">
        <f>(4739.0/B29*100)</f>
        <v/>
      </c>
      <c r="D29" s="19" t="n">
        <v>646</v>
      </c>
      <c r="E29" s="18" t="n">
        <v>33.77419719</v>
      </c>
      <c r="F29" s="20" t="n">
        <v>1.58816875</v>
      </c>
      <c r="G29" s="18" t="n">
        <v>64.85490233</v>
      </c>
      <c r="H29" s="20" t="n">
        <v>1.58290836</v>
      </c>
      <c r="I29" s="18" t="n">
        <v>0</v>
      </c>
      <c r="J29" s="20" t="n">
        <v>0</v>
      </c>
      <c r="K29" s="18" t="n">
        <v>0.09153656</v>
      </c>
      <c r="L29" s="20" t="n">
        <v>0.09149077999999999</v>
      </c>
      <c r="M29" s="18" t="n">
        <v>0</v>
      </c>
      <c r="N29" s="20" t="n">
        <v>0</v>
      </c>
      <c r="O29" s="18" t="n">
        <v>0</v>
      </c>
      <c r="P29" s="20" t="n">
        <v>0</v>
      </c>
      <c r="Q29" s="18" t="n">
        <v>1.27936393</v>
      </c>
      <c r="R29" s="20" t="n">
        <v>0.42834868</v>
      </c>
    </row>
    <row r="30" spans="1:18">
      <c r="A30" s="15" t="s">
        <v>452</v>
      </c>
      <c r="B30" s="17" t="n">
        <v>4520</v>
      </c>
      <c r="C30" s="18">
        <f>(3975.0/B30*100)</f>
        <v/>
      </c>
      <c r="D30" s="19" t="n">
        <v>545</v>
      </c>
      <c r="E30" s="18" t="n">
        <v>16.88177145</v>
      </c>
      <c r="F30" s="20" t="n">
        <v>1.74903221</v>
      </c>
      <c r="G30" s="18" t="n">
        <v>76.18920263</v>
      </c>
      <c r="H30" s="20" t="n">
        <v>1.87605147</v>
      </c>
      <c r="I30" s="18" t="n">
        <v>0</v>
      </c>
      <c r="J30" s="20" t="n">
        <v>0</v>
      </c>
      <c r="K30" s="18" t="n">
        <v>0.59222631</v>
      </c>
      <c r="L30" s="20" t="n">
        <v>0.35874641</v>
      </c>
      <c r="M30" s="18" t="n">
        <v>0.41386584</v>
      </c>
      <c r="N30" s="20" t="n">
        <v>0.29945882</v>
      </c>
      <c r="O30" s="18" t="n">
        <v>0</v>
      </c>
      <c r="P30" s="20" t="n">
        <v>0</v>
      </c>
      <c r="Q30" s="18" t="n">
        <v>5.92293377</v>
      </c>
      <c r="R30" s="20" t="n">
        <v>0.99864811</v>
      </c>
    </row>
    <row r="31" spans="1:18">
      <c r="A31" s="15" t="s">
        <v>453</v>
      </c>
      <c r="B31" s="17" t="n">
        <v>5456</v>
      </c>
      <c r="C31" s="18">
        <f>(4792.0/B31*100)</f>
        <v/>
      </c>
      <c r="D31" s="19" t="n">
        <v>664</v>
      </c>
      <c r="E31" s="18" t="n">
        <v>18.65740307</v>
      </c>
      <c r="F31" s="20" t="n">
        <v>1.83925349</v>
      </c>
      <c r="G31" s="18" t="n">
        <v>75.19040535000001</v>
      </c>
      <c r="H31" s="20" t="n">
        <v>2.08295101</v>
      </c>
      <c r="I31" s="18" t="n">
        <v>0</v>
      </c>
      <c r="J31" s="20" t="n">
        <v>0</v>
      </c>
      <c r="K31" s="18" t="n">
        <v>0.57272034</v>
      </c>
      <c r="L31" s="20" t="n">
        <v>0.27889298</v>
      </c>
      <c r="M31" s="18" t="n">
        <v>0</v>
      </c>
      <c r="N31" s="20" t="n">
        <v>0</v>
      </c>
      <c r="O31" s="18" t="n">
        <v>0</v>
      </c>
      <c r="P31" s="20" t="n">
        <v>0</v>
      </c>
      <c r="Q31" s="18" t="n">
        <v>5.57947123</v>
      </c>
      <c r="R31" s="20" t="n">
        <v>1.01100183</v>
      </c>
    </row>
    <row r="32" spans="1:18">
      <c r="A32" s="15" t="s">
        <v>454</v>
      </c>
      <c r="B32" s="17" t="n">
        <v>4478</v>
      </c>
      <c r="C32" s="18">
        <f>(3747.0/B32*100)</f>
        <v/>
      </c>
      <c r="D32" s="19" t="n">
        <v>731</v>
      </c>
      <c r="E32" s="18" t="n">
        <v>32.75301898</v>
      </c>
      <c r="F32" s="20" t="n">
        <v>1.71891424</v>
      </c>
      <c r="G32" s="18" t="n">
        <v>59.18912239</v>
      </c>
      <c r="H32" s="20" t="n">
        <v>2.00876873</v>
      </c>
      <c r="I32" s="18" t="n">
        <v>0</v>
      </c>
      <c r="J32" s="20" t="n">
        <v>0</v>
      </c>
      <c r="K32" s="18" t="n">
        <v>0</v>
      </c>
      <c r="L32" s="20" t="n">
        <v>0</v>
      </c>
      <c r="M32" s="18" t="n">
        <v>0</v>
      </c>
      <c r="N32" s="20" t="n">
        <v>0</v>
      </c>
      <c r="O32" s="18" t="n">
        <v>0</v>
      </c>
      <c r="P32" s="20" t="n">
        <v>0</v>
      </c>
      <c r="Q32" s="18" t="n">
        <v>8.057858639999999</v>
      </c>
      <c r="R32" s="20" t="n">
        <v>1.19020187</v>
      </c>
    </row>
    <row r="33" spans="1:18">
      <c r="A33" s="15" t="s">
        <v>455</v>
      </c>
      <c r="B33" s="17" t="n">
        <v>7325</v>
      </c>
      <c r="C33" s="18">
        <f>(6433.0/B33*100)</f>
        <v/>
      </c>
      <c r="D33" s="19" t="n">
        <v>892</v>
      </c>
      <c r="E33" s="18" t="n">
        <v>28.9358351</v>
      </c>
      <c r="F33" s="20" t="n">
        <v>1.67475191</v>
      </c>
      <c r="G33" s="18" t="n">
        <v>60.38160878</v>
      </c>
      <c r="H33" s="20" t="n">
        <v>1.7479267</v>
      </c>
      <c r="I33" s="18" t="n">
        <v>0</v>
      </c>
      <c r="J33" s="20" t="n">
        <v>0</v>
      </c>
      <c r="K33" s="18" t="n">
        <v>0.20037759</v>
      </c>
      <c r="L33" s="20" t="n">
        <v>0.16575421</v>
      </c>
      <c r="M33" s="18" t="n">
        <v>0.12123019</v>
      </c>
      <c r="N33" s="20" t="n">
        <v>0.08490982</v>
      </c>
      <c r="O33" s="18" t="n">
        <v>0</v>
      </c>
      <c r="P33" s="20" t="n">
        <v>0</v>
      </c>
      <c r="Q33" s="18" t="n">
        <v>10.36094835</v>
      </c>
      <c r="R33" s="20" t="n">
        <v>1.04609944</v>
      </c>
    </row>
    <row r="34" spans="1:18">
      <c r="A34" s="15" t="s">
        <v>456</v>
      </c>
      <c r="B34" s="17" t="n">
        <v>6350</v>
      </c>
      <c r="C34" s="18">
        <f>(5602.0/B34*100)</f>
        <v/>
      </c>
      <c r="D34" s="19" t="n">
        <v>748</v>
      </c>
      <c r="E34" s="18" t="n">
        <v>42.41617555</v>
      </c>
      <c r="F34" s="20" t="n">
        <v>1.78606309</v>
      </c>
      <c r="G34" s="18" t="n">
        <v>43.85818698</v>
      </c>
      <c r="H34" s="20" t="n">
        <v>1.84467452</v>
      </c>
      <c r="I34" s="18" t="n">
        <v>0</v>
      </c>
      <c r="J34" s="20" t="n">
        <v>0</v>
      </c>
      <c r="K34" s="18" t="n">
        <v>0.21092635</v>
      </c>
      <c r="L34" s="20" t="n">
        <v>0.21004622</v>
      </c>
      <c r="M34" s="18" t="n">
        <v>0</v>
      </c>
      <c r="N34" s="20" t="n">
        <v>0</v>
      </c>
      <c r="O34" s="18" t="n">
        <v>0</v>
      </c>
      <c r="P34" s="20" t="n">
        <v>0</v>
      </c>
      <c r="Q34" s="18" t="n">
        <v>13.51471112</v>
      </c>
      <c r="R34" s="20" t="n">
        <v>1.44173711</v>
      </c>
    </row>
    <row r="35" spans="1:18">
      <c r="A35" s="15" t="s">
        <v>457</v>
      </c>
      <c r="B35" s="17" t="n">
        <v>6406</v>
      </c>
      <c r="C35" s="18">
        <f>(5635.0/B35*100)</f>
        <v/>
      </c>
      <c r="D35" s="19" t="n">
        <v>771</v>
      </c>
      <c r="E35" s="18" t="n">
        <v>35.92199133</v>
      </c>
      <c r="F35" s="20" t="n">
        <v>2.16132172</v>
      </c>
      <c r="G35" s="18" t="n">
        <v>56.34358481</v>
      </c>
      <c r="H35" s="20" t="n">
        <v>2.26123373</v>
      </c>
      <c r="I35" s="18" t="n">
        <v>0</v>
      </c>
      <c r="J35" s="20" t="n">
        <v>0</v>
      </c>
      <c r="K35" s="18" t="n">
        <v>0</v>
      </c>
      <c r="L35" s="20" t="n">
        <v>0</v>
      </c>
      <c r="M35" s="18" t="n">
        <v>0.22063725</v>
      </c>
      <c r="N35" s="20" t="n">
        <v>0.22023516</v>
      </c>
      <c r="O35" s="18" t="n">
        <v>0</v>
      </c>
      <c r="P35" s="20" t="n">
        <v>0</v>
      </c>
      <c r="Q35" s="18" t="n">
        <v>7.5137866</v>
      </c>
      <c r="R35" s="20" t="n">
        <v>1.11257672</v>
      </c>
    </row>
    <row r="36" spans="1:18">
      <c r="A36" s="15" t="s">
        <v>458</v>
      </c>
      <c r="B36" s="17" t="n">
        <v>6736</v>
      </c>
      <c r="C36" s="18">
        <f>(5929.0/B36*100)</f>
        <v/>
      </c>
      <c r="D36" s="19" t="n">
        <v>807</v>
      </c>
      <c r="E36" s="18" t="n">
        <v>37.1575127</v>
      </c>
      <c r="F36" s="20" t="n">
        <v>1.65534259</v>
      </c>
      <c r="G36" s="18" t="n">
        <v>56.53586345</v>
      </c>
      <c r="H36" s="20" t="n">
        <v>1.68282382</v>
      </c>
      <c r="I36" s="18" t="n">
        <v>0</v>
      </c>
      <c r="J36" s="20" t="n">
        <v>0</v>
      </c>
      <c r="K36" s="18" t="n">
        <v>0.13470198</v>
      </c>
      <c r="L36" s="20" t="n">
        <v>0.19863563</v>
      </c>
      <c r="M36" s="18" t="n">
        <v>0</v>
      </c>
      <c r="N36" s="20" t="n">
        <v>0</v>
      </c>
      <c r="O36" s="18" t="n">
        <v>0</v>
      </c>
      <c r="P36" s="20" t="n">
        <v>0</v>
      </c>
      <c r="Q36" s="18" t="n">
        <v>6.17192186</v>
      </c>
      <c r="R36" s="20" t="n">
        <v>1.04869361</v>
      </c>
    </row>
    <row r="37" spans="1:18">
      <c r="A37" s="15" t="s">
        <v>459</v>
      </c>
      <c r="B37" s="17" t="n">
        <v>5458</v>
      </c>
      <c r="C37" s="18">
        <f>(4774.0/B37*100)</f>
        <v/>
      </c>
      <c r="D37" s="19" t="n">
        <v>684</v>
      </c>
      <c r="E37" s="18" t="n">
        <v>22.27428888</v>
      </c>
      <c r="F37" s="20" t="n">
        <v>1.54152674</v>
      </c>
      <c r="G37" s="18" t="n">
        <v>69.5290234</v>
      </c>
      <c r="H37" s="20" t="n">
        <v>1.73666324</v>
      </c>
      <c r="I37" s="18" t="n">
        <v>0</v>
      </c>
      <c r="J37" s="20" t="n">
        <v>0</v>
      </c>
      <c r="K37" s="18" t="n">
        <v>0.28245813</v>
      </c>
      <c r="L37" s="20" t="n">
        <v>0.20114284</v>
      </c>
      <c r="M37" s="18" t="n">
        <v>0</v>
      </c>
      <c r="N37" s="20" t="n">
        <v>0</v>
      </c>
      <c r="O37" s="18" t="n">
        <v>0</v>
      </c>
      <c r="P37" s="20" t="n">
        <v>0</v>
      </c>
      <c r="Q37" s="18" t="n">
        <v>7.91422958</v>
      </c>
      <c r="R37" s="20" t="n">
        <v>1.02029275</v>
      </c>
    </row>
    <row r="38" spans="1:18">
      <c r="A38" s="15" t="s">
        <v>460</v>
      </c>
      <c r="B38" s="17" t="n">
        <v>5860</v>
      </c>
      <c r="C38" s="18">
        <f>(4900.0/B38*100)</f>
        <v/>
      </c>
      <c r="D38" s="19" t="n">
        <v>960</v>
      </c>
      <c r="E38" s="18" t="n">
        <v>38.49526545</v>
      </c>
      <c r="F38" s="20" t="n">
        <v>1.79944967</v>
      </c>
      <c r="G38" s="18" t="n">
        <v>51.31363581</v>
      </c>
      <c r="H38" s="20" t="n">
        <v>1.93015627</v>
      </c>
      <c r="I38" s="18" t="n">
        <v>0</v>
      </c>
      <c r="J38" s="20" t="n">
        <v>0</v>
      </c>
      <c r="K38" s="18" t="n">
        <v>0.32663146</v>
      </c>
      <c r="L38" s="20" t="n">
        <v>0.28696752</v>
      </c>
      <c r="M38" s="18" t="n">
        <v>0.35351934</v>
      </c>
      <c r="N38" s="20" t="n">
        <v>0.20782619</v>
      </c>
      <c r="O38" s="18" t="n">
        <v>0</v>
      </c>
      <c r="P38" s="20" t="n">
        <v>0</v>
      </c>
      <c r="Q38" s="18" t="n">
        <v>9.51094795</v>
      </c>
      <c r="R38" s="20" t="n">
        <v>0.98585394</v>
      </c>
    </row>
    <row r="39" spans="1:18">
      <c r="A39" s="15" t="s">
        <v>461</v>
      </c>
      <c r="B39" s="17" t="n">
        <v>5895</v>
      </c>
      <c r="C39" s="18">
        <f>(5176.0/B39*100)</f>
        <v/>
      </c>
      <c r="D39" s="19" t="n">
        <v>719</v>
      </c>
      <c r="E39" s="18" t="n">
        <v>37.79983202</v>
      </c>
      <c r="F39" s="20" t="n">
        <v>2.05362538</v>
      </c>
      <c r="G39" s="18" t="n">
        <v>52.75926495</v>
      </c>
      <c r="H39" s="20" t="n">
        <v>2.30075143</v>
      </c>
      <c r="I39" s="18" t="n">
        <v>0</v>
      </c>
      <c r="J39" s="20" t="n">
        <v>0</v>
      </c>
      <c r="K39" s="18" t="n">
        <v>0.22510678</v>
      </c>
      <c r="L39" s="20" t="n">
        <v>0.19903006</v>
      </c>
      <c r="M39" s="18" t="n">
        <v>0</v>
      </c>
      <c r="N39" s="20" t="n">
        <v>0</v>
      </c>
      <c r="O39" s="18" t="n">
        <v>0</v>
      </c>
      <c r="P39" s="20" t="n">
        <v>0</v>
      </c>
      <c r="Q39" s="18" t="n">
        <v>9.21579625</v>
      </c>
      <c r="R39" s="20" t="n">
        <v>0.9927394</v>
      </c>
    </row>
    <row r="40" spans="1:18">
      <c r="A40" s="15" t="s">
        <v>462</v>
      </c>
      <c r="B40" s="17" t="n">
        <v>14157</v>
      </c>
      <c r="C40" s="18">
        <f>(12441.0/B40*100)</f>
        <v/>
      </c>
      <c r="D40" s="19" t="n">
        <v>1716</v>
      </c>
      <c r="E40" s="18" t="n">
        <v>18.63100933</v>
      </c>
      <c r="F40" s="20" t="n">
        <v>1.42747873</v>
      </c>
      <c r="G40" s="18" t="n">
        <v>75.45292761</v>
      </c>
      <c r="H40" s="20" t="n">
        <v>1.4420717</v>
      </c>
      <c r="I40" s="18" t="n">
        <v>0</v>
      </c>
      <c r="J40" s="20" t="n">
        <v>0</v>
      </c>
      <c r="K40" s="18" t="n">
        <v>0.02501702</v>
      </c>
      <c r="L40" s="20" t="n">
        <v>0.01783947</v>
      </c>
      <c r="M40" s="18" t="n">
        <v>0.28149229</v>
      </c>
      <c r="N40" s="20" t="n">
        <v>0.22185671</v>
      </c>
      <c r="O40" s="18" t="n">
        <v>0</v>
      </c>
      <c r="P40" s="20" t="n">
        <v>0</v>
      </c>
      <c r="Q40" s="18" t="n">
        <v>5.60955375</v>
      </c>
      <c r="R40" s="20" t="n">
        <v>0.6824592900000001</v>
      </c>
    </row>
    <row r="41" spans="1:18">
      <c r="A41" s="15" t="s">
        <v>463</v>
      </c>
      <c r="B41" s="17" t="n">
        <v>5712</v>
      </c>
      <c r="C41" s="18">
        <f>(5012.0/B41*100)</f>
        <v/>
      </c>
      <c r="D41" s="19" t="n">
        <v>700</v>
      </c>
      <c r="E41" s="18" t="n">
        <v>18.93266895</v>
      </c>
      <c r="F41" s="20" t="n">
        <v>1.71438666</v>
      </c>
      <c r="G41" s="18" t="n">
        <v>78.73525728</v>
      </c>
      <c r="H41" s="20" t="n">
        <v>1.7856415</v>
      </c>
      <c r="I41" s="18" t="n">
        <v>0</v>
      </c>
      <c r="J41" s="20" t="n">
        <v>0</v>
      </c>
      <c r="K41" s="18" t="n">
        <v>0</v>
      </c>
      <c r="L41" s="20" t="n">
        <v>0</v>
      </c>
      <c r="M41" s="18" t="n">
        <v>0</v>
      </c>
      <c r="N41" s="20" t="n">
        <v>0</v>
      </c>
      <c r="O41" s="18" t="n">
        <v>0</v>
      </c>
      <c r="P41" s="20" t="n">
        <v>0</v>
      </c>
      <c r="Q41" s="18" t="n">
        <v>2.33207377</v>
      </c>
      <c r="R41" s="20" t="n">
        <v>0.65672242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(20749.0/B46*100)</f>
        <v/>
      </c>
      <c r="D46" s="19" t="n">
        <v>2392</v>
      </c>
      <c r="E46" s="18" t="n">
        <v>45.84502402</v>
      </c>
      <c r="F46" s="20" t="n">
        <v>1.35337243</v>
      </c>
      <c r="G46" s="18" t="n">
        <v>39.57346146</v>
      </c>
      <c r="H46" s="20" t="n">
        <v>1.23670162</v>
      </c>
      <c r="I46" s="18" t="n">
        <v>0</v>
      </c>
      <c r="J46" s="20" t="n">
        <v>0</v>
      </c>
      <c r="K46" s="18" t="n">
        <v>0.9862137</v>
      </c>
      <c r="L46" s="20" t="n">
        <v>0.24440113</v>
      </c>
      <c r="M46" s="18" t="n">
        <v>0.45042672</v>
      </c>
      <c r="N46" s="20" t="n">
        <v>0.17145737</v>
      </c>
      <c r="O46" s="18" t="n">
        <v>0</v>
      </c>
      <c r="P46" s="20" t="n">
        <v>0</v>
      </c>
      <c r="Q46" s="18" t="n">
        <v>13.1448741</v>
      </c>
      <c r="R46" s="20" t="n">
        <v>0.84337491</v>
      </c>
    </row>
    <row r="47" spans="1:18">
      <c r="A47" s="15" t="s">
        <v>470</v>
      </c>
      <c r="B47" s="17" t="n">
        <v>5928</v>
      </c>
      <c r="C47" s="18">
        <f>(5183.0/B47*100)</f>
        <v/>
      </c>
      <c r="D47" s="19" t="n">
        <v>745</v>
      </c>
      <c r="E47" s="18" t="n">
        <v>32.36775411</v>
      </c>
      <c r="F47" s="20" t="n">
        <v>1.42963445</v>
      </c>
      <c r="G47" s="18" t="n">
        <v>43.95606574</v>
      </c>
      <c r="H47" s="20" t="n">
        <v>2.0756584</v>
      </c>
      <c r="I47" s="18" t="n">
        <v>0</v>
      </c>
      <c r="J47" s="20" t="n">
        <v>0</v>
      </c>
      <c r="K47" s="18" t="n">
        <v>0.12991575</v>
      </c>
      <c r="L47" s="20" t="n">
        <v>0.12504155</v>
      </c>
      <c r="M47" s="18" t="n">
        <v>0</v>
      </c>
      <c r="N47" s="20" t="n">
        <v>0</v>
      </c>
      <c r="O47" s="18" t="n">
        <v>0</v>
      </c>
      <c r="P47" s="20" t="n">
        <v>0</v>
      </c>
      <c r="Q47" s="18" t="n">
        <v>23.5462644</v>
      </c>
      <c r="R47" s="20" t="n">
        <v>1.91841918</v>
      </c>
    </row>
    <row r="48" spans="1:18">
      <c r="A48" s="15" t="s">
        <v>471</v>
      </c>
      <c r="B48" s="17" t="n">
        <v>9841</v>
      </c>
      <c r="C48" s="18">
        <f>(8631.0/B48*100)</f>
        <v/>
      </c>
      <c r="D48" s="19" t="n">
        <v>1210</v>
      </c>
      <c r="E48" s="18" t="n">
        <v>20.957272</v>
      </c>
      <c r="F48" s="20" t="n">
        <v>1.7179328</v>
      </c>
      <c r="G48" s="18" t="n">
        <v>70.25613834000001</v>
      </c>
      <c r="H48" s="20" t="n">
        <v>2.10170751</v>
      </c>
      <c r="I48" s="18" t="n">
        <v>0</v>
      </c>
      <c r="J48" s="20" t="n">
        <v>0</v>
      </c>
      <c r="K48" s="18" t="n">
        <v>0.49564291</v>
      </c>
      <c r="L48" s="20" t="n">
        <v>0.28764604</v>
      </c>
      <c r="M48" s="18" t="n">
        <v>0</v>
      </c>
      <c r="N48" s="20" t="n">
        <v>0</v>
      </c>
      <c r="O48" s="18" t="n">
        <v>0</v>
      </c>
      <c r="P48" s="20" t="n">
        <v>0</v>
      </c>
      <c r="Q48" s="18" t="n">
        <v>8.290946760000001</v>
      </c>
      <c r="R48" s="20" t="n">
        <v>1.20189227</v>
      </c>
    </row>
    <row r="49" spans="1:18">
      <c r="A49" s="15" t="s">
        <v>472</v>
      </c>
      <c r="B49" s="17" t="n">
        <v>11795</v>
      </c>
      <c r="C49" s="18">
        <f>(10396.0/B49*100)</f>
        <v/>
      </c>
      <c r="D49" s="19" t="n">
        <v>1399</v>
      </c>
      <c r="E49" s="18" t="n">
        <v>41.60399822</v>
      </c>
      <c r="F49" s="20" t="n">
        <v>1.7687209</v>
      </c>
      <c r="G49" s="18" t="n">
        <v>51.67246396</v>
      </c>
      <c r="H49" s="20" t="n">
        <v>2.06313352</v>
      </c>
      <c r="I49" s="18" t="n">
        <v>0</v>
      </c>
      <c r="J49" s="20" t="n">
        <v>0</v>
      </c>
      <c r="K49" s="18" t="n">
        <v>1.83035926</v>
      </c>
      <c r="L49" s="20" t="n">
        <v>0.54145526</v>
      </c>
      <c r="M49" s="18" t="n">
        <v>0.00384042</v>
      </c>
      <c r="N49" s="20" t="n">
        <v>0.00386852</v>
      </c>
      <c r="O49" s="18" t="n">
        <v>0</v>
      </c>
      <c r="P49" s="20" t="n">
        <v>0</v>
      </c>
      <c r="Q49" s="18" t="n">
        <v>4.88933814</v>
      </c>
      <c r="R49" s="20" t="n">
        <v>0.8722284</v>
      </c>
    </row>
    <row r="50" spans="1:18">
      <c r="A50" s="15" t="s">
        <v>473</v>
      </c>
      <c r="B50" s="17" t="n">
        <v>6866</v>
      </c>
      <c r="C50" s="18">
        <f>(6133.0/B50*100)</f>
        <v/>
      </c>
      <c r="D50" s="19" t="n">
        <v>733</v>
      </c>
      <c r="E50" s="18" t="n">
        <v>46.33832307</v>
      </c>
      <c r="F50" s="20" t="n">
        <v>2.02994363</v>
      </c>
      <c r="G50" s="18" t="n">
        <v>47.35077821</v>
      </c>
      <c r="H50" s="20" t="n">
        <v>2.13429526</v>
      </c>
      <c r="I50" s="18" t="n">
        <v>0</v>
      </c>
      <c r="J50" s="20" t="n">
        <v>0</v>
      </c>
      <c r="K50" s="18" t="n">
        <v>0.48420608</v>
      </c>
      <c r="L50" s="20" t="n">
        <v>0.24474078</v>
      </c>
      <c r="M50" s="18" t="n">
        <v>0</v>
      </c>
      <c r="N50" s="20" t="n">
        <v>0</v>
      </c>
      <c r="O50" s="18" t="n">
        <v>0</v>
      </c>
      <c r="P50" s="20" t="n">
        <v>0</v>
      </c>
      <c r="Q50" s="18" t="n">
        <v>5.82669264</v>
      </c>
      <c r="R50" s="20" t="n">
        <v>0.84194462</v>
      </c>
    </row>
    <row r="51" spans="1:18">
      <c r="A51" s="15" t="s">
        <v>474</v>
      </c>
      <c r="B51" s="17" t="n">
        <v>5809</v>
      </c>
      <c r="C51" s="18">
        <f>(5081.0/B51*100)</f>
        <v/>
      </c>
      <c r="D51" s="19" t="n">
        <v>728</v>
      </c>
      <c r="E51" s="18" t="n">
        <v>19.32870418</v>
      </c>
      <c r="F51" s="20" t="n">
        <v>1.53819033</v>
      </c>
      <c r="G51" s="18" t="n">
        <v>69.26134913999999</v>
      </c>
      <c r="H51" s="20" t="n">
        <v>1.85851863</v>
      </c>
      <c r="I51" s="18" t="n">
        <v>0</v>
      </c>
      <c r="J51" s="20" t="n">
        <v>0</v>
      </c>
      <c r="K51" s="18" t="n">
        <v>0</v>
      </c>
      <c r="L51" s="20" t="n">
        <v>0</v>
      </c>
      <c r="M51" s="18" t="n">
        <v>0</v>
      </c>
      <c r="N51" s="20" t="n">
        <v>0</v>
      </c>
      <c r="O51" s="18" t="n">
        <v>0</v>
      </c>
      <c r="P51" s="20" t="n">
        <v>0</v>
      </c>
      <c r="Q51" s="18" t="n">
        <v>11.40994668</v>
      </c>
      <c r="R51" s="20" t="n">
        <v>1.22968496</v>
      </c>
    </row>
    <row r="52" spans="1:18">
      <c r="A52" s="15" t="s">
        <v>475</v>
      </c>
      <c r="B52" s="17" t="n">
        <v>5571</v>
      </c>
      <c r="C52" s="18">
        <f>(4907.0/B52*100)</f>
        <v/>
      </c>
      <c r="D52" s="19" t="n">
        <v>664</v>
      </c>
      <c r="E52" s="18" t="n">
        <v>29.79040118</v>
      </c>
      <c r="F52" s="20" t="n">
        <v>1.78992497</v>
      </c>
      <c r="G52" s="18" t="n">
        <v>56.50548498</v>
      </c>
      <c r="H52" s="20" t="n">
        <v>2.4118197</v>
      </c>
      <c r="I52" s="18" t="n">
        <v>0</v>
      </c>
      <c r="J52" s="20" t="n">
        <v>0</v>
      </c>
      <c r="K52" s="18" t="n">
        <v>0.16534649</v>
      </c>
      <c r="L52" s="20" t="n">
        <v>0.16548789</v>
      </c>
      <c r="M52" s="18" t="n">
        <v>0</v>
      </c>
      <c r="N52" s="20" t="n">
        <v>0</v>
      </c>
      <c r="O52" s="18" t="n">
        <v>0</v>
      </c>
      <c r="P52" s="20" t="n">
        <v>0</v>
      </c>
      <c r="Q52" s="18" t="n">
        <v>13.53876735</v>
      </c>
      <c r="R52" s="20" t="n">
        <v>1.67054886</v>
      </c>
    </row>
    <row r="53" spans="1:18">
      <c r="A53" s="15" t="s">
        <v>476</v>
      </c>
      <c r="B53" s="17" t="n">
        <v>4740</v>
      </c>
      <c r="C53" s="18">
        <f>(3976.0/B53*100)</f>
        <v/>
      </c>
      <c r="D53" s="19" t="n">
        <v>764</v>
      </c>
      <c r="E53" s="18" t="n">
        <v>23.55372468</v>
      </c>
      <c r="F53" s="20" t="n">
        <v>1.73129884</v>
      </c>
      <c r="G53" s="18" t="n">
        <v>52.21193314</v>
      </c>
      <c r="H53" s="20" t="n">
        <v>2.07653089</v>
      </c>
      <c r="I53" s="18" t="n">
        <v>0</v>
      </c>
      <c r="J53" s="20" t="n">
        <v>0</v>
      </c>
      <c r="K53" s="18" t="n">
        <v>11.14795445</v>
      </c>
      <c r="L53" s="20" t="n">
        <v>1.22250996</v>
      </c>
      <c r="M53" s="18" t="n">
        <v>0.9491096</v>
      </c>
      <c r="N53" s="20" t="n">
        <v>0.7729225</v>
      </c>
      <c r="O53" s="18" t="n">
        <v>0</v>
      </c>
      <c r="P53" s="20" t="n">
        <v>0</v>
      </c>
      <c r="Q53" s="18" t="n">
        <v>12.13727812</v>
      </c>
      <c r="R53" s="20" t="n">
        <v>1.3107182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(4709.0/B55*100)</f>
        <v/>
      </c>
      <c r="D55" s="19" t="n">
        <v>650</v>
      </c>
      <c r="E55" s="18" t="n">
        <v>17.6699228</v>
      </c>
      <c r="F55" s="20" t="n">
        <v>1.63671973</v>
      </c>
      <c r="G55" s="18" t="n">
        <v>76.85189089000001</v>
      </c>
      <c r="H55" s="20" t="n">
        <v>1.75623665</v>
      </c>
      <c r="I55" s="18" t="n">
        <v>0</v>
      </c>
      <c r="J55" s="20" t="n">
        <v>0</v>
      </c>
      <c r="K55" s="18" t="n">
        <v>0.34964225</v>
      </c>
      <c r="L55" s="20" t="n">
        <v>0.26186643</v>
      </c>
      <c r="M55" s="18" t="n">
        <v>0</v>
      </c>
      <c r="N55" s="20" t="n">
        <v>0</v>
      </c>
      <c r="O55" s="18" t="n">
        <v>0</v>
      </c>
      <c r="P55" s="20" t="n">
        <v>0</v>
      </c>
      <c r="Q55" s="18" t="n">
        <v>5.12854406</v>
      </c>
      <c r="R55" s="20" t="n">
        <v>0.90528004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(5747.0/B61*100)</f>
        <v/>
      </c>
      <c r="D61" s="19" t="n">
        <v>778</v>
      </c>
      <c r="E61" s="18" t="n">
        <v>31.64225672</v>
      </c>
      <c r="F61" s="20" t="n">
        <v>1.67139696</v>
      </c>
      <c r="G61" s="18" t="n">
        <v>60.55606227</v>
      </c>
      <c r="H61" s="20" t="n">
        <v>1.83626939</v>
      </c>
      <c r="I61" s="18" t="n">
        <v>0</v>
      </c>
      <c r="J61" s="20" t="n">
        <v>0</v>
      </c>
      <c r="K61" s="18" t="n">
        <v>0.05995397</v>
      </c>
      <c r="L61" s="20" t="n">
        <v>0.04253261</v>
      </c>
      <c r="M61" s="18" t="n">
        <v>0.15682485</v>
      </c>
      <c r="N61" s="20" t="n">
        <v>0.15492148</v>
      </c>
      <c r="O61" s="18" t="n">
        <v>0</v>
      </c>
      <c r="P61" s="20" t="n">
        <v>0</v>
      </c>
      <c r="Q61" s="18" t="n">
        <v>7.58490219</v>
      </c>
      <c r="R61" s="20" t="n">
        <v>1.1089601</v>
      </c>
    </row>
    <row r="62" spans="1:18">
      <c r="A62" s="15" t="s">
        <v>486</v>
      </c>
      <c r="B62" s="17" t="n">
        <v>4476</v>
      </c>
      <c r="C62" s="18">
        <f>(3932.0/B62*100)</f>
        <v/>
      </c>
      <c r="D62" s="19" t="n">
        <v>544</v>
      </c>
      <c r="E62" s="18" t="n">
        <v>36.76922819</v>
      </c>
      <c r="F62" s="20" t="n">
        <v>2.07706959</v>
      </c>
      <c r="G62" s="18" t="n">
        <v>61.58376903</v>
      </c>
      <c r="H62" s="20" t="n">
        <v>2.06302356</v>
      </c>
      <c r="I62" s="18" t="n">
        <v>0</v>
      </c>
      <c r="J62" s="20" t="n">
        <v>0</v>
      </c>
      <c r="K62" s="18" t="n">
        <v>0</v>
      </c>
      <c r="L62" s="20" t="n">
        <v>0</v>
      </c>
      <c r="M62" s="18" t="n">
        <v>0</v>
      </c>
      <c r="N62" s="20" t="n">
        <v>0</v>
      </c>
      <c r="O62" s="18" t="n">
        <v>0</v>
      </c>
      <c r="P62" s="20" t="n">
        <v>0</v>
      </c>
      <c r="Q62" s="18" t="n">
        <v>1.64700278</v>
      </c>
      <c r="R62" s="20" t="n">
        <v>0.5477868</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(4982.0/B67*100)</f>
        <v/>
      </c>
      <c r="D67" s="19" t="n">
        <v>683</v>
      </c>
      <c r="E67" s="18" t="n">
        <v>19.44284888</v>
      </c>
      <c r="F67" s="20" t="n">
        <v>1.50437518</v>
      </c>
      <c r="G67" s="18" t="n">
        <v>51.94631069</v>
      </c>
      <c r="H67" s="20" t="n">
        <v>1.89377788</v>
      </c>
      <c r="I67" s="18" t="n">
        <v>0</v>
      </c>
      <c r="J67" s="20" t="n">
        <v>0</v>
      </c>
      <c r="K67" s="18" t="n">
        <v>0.13251917</v>
      </c>
      <c r="L67" s="20" t="n">
        <v>0.13183801</v>
      </c>
      <c r="M67" s="18" t="n">
        <v>0.62615242</v>
      </c>
      <c r="N67" s="20" t="n">
        <v>0.32469918</v>
      </c>
      <c r="O67" s="18" t="n">
        <v>0</v>
      </c>
      <c r="P67" s="20" t="n">
        <v>0</v>
      </c>
      <c r="Q67" s="18" t="n">
        <v>27.85216884</v>
      </c>
      <c r="R67" s="20" t="n">
        <v>1.61635478</v>
      </c>
    </row>
    <row r="68" spans="1:18">
      <c r="A68" s="15" t="s">
        <v>492</v>
      </c>
      <c r="B68" s="17" t="n">
        <v>6971</v>
      </c>
      <c r="C68" s="18">
        <f>(6204.0/B68*100)</f>
        <v/>
      </c>
      <c r="D68" s="19" t="n">
        <v>767</v>
      </c>
      <c r="E68" s="18" t="n">
        <v>56.66574058</v>
      </c>
      <c r="F68" s="20" t="n">
        <v>1.97742674</v>
      </c>
      <c r="G68" s="18" t="n">
        <v>35.7830907</v>
      </c>
      <c r="H68" s="20" t="n">
        <v>2.08359496</v>
      </c>
      <c r="I68" s="18" t="n">
        <v>0</v>
      </c>
      <c r="J68" s="20" t="n">
        <v>0</v>
      </c>
      <c r="K68" s="18" t="n">
        <v>0.23315638</v>
      </c>
      <c r="L68" s="20" t="n">
        <v>0.16988739</v>
      </c>
      <c r="M68" s="18" t="n">
        <v>0.14083251</v>
      </c>
      <c r="N68" s="20" t="n">
        <v>0.14076975</v>
      </c>
      <c r="O68" s="18" t="n">
        <v>0</v>
      </c>
      <c r="P68" s="20" t="n">
        <v>0</v>
      </c>
      <c r="Q68" s="18" t="n">
        <v>7.17717983</v>
      </c>
      <c r="R68" s="20" t="n">
        <v>1.01367837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(10068.0/B70*100)</f>
        <v/>
      </c>
      <c r="D70" s="19" t="n">
        <v>2015</v>
      </c>
      <c r="E70" s="18" t="n">
        <v>43.28238437</v>
      </c>
      <c r="F70" s="20" t="n">
        <v>1.1676464</v>
      </c>
      <c r="G70" s="18" t="n">
        <v>42.6547235</v>
      </c>
      <c r="H70" s="20" t="n">
        <v>1.16752587</v>
      </c>
      <c r="I70" s="18" t="n">
        <v>0</v>
      </c>
      <c r="J70" s="20" t="n">
        <v>0</v>
      </c>
      <c r="K70" s="18" t="n">
        <v>1.73590423</v>
      </c>
      <c r="L70" s="20" t="n">
        <v>0.32332105</v>
      </c>
      <c r="M70" s="18" t="n">
        <v>0</v>
      </c>
      <c r="N70" s="20" t="n">
        <v>0</v>
      </c>
      <c r="O70" s="18" t="n">
        <v>0</v>
      </c>
      <c r="P70" s="20" t="n">
        <v>0</v>
      </c>
      <c r="Q70" s="18" t="n">
        <v>12.3269879</v>
      </c>
      <c r="R70" s="20" t="n">
        <v>0.72646437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(5320.0/B72*100)</f>
        <v/>
      </c>
      <c r="D72" s="19" t="n">
        <v>716</v>
      </c>
      <c r="E72" s="18" t="n">
        <v>29.97522901</v>
      </c>
      <c r="F72" s="20" t="n">
        <v>2.26885881</v>
      </c>
      <c r="G72" s="18" t="n">
        <v>58.16394569</v>
      </c>
      <c r="H72" s="20" t="n">
        <v>2.38025879</v>
      </c>
      <c r="I72" s="18" t="n">
        <v>0</v>
      </c>
      <c r="J72" s="20" t="n">
        <v>0</v>
      </c>
      <c r="K72" s="18" t="n">
        <v>0.62909605</v>
      </c>
      <c r="L72" s="20" t="n">
        <v>0.41329206</v>
      </c>
      <c r="M72" s="18" t="n">
        <v>0.0613442</v>
      </c>
      <c r="N72" s="20" t="n">
        <v>0.06149556</v>
      </c>
      <c r="O72" s="18" t="n">
        <v>0</v>
      </c>
      <c r="P72" s="20" t="n">
        <v>0</v>
      </c>
      <c r="Q72" s="18" t="n">
        <v>11.17038505</v>
      </c>
      <c r="R72" s="20" t="n">
        <v>1.2279264</v>
      </c>
    </row>
    <row r="73" spans="1:18">
      <c r="A73" s="15" t="s">
        <v>497</v>
      </c>
      <c r="B73" s="17" t="n">
        <v>6115</v>
      </c>
      <c r="C73" s="18">
        <f>(5374.0/B73*100)</f>
        <v/>
      </c>
      <c r="D73" s="19" t="n">
        <v>741</v>
      </c>
      <c r="E73" s="18" t="n">
        <v>21.59027554</v>
      </c>
      <c r="F73" s="20" t="n">
        <v>1.49628696</v>
      </c>
      <c r="G73" s="18" t="n">
        <v>75.70502859</v>
      </c>
      <c r="H73" s="20" t="n">
        <v>1.59471843</v>
      </c>
      <c r="I73" s="18" t="n">
        <v>0</v>
      </c>
      <c r="J73" s="20" t="n">
        <v>0</v>
      </c>
      <c r="K73" s="18" t="n">
        <v>0.1220565</v>
      </c>
      <c r="L73" s="20" t="n">
        <v>0.12209462</v>
      </c>
      <c r="M73" s="18" t="n">
        <v>0.08256321</v>
      </c>
      <c r="N73" s="20" t="n">
        <v>0.08284710000000001</v>
      </c>
      <c r="O73" s="18" t="n">
        <v>0</v>
      </c>
      <c r="P73" s="20" t="n">
        <v>0</v>
      </c>
      <c r="Q73" s="18" t="n">
        <v>2.50007615</v>
      </c>
      <c r="R73" s="20" t="n">
        <v>0.59496532</v>
      </c>
    </row>
    <row r="74" spans="1:18">
      <c r="A74" s="15" t="s">
        <v>498</v>
      </c>
      <c r="B74" s="17" t="n">
        <v>7708</v>
      </c>
      <c r="C74" s="18">
        <f>(6757.0/B74*100)</f>
        <v/>
      </c>
      <c r="D74" s="19" t="n">
        <v>951</v>
      </c>
      <c r="E74" s="18" t="n">
        <v>30.16512347</v>
      </c>
      <c r="F74" s="20" t="n">
        <v>1.42784503</v>
      </c>
      <c r="G74" s="18" t="n">
        <v>62.59102081</v>
      </c>
      <c r="H74" s="20" t="n">
        <v>1.66068208</v>
      </c>
      <c r="I74" s="18" t="n">
        <v>0</v>
      </c>
      <c r="J74" s="20" t="n">
        <v>0</v>
      </c>
      <c r="K74" s="18" t="n">
        <v>0.07269736</v>
      </c>
      <c r="L74" s="20" t="n">
        <v>0.07470087</v>
      </c>
      <c r="M74" s="18" t="n">
        <v>0</v>
      </c>
      <c r="N74" s="20" t="n">
        <v>0</v>
      </c>
      <c r="O74" s="18" t="n">
        <v>0</v>
      </c>
      <c r="P74" s="20" t="n">
        <v>0</v>
      </c>
      <c r="Q74" s="18" t="n">
        <v>7.17115836</v>
      </c>
      <c r="R74" s="20" t="n">
        <v>0.81682004</v>
      </c>
    </row>
    <row r="75" spans="1:18">
      <c r="A75" s="15" t="s">
        <v>499</v>
      </c>
      <c r="B75" s="17" t="n">
        <v>8249</v>
      </c>
      <c r="C75" s="18">
        <f>(7272.0/B75*100)</f>
        <v/>
      </c>
      <c r="D75" s="19" t="n">
        <v>977</v>
      </c>
      <c r="E75" s="18" t="n">
        <v>43.36612791</v>
      </c>
      <c r="F75" s="20" t="n">
        <v>1.82364767</v>
      </c>
      <c r="G75" s="18" t="n">
        <v>54.52364957</v>
      </c>
      <c r="H75" s="20" t="n">
        <v>1.92197962</v>
      </c>
      <c r="I75" s="18" t="n">
        <v>0</v>
      </c>
      <c r="J75" s="20" t="n">
        <v>0</v>
      </c>
      <c r="K75" s="18" t="n">
        <v>0</v>
      </c>
      <c r="L75" s="20" t="n">
        <v>0</v>
      </c>
      <c r="M75" s="18" t="n">
        <v>0.0043886</v>
      </c>
      <c r="N75" s="20" t="n">
        <v>0.00424708</v>
      </c>
      <c r="O75" s="18" t="n">
        <v>0</v>
      </c>
      <c r="P75" s="20" t="n">
        <v>0</v>
      </c>
      <c r="Q75" s="18" t="n">
        <v>2.10583391</v>
      </c>
      <c r="R75" s="20" t="n">
        <v>0.5231562199999999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(4798.0/B77*100)</f>
        <v/>
      </c>
      <c r="D77" s="19" t="n">
        <v>577</v>
      </c>
      <c r="E77" s="18" t="n">
        <v>50.77651865</v>
      </c>
      <c r="F77" s="20" t="n">
        <v>2.44354119</v>
      </c>
      <c r="G77" s="18" t="n">
        <v>26.12259552</v>
      </c>
      <c r="H77" s="20" t="n">
        <v>1.94687732</v>
      </c>
      <c r="I77" s="18" t="n">
        <v>0</v>
      </c>
      <c r="J77" s="20" t="n">
        <v>0</v>
      </c>
      <c r="K77" s="18" t="n">
        <v>3.35965013</v>
      </c>
      <c r="L77" s="20" t="n">
        <v>0.8017759</v>
      </c>
      <c r="M77" s="18" t="n">
        <v>0.89921222</v>
      </c>
      <c r="N77" s="20" t="n">
        <v>0.48324952</v>
      </c>
      <c r="O77" s="18" t="n">
        <v>0</v>
      </c>
      <c r="P77" s="20" t="n">
        <v>0</v>
      </c>
      <c r="Q77" s="18" t="n">
        <v>18.84202349</v>
      </c>
      <c r="R77" s="20" t="n">
        <v>2.08456734</v>
      </c>
    </row>
    <row r="78" spans="1:18">
      <c r="A78" s="15" t="s">
        <v>502</v>
      </c>
      <c r="B78" s="17" t="n">
        <v>14167</v>
      </c>
      <c r="C78" s="18">
        <f>(12485.0/B78*100)</f>
        <v/>
      </c>
      <c r="D78" s="19" t="n">
        <v>1682</v>
      </c>
      <c r="E78" s="18" t="n">
        <v>28.0902174</v>
      </c>
      <c r="F78" s="20" t="n">
        <v>1.17995491</v>
      </c>
      <c r="G78" s="18" t="n">
        <v>64.91276704000001</v>
      </c>
      <c r="H78" s="20" t="n">
        <v>1.39091838</v>
      </c>
      <c r="I78" s="18" t="n">
        <v>0</v>
      </c>
      <c r="J78" s="20" t="n">
        <v>0</v>
      </c>
      <c r="K78" s="18" t="n">
        <v>0.66895427</v>
      </c>
      <c r="L78" s="20" t="n">
        <v>0.25625239</v>
      </c>
      <c r="M78" s="18" t="n">
        <v>0.25473445</v>
      </c>
      <c r="N78" s="20" t="n">
        <v>0.18640018</v>
      </c>
      <c r="O78" s="18" t="n">
        <v>0</v>
      </c>
      <c r="P78" s="20" t="n">
        <v>0</v>
      </c>
      <c r="Q78" s="18" t="n">
        <v>6.07332684</v>
      </c>
      <c r="R78" s="20" t="n">
        <v>0.72807177</v>
      </c>
    </row>
    <row r="79" spans="1:18">
      <c r="A79" s="15" t="s">
        <v>503</v>
      </c>
      <c r="B79" s="17" t="n">
        <v>6062</v>
      </c>
      <c r="C79" s="18">
        <f>(5342.0/B79*100)</f>
        <v/>
      </c>
      <c r="D79" s="19" t="n">
        <v>720</v>
      </c>
      <c r="E79" s="18" t="n">
        <v>23.62243713</v>
      </c>
      <c r="F79" s="20" t="n">
        <v>1.61637448</v>
      </c>
      <c r="G79" s="18" t="n">
        <v>60.37866167</v>
      </c>
      <c r="H79" s="20" t="n">
        <v>1.81241506</v>
      </c>
      <c r="I79" s="18" t="n">
        <v>0</v>
      </c>
      <c r="J79" s="20" t="n">
        <v>0</v>
      </c>
      <c r="K79" s="18" t="n">
        <v>0.41139462</v>
      </c>
      <c r="L79" s="20" t="n">
        <v>0.24056082</v>
      </c>
      <c r="M79" s="18" t="n">
        <v>0.12559155</v>
      </c>
      <c r="N79" s="20" t="n">
        <v>0.12617262</v>
      </c>
      <c r="O79" s="18" t="n">
        <v>0</v>
      </c>
      <c r="P79" s="20" t="n">
        <v>0</v>
      </c>
      <c r="Q79" s="18" t="n">
        <v>15.46191503</v>
      </c>
      <c r="R79" s="20" t="n">
        <v>1.56615821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(28342.0/B82*100)</f>
        <v/>
      </c>
      <c r="D82" s="19" t="n">
        <v>3988</v>
      </c>
      <c r="E82" s="18" t="n">
        <v>34.23688279</v>
      </c>
      <c r="F82" s="20" t="n">
        <v>1.01200714</v>
      </c>
      <c r="G82" s="18" t="n">
        <v>59.48345024</v>
      </c>
      <c r="H82" s="20" t="n">
        <v>1.04731439</v>
      </c>
      <c r="I82" s="18" t="n">
        <v>0</v>
      </c>
      <c r="J82" s="20" t="n">
        <v>0</v>
      </c>
      <c r="K82" s="18" t="n">
        <v>0.06645710000000001</v>
      </c>
      <c r="L82" s="20" t="n">
        <v>0.03337635</v>
      </c>
      <c r="M82" s="18" t="n">
        <v>0.02041289</v>
      </c>
      <c r="N82" s="20" t="n">
        <v>0.01438434</v>
      </c>
      <c r="O82" s="18" t="n">
        <v>0</v>
      </c>
      <c r="P82" s="20" t="n">
        <v>0</v>
      </c>
      <c r="Q82" s="18" t="n">
        <v>6.19279697</v>
      </c>
      <c r="R82" s="20" t="n">
        <v>0.51005139</v>
      </c>
    </row>
    <row r="83" spans="1:18">
      <c r="A83" s="15" t="s">
        <v>507</v>
      </c>
      <c r="B83" s="17" t="n">
        <v>1652</v>
      </c>
      <c r="C83" s="18">
        <f>(1462.0/B83*100)</f>
        <v/>
      </c>
      <c r="D83" s="19" t="n">
        <v>190</v>
      </c>
      <c r="E83" s="18" t="n">
        <v>17.61005871</v>
      </c>
      <c r="F83" s="20" t="n">
        <v>2.71976439</v>
      </c>
      <c r="G83" s="18" t="n">
        <v>81.9588617</v>
      </c>
      <c r="H83" s="20" t="n">
        <v>2.79838373</v>
      </c>
      <c r="I83" s="18" t="n">
        <v>0</v>
      </c>
      <c r="J83" s="20" t="n">
        <v>0</v>
      </c>
      <c r="K83" s="18" t="n">
        <v>0</v>
      </c>
      <c r="L83" s="20" t="n">
        <v>0</v>
      </c>
      <c r="M83" s="18" t="n">
        <v>0</v>
      </c>
      <c r="N83" s="20" t="n">
        <v>0</v>
      </c>
      <c r="O83" s="18" t="n">
        <v>0</v>
      </c>
      <c r="P83" s="20" t="n">
        <v>0</v>
      </c>
      <c r="Q83" s="18" t="n">
        <v>0.43107959</v>
      </c>
      <c r="R83" s="20" t="n">
        <v>0.40497009</v>
      </c>
    </row>
    <row r="84" spans="1:18">
      <c r="A84" s="23" t="s">
        <v>508</v>
      </c>
      <c r="B84" s="24" t="n">
        <v>1887</v>
      </c>
      <c r="C84" s="25">
        <f>(1663.0/B84*100)</f>
        <v/>
      </c>
      <c r="D84" s="19" t="n">
        <v>224</v>
      </c>
      <c r="E84" s="18" t="n">
        <v>20.79861064</v>
      </c>
      <c r="F84" s="20" t="n">
        <v>2.49395877</v>
      </c>
      <c r="G84" s="18" t="n">
        <v>77.01453049</v>
      </c>
      <c r="H84" s="20" t="n">
        <v>2.4334975</v>
      </c>
      <c r="I84" s="18" t="n">
        <v>0</v>
      </c>
      <c r="J84" s="20" t="n">
        <v>0</v>
      </c>
      <c r="K84" s="18" t="n">
        <v>0</v>
      </c>
      <c r="L84" s="20" t="n">
        <v>0</v>
      </c>
      <c r="M84" s="18" t="n">
        <v>0</v>
      </c>
      <c r="N84" s="20" t="n">
        <v>0</v>
      </c>
      <c r="O84" s="18" t="n">
        <v>0</v>
      </c>
      <c r="P84" s="20" t="n">
        <v>0</v>
      </c>
      <c r="Q84" s="18" t="n">
        <v>2.18685887</v>
      </c>
      <c r="R84" s="20" t="n">
        <v>0.74172733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(12762.0/B7*100)</f>
        <v/>
      </c>
      <c r="D7" s="19" t="n">
        <v>1768</v>
      </c>
      <c r="E7" s="18" t="n">
        <v>41.42428844</v>
      </c>
      <c r="F7" s="20" t="n">
        <v>1.51171825</v>
      </c>
      <c r="G7" s="18" t="n">
        <v>57.70821449</v>
      </c>
      <c r="H7" s="20" t="n">
        <v>1.51398419</v>
      </c>
      <c r="I7" s="18" t="n">
        <v>0</v>
      </c>
      <c r="J7" s="20" t="n">
        <v>0</v>
      </c>
      <c r="K7" s="18" t="n">
        <v>0.44707826</v>
      </c>
      <c r="L7" s="20" t="n">
        <v>0.18177954</v>
      </c>
      <c r="M7" s="18" t="n">
        <v>0</v>
      </c>
      <c r="N7" s="20" t="n">
        <v>0</v>
      </c>
      <c r="O7" s="18" t="n">
        <v>0</v>
      </c>
      <c r="P7" s="20" t="n">
        <v>0</v>
      </c>
      <c r="Q7" s="18" t="n">
        <v>0.42041881</v>
      </c>
      <c r="R7" s="20" t="n">
        <v>0.18477976</v>
      </c>
    </row>
    <row r="8" spans="1:18">
      <c r="A8" s="15" t="s">
        <v>430</v>
      </c>
      <c r="B8" s="17" t="n">
        <v>7007</v>
      </c>
      <c r="C8" s="18">
        <f>(6154.0/B8*100)</f>
        <v/>
      </c>
      <c r="D8" s="19" t="n">
        <v>853</v>
      </c>
      <c r="E8" s="18" t="n">
        <v>38.94195057</v>
      </c>
      <c r="F8" s="20" t="n">
        <v>2.10750556</v>
      </c>
      <c r="G8" s="18" t="n">
        <v>60.50682156</v>
      </c>
      <c r="H8" s="20" t="n">
        <v>2.12010503</v>
      </c>
      <c r="I8" s="18" t="n">
        <v>0</v>
      </c>
      <c r="J8" s="20" t="n">
        <v>0</v>
      </c>
      <c r="K8" s="18" t="n">
        <v>0</v>
      </c>
      <c r="L8" s="20" t="n">
        <v>0</v>
      </c>
      <c r="M8" s="18" t="n">
        <v>0</v>
      </c>
      <c r="N8" s="20" t="n">
        <v>0</v>
      </c>
      <c r="O8" s="18" t="n">
        <v>0</v>
      </c>
      <c r="P8" s="20" t="n">
        <v>0</v>
      </c>
      <c r="Q8" s="18" t="n">
        <v>0.55122786</v>
      </c>
      <c r="R8" s="20" t="n">
        <v>0.32233613</v>
      </c>
    </row>
    <row r="9" spans="1:18">
      <c r="A9" s="15" t="s">
        <v>431</v>
      </c>
      <c r="B9" s="17" t="n">
        <v>9651</v>
      </c>
      <c r="C9" s="18">
        <f>(8503.0/B9*100)</f>
        <v/>
      </c>
      <c r="D9" s="19" t="n">
        <v>1148</v>
      </c>
      <c r="E9" s="18" t="n">
        <v>40.7560776</v>
      </c>
      <c r="F9" s="20" t="n">
        <v>1.53769435</v>
      </c>
      <c r="G9" s="18" t="n">
        <v>58.36781333</v>
      </c>
      <c r="H9" s="20" t="n">
        <v>1.55710423</v>
      </c>
      <c r="I9" s="18" t="n">
        <v>0</v>
      </c>
      <c r="J9" s="20" t="n">
        <v>0</v>
      </c>
      <c r="K9" s="18" t="n">
        <v>0</v>
      </c>
      <c r="L9" s="20" t="n">
        <v>0</v>
      </c>
      <c r="M9" s="18" t="n">
        <v>0</v>
      </c>
      <c r="N9" s="20" t="n">
        <v>0</v>
      </c>
      <c r="O9" s="18" t="n">
        <v>0</v>
      </c>
      <c r="P9" s="20" t="n">
        <v>0</v>
      </c>
      <c r="Q9" s="18" t="n">
        <v>0.87610906</v>
      </c>
      <c r="R9" s="20" t="n">
        <v>0.27559419</v>
      </c>
    </row>
    <row r="10" spans="1:18">
      <c r="A10" s="15" t="s">
        <v>432</v>
      </c>
      <c r="B10" s="17" t="n">
        <v>20058</v>
      </c>
      <c r="C10" s="18">
        <f>(17611.0/B10*100)</f>
        <v/>
      </c>
      <c r="D10" s="19" t="n">
        <v>2447</v>
      </c>
      <c r="E10" s="18" t="n">
        <v>37.93540406</v>
      </c>
      <c r="F10" s="20" t="n">
        <v>1.50093441</v>
      </c>
      <c r="G10" s="18" t="n">
        <v>61.55456522</v>
      </c>
      <c r="H10" s="20" t="n">
        <v>1.50882181</v>
      </c>
      <c r="I10" s="18" t="n">
        <v>0</v>
      </c>
      <c r="J10" s="20" t="n">
        <v>0</v>
      </c>
      <c r="K10" s="18" t="n">
        <v>0.32088551</v>
      </c>
      <c r="L10" s="20" t="n">
        <v>0.15902331</v>
      </c>
      <c r="M10" s="18" t="n">
        <v>0</v>
      </c>
      <c r="N10" s="20" t="n">
        <v>0</v>
      </c>
      <c r="O10" s="18" t="n">
        <v>0</v>
      </c>
      <c r="P10" s="20" t="n">
        <v>0</v>
      </c>
      <c r="Q10" s="18" t="n">
        <v>0.18914521</v>
      </c>
      <c r="R10" s="20" t="n">
        <v>0.08408568</v>
      </c>
    </row>
    <row r="11" spans="1:18">
      <c r="A11" s="15" t="s">
        <v>433</v>
      </c>
      <c r="B11" s="17" t="n">
        <v>7053</v>
      </c>
      <c r="C11" s="18">
        <f>(6210.0/B11*100)</f>
        <v/>
      </c>
      <c r="D11" s="19" t="n">
        <v>843</v>
      </c>
      <c r="E11" s="18" t="n">
        <v>54.72628187</v>
      </c>
      <c r="F11" s="20" t="n">
        <v>1.93361856</v>
      </c>
      <c r="G11" s="18" t="n">
        <v>44.1086129</v>
      </c>
      <c r="H11" s="20" t="n">
        <v>1.90428763</v>
      </c>
      <c r="I11" s="18" t="n">
        <v>0</v>
      </c>
      <c r="J11" s="20" t="n">
        <v>0</v>
      </c>
      <c r="K11" s="18" t="n">
        <v>0.38548992</v>
      </c>
      <c r="L11" s="20" t="n">
        <v>0.27653263</v>
      </c>
      <c r="M11" s="18" t="n">
        <v>0</v>
      </c>
      <c r="N11" s="20" t="n">
        <v>0</v>
      </c>
      <c r="O11" s="18" t="n">
        <v>0</v>
      </c>
      <c r="P11" s="20" t="n">
        <v>0</v>
      </c>
      <c r="Q11" s="18" t="n">
        <v>0.77961531</v>
      </c>
      <c r="R11" s="20" t="n">
        <v>0.25813388</v>
      </c>
    </row>
    <row r="12" spans="1:18">
      <c r="A12" s="15" t="s">
        <v>434</v>
      </c>
      <c r="B12" s="17" t="n">
        <v>6894</v>
      </c>
      <c r="C12" s="18">
        <f>(6050.0/B12*100)</f>
        <v/>
      </c>
      <c r="D12" s="19" t="n">
        <v>844</v>
      </c>
      <c r="E12" s="18" t="n">
        <v>39.75619009</v>
      </c>
      <c r="F12" s="20" t="n">
        <v>1.7105719</v>
      </c>
      <c r="G12" s="18" t="n">
        <v>60.18518638</v>
      </c>
      <c r="H12" s="20" t="n">
        <v>1.71654666</v>
      </c>
      <c r="I12" s="18" t="n">
        <v>0</v>
      </c>
      <c r="J12" s="20" t="n">
        <v>0</v>
      </c>
      <c r="K12" s="18" t="n">
        <v>0</v>
      </c>
      <c r="L12" s="20" t="n">
        <v>0</v>
      </c>
      <c r="M12" s="18" t="n">
        <v>0</v>
      </c>
      <c r="N12" s="20" t="n">
        <v>0</v>
      </c>
      <c r="O12" s="18" t="n">
        <v>0</v>
      </c>
      <c r="P12" s="20" t="n">
        <v>0</v>
      </c>
      <c r="Q12" s="18" t="n">
        <v>0.05862354</v>
      </c>
      <c r="R12" s="20" t="n">
        <v>0.06057809</v>
      </c>
    </row>
    <row r="13" spans="1:18">
      <c r="A13" s="15" t="s">
        <v>435</v>
      </c>
      <c r="B13" s="17" t="n">
        <v>7161</v>
      </c>
      <c r="C13" s="18">
        <f>(6312.0/B13*100)</f>
        <v/>
      </c>
      <c r="D13" s="19" t="n">
        <v>849</v>
      </c>
      <c r="E13" s="18" t="n">
        <v>32.39300536</v>
      </c>
      <c r="F13" s="20" t="n">
        <v>1.95607048</v>
      </c>
      <c r="G13" s="18" t="n">
        <v>67.25268111</v>
      </c>
      <c r="H13" s="20" t="n">
        <v>1.95004146</v>
      </c>
      <c r="I13" s="18" t="n">
        <v>0</v>
      </c>
      <c r="J13" s="20" t="n">
        <v>0</v>
      </c>
      <c r="K13" s="18" t="n">
        <v>0.12950874</v>
      </c>
      <c r="L13" s="20" t="n">
        <v>0.13350181</v>
      </c>
      <c r="M13" s="18" t="n">
        <v>0</v>
      </c>
      <c r="N13" s="20" t="n">
        <v>0</v>
      </c>
      <c r="O13" s="18" t="n">
        <v>0</v>
      </c>
      <c r="P13" s="20" t="n">
        <v>0</v>
      </c>
      <c r="Q13" s="18" t="n">
        <v>0.22480479</v>
      </c>
      <c r="R13" s="20" t="n">
        <v>0.12742835</v>
      </c>
    </row>
    <row r="14" spans="1:18">
      <c r="A14" s="15" t="s">
        <v>436</v>
      </c>
      <c r="B14" s="17" t="n">
        <v>5587</v>
      </c>
      <c r="C14" s="18">
        <f>(4891.0/B14*100)</f>
        <v/>
      </c>
      <c r="D14" s="19" t="n">
        <v>696</v>
      </c>
      <c r="E14" s="18" t="n">
        <v>28.38084423</v>
      </c>
      <c r="F14" s="20" t="n">
        <v>1.93710579</v>
      </c>
      <c r="G14" s="18" t="n">
        <v>71.37555494999999</v>
      </c>
      <c r="H14" s="20" t="n">
        <v>1.92980951</v>
      </c>
      <c r="I14" s="18" t="n">
        <v>0</v>
      </c>
      <c r="J14" s="20" t="n">
        <v>0</v>
      </c>
      <c r="K14" s="18" t="n">
        <v>0.24360081</v>
      </c>
      <c r="L14" s="20" t="n">
        <v>0.17608805</v>
      </c>
      <c r="M14" s="18" t="n">
        <v>0</v>
      </c>
      <c r="N14" s="20" t="n">
        <v>0</v>
      </c>
      <c r="O14" s="18" t="n">
        <v>0</v>
      </c>
      <c r="P14" s="20" t="n">
        <v>0</v>
      </c>
      <c r="Q14" s="18" t="n">
        <v>0</v>
      </c>
      <c r="R14" s="20" t="n">
        <v>0</v>
      </c>
    </row>
    <row r="15" spans="1:18">
      <c r="A15" s="15" t="s">
        <v>437</v>
      </c>
      <c r="B15" s="17" t="n">
        <v>5882</v>
      </c>
      <c r="C15" s="18">
        <f>(5156.0/B15*100)</f>
        <v/>
      </c>
      <c r="D15" s="19" t="n">
        <v>726</v>
      </c>
      <c r="E15" s="18" t="n">
        <v>27.02593565</v>
      </c>
      <c r="F15" s="20" t="n">
        <v>1.67793534</v>
      </c>
      <c r="G15" s="18" t="n">
        <v>72.97406435000001</v>
      </c>
      <c r="H15" s="20" t="n">
        <v>1.67793534</v>
      </c>
      <c r="I15" s="18" t="n">
        <v>0</v>
      </c>
      <c r="J15" s="20" t="n">
        <v>0</v>
      </c>
      <c r="K15" s="18" t="n">
        <v>0</v>
      </c>
      <c r="L15" s="20" t="n">
        <v>0</v>
      </c>
      <c r="M15" s="18" t="n">
        <v>0</v>
      </c>
      <c r="N15" s="20" t="n">
        <v>0</v>
      </c>
      <c r="O15" s="18" t="n">
        <v>0</v>
      </c>
      <c r="P15" s="20" t="n">
        <v>0</v>
      </c>
      <c r="Q15" s="18" t="n">
        <v>0</v>
      </c>
      <c r="R15" s="20" t="n">
        <v>0</v>
      </c>
    </row>
    <row r="16" spans="1:18">
      <c r="A16" s="15" t="s">
        <v>438</v>
      </c>
      <c r="B16" s="17" t="n">
        <v>6108</v>
      </c>
      <c r="C16" s="18">
        <f>(5369.0/B16*100)</f>
        <v/>
      </c>
      <c r="D16" s="19" t="n">
        <v>739</v>
      </c>
      <c r="E16" s="18" t="n">
        <v>37.39574528</v>
      </c>
      <c r="F16" s="20" t="n">
        <v>1.75218812</v>
      </c>
      <c r="G16" s="18" t="n">
        <v>61.06938926</v>
      </c>
      <c r="H16" s="20" t="n">
        <v>1.76544092</v>
      </c>
      <c r="I16" s="18" t="n">
        <v>0</v>
      </c>
      <c r="J16" s="20" t="n">
        <v>0</v>
      </c>
      <c r="K16" s="18" t="n">
        <v>0.39130469</v>
      </c>
      <c r="L16" s="20" t="n">
        <v>0.26681097</v>
      </c>
      <c r="M16" s="18" t="n">
        <v>0</v>
      </c>
      <c r="N16" s="20" t="n">
        <v>0</v>
      </c>
      <c r="O16" s="18" t="n">
        <v>0</v>
      </c>
      <c r="P16" s="20" t="n">
        <v>0</v>
      </c>
      <c r="Q16" s="18" t="n">
        <v>1.14356077</v>
      </c>
      <c r="R16" s="20" t="n">
        <v>0.34167172</v>
      </c>
    </row>
    <row r="17" spans="1:18">
      <c r="A17" s="15" t="s">
        <v>439</v>
      </c>
      <c r="B17" s="17" t="n">
        <v>6504</v>
      </c>
      <c r="C17" s="18">
        <f>(5712.0/B17*100)</f>
        <v/>
      </c>
      <c r="D17" s="19" t="n">
        <v>792</v>
      </c>
      <c r="E17" s="18" t="n">
        <v>30.09307159</v>
      </c>
      <c r="F17" s="20" t="n">
        <v>1.47972639</v>
      </c>
      <c r="G17" s="18" t="n">
        <v>69.07161180999999</v>
      </c>
      <c r="H17" s="20" t="n">
        <v>1.49177595</v>
      </c>
      <c r="I17" s="18" t="n">
        <v>0</v>
      </c>
      <c r="J17" s="20" t="n">
        <v>0</v>
      </c>
      <c r="K17" s="18" t="n">
        <v>0.48122297</v>
      </c>
      <c r="L17" s="20" t="n">
        <v>0.24606662</v>
      </c>
      <c r="M17" s="18" t="n">
        <v>0</v>
      </c>
      <c r="N17" s="20" t="n">
        <v>0</v>
      </c>
      <c r="O17" s="18" t="n">
        <v>0</v>
      </c>
      <c r="P17" s="20" t="n">
        <v>0</v>
      </c>
      <c r="Q17" s="18" t="n">
        <v>0.35409363</v>
      </c>
      <c r="R17" s="20" t="n">
        <v>0.1599186</v>
      </c>
    </row>
    <row r="18" spans="1:18">
      <c r="A18" s="15" t="s">
        <v>440</v>
      </c>
      <c r="B18" s="17" t="n">
        <v>5532</v>
      </c>
      <c r="C18" s="18">
        <f>(4848.0/B18*100)</f>
        <v/>
      </c>
      <c r="D18" s="19" t="n">
        <v>684</v>
      </c>
      <c r="E18" s="18" t="n">
        <v>40.27308203</v>
      </c>
      <c r="F18" s="20" t="n">
        <v>2.41441875</v>
      </c>
      <c r="G18" s="18" t="n">
        <v>58.5154839</v>
      </c>
      <c r="H18" s="20" t="n">
        <v>2.31250823</v>
      </c>
      <c r="I18" s="18" t="n">
        <v>0</v>
      </c>
      <c r="J18" s="20" t="n">
        <v>0</v>
      </c>
      <c r="K18" s="18" t="n">
        <v>0.40609867</v>
      </c>
      <c r="L18" s="20" t="n">
        <v>0.23945351</v>
      </c>
      <c r="M18" s="18" t="n">
        <v>0</v>
      </c>
      <c r="N18" s="20" t="n">
        <v>0</v>
      </c>
      <c r="O18" s="18" t="n">
        <v>0</v>
      </c>
      <c r="P18" s="20" t="n">
        <v>0</v>
      </c>
      <c r="Q18" s="18" t="n">
        <v>0.80533541</v>
      </c>
      <c r="R18" s="20" t="n">
        <v>0.33862126</v>
      </c>
    </row>
    <row r="19" spans="1:18">
      <c r="A19" s="15" t="s">
        <v>441</v>
      </c>
      <c r="B19" s="17" t="n">
        <v>5658</v>
      </c>
      <c r="C19" s="18">
        <f>(4950.0/B19*100)</f>
        <v/>
      </c>
      <c r="D19" s="19" t="n">
        <v>708</v>
      </c>
      <c r="E19" s="18" t="n">
        <v>37.6479223</v>
      </c>
      <c r="F19" s="20" t="n">
        <v>1.98576451</v>
      </c>
      <c r="G19" s="18" t="n">
        <v>61.83574083</v>
      </c>
      <c r="H19" s="20" t="n">
        <v>1.99055929</v>
      </c>
      <c r="I19" s="18" t="n">
        <v>0</v>
      </c>
      <c r="J19" s="20" t="n">
        <v>0</v>
      </c>
      <c r="K19" s="18" t="n">
        <v>0</v>
      </c>
      <c r="L19" s="20" t="n">
        <v>0</v>
      </c>
      <c r="M19" s="18" t="n">
        <v>0</v>
      </c>
      <c r="N19" s="20" t="n">
        <v>0</v>
      </c>
      <c r="O19" s="18" t="n">
        <v>0</v>
      </c>
      <c r="P19" s="20" t="n">
        <v>0</v>
      </c>
      <c r="Q19" s="18" t="n">
        <v>0.51633688</v>
      </c>
      <c r="R19" s="20" t="n">
        <v>0.30241576</v>
      </c>
    </row>
    <row r="20" spans="1:18">
      <c r="A20" s="15" t="s">
        <v>442</v>
      </c>
      <c r="B20" s="17" t="n">
        <v>3371</v>
      </c>
      <c r="C20" s="18">
        <f>(2961.0/B20*100)</f>
        <v/>
      </c>
      <c r="D20" s="19" t="n">
        <v>410</v>
      </c>
      <c r="E20" s="18" t="n">
        <v>47.57357699</v>
      </c>
      <c r="F20" s="20" t="n">
        <v>2.621954</v>
      </c>
      <c r="G20" s="18" t="n">
        <v>50.95772375</v>
      </c>
      <c r="H20" s="20" t="n">
        <v>2.53840571</v>
      </c>
      <c r="I20" s="18" t="n">
        <v>0</v>
      </c>
      <c r="J20" s="20" t="n">
        <v>0</v>
      </c>
      <c r="K20" s="18" t="n">
        <v>0.44796649</v>
      </c>
      <c r="L20" s="20" t="n">
        <v>0.3165818</v>
      </c>
      <c r="M20" s="18" t="n">
        <v>0</v>
      </c>
      <c r="N20" s="20" t="n">
        <v>0</v>
      </c>
      <c r="O20" s="18" t="n">
        <v>0</v>
      </c>
      <c r="P20" s="20" t="n">
        <v>0</v>
      </c>
      <c r="Q20" s="18" t="n">
        <v>1.02073277</v>
      </c>
      <c r="R20" s="20" t="n">
        <v>0.51204089</v>
      </c>
    </row>
    <row r="21" spans="1:18">
      <c r="A21" s="15" t="s">
        <v>443</v>
      </c>
      <c r="B21" s="17" t="n">
        <v>5741</v>
      </c>
      <c r="C21" s="18">
        <f>(4790.0/B21*100)</f>
        <v/>
      </c>
      <c r="D21" s="19" t="n">
        <v>951</v>
      </c>
      <c r="E21" s="18" t="n">
        <v>37.58075095</v>
      </c>
      <c r="F21" s="20" t="n">
        <v>1.6322066</v>
      </c>
      <c r="G21" s="18" t="n">
        <v>62.12394869</v>
      </c>
      <c r="H21" s="20" t="n">
        <v>1.64311229</v>
      </c>
      <c r="I21" s="18" t="n">
        <v>0</v>
      </c>
      <c r="J21" s="20" t="n">
        <v>0</v>
      </c>
      <c r="K21" s="18" t="n">
        <v>0.08779974</v>
      </c>
      <c r="L21" s="20" t="n">
        <v>0.06205631</v>
      </c>
      <c r="M21" s="18" t="n">
        <v>0</v>
      </c>
      <c r="N21" s="20" t="n">
        <v>0</v>
      </c>
      <c r="O21" s="18" t="n">
        <v>0</v>
      </c>
      <c r="P21" s="20" t="n">
        <v>0</v>
      </c>
      <c r="Q21" s="18" t="n">
        <v>0.20750062</v>
      </c>
      <c r="R21" s="20" t="n">
        <v>0.12982536</v>
      </c>
    </row>
    <row r="22" spans="1:18">
      <c r="A22" s="15" t="s">
        <v>444</v>
      </c>
      <c r="B22" s="17" t="n">
        <v>6598</v>
      </c>
      <c r="C22" s="18">
        <f>(5879.0/B22*100)</f>
        <v/>
      </c>
      <c r="D22" s="19" t="n">
        <v>719</v>
      </c>
      <c r="E22" s="18" t="n">
        <v>40.81671533</v>
      </c>
      <c r="F22" s="20" t="n">
        <v>1.83024678</v>
      </c>
      <c r="G22" s="18" t="n">
        <v>58.14488832</v>
      </c>
      <c r="H22" s="20" t="n">
        <v>1.79393397</v>
      </c>
      <c r="I22" s="18" t="n">
        <v>0</v>
      </c>
      <c r="J22" s="20" t="n">
        <v>0</v>
      </c>
      <c r="K22" s="18" t="n">
        <v>0.24700365</v>
      </c>
      <c r="L22" s="20" t="n">
        <v>0.17407569</v>
      </c>
      <c r="M22" s="18" t="n">
        <v>0</v>
      </c>
      <c r="N22" s="20" t="n">
        <v>0</v>
      </c>
      <c r="O22" s="18" t="n">
        <v>0</v>
      </c>
      <c r="P22" s="20" t="n">
        <v>0</v>
      </c>
      <c r="Q22" s="18" t="n">
        <v>0.7913926999999999</v>
      </c>
      <c r="R22" s="20" t="n">
        <v>0.31986143</v>
      </c>
    </row>
    <row r="23" spans="1:18">
      <c r="A23" s="15" t="s">
        <v>445</v>
      </c>
      <c r="B23" s="17" t="n">
        <v>11583</v>
      </c>
      <c r="C23" s="18">
        <f>(10140.0/B23*100)</f>
        <v/>
      </c>
      <c r="D23" s="19" t="n">
        <v>1443</v>
      </c>
      <c r="E23" s="18" t="n">
        <v>41.15554464</v>
      </c>
      <c r="F23" s="20" t="n">
        <v>1.90729578</v>
      </c>
      <c r="G23" s="18" t="n">
        <v>58.04969912</v>
      </c>
      <c r="H23" s="20" t="n">
        <v>1.94248148</v>
      </c>
      <c r="I23" s="18" t="n">
        <v>0</v>
      </c>
      <c r="J23" s="20" t="n">
        <v>0</v>
      </c>
      <c r="K23" s="18" t="n">
        <v>0.17518223</v>
      </c>
      <c r="L23" s="20" t="n">
        <v>0.19777974</v>
      </c>
      <c r="M23" s="18" t="n">
        <v>0</v>
      </c>
      <c r="N23" s="20" t="n">
        <v>0</v>
      </c>
      <c r="O23" s="18" t="n">
        <v>0</v>
      </c>
      <c r="P23" s="20" t="n">
        <v>0</v>
      </c>
      <c r="Q23" s="18" t="n">
        <v>0.61957401</v>
      </c>
      <c r="R23" s="20" t="n">
        <v>0.30529976</v>
      </c>
    </row>
    <row r="24" spans="1:18">
      <c r="A24" s="15" t="s">
        <v>446</v>
      </c>
      <c r="B24" s="17" t="n">
        <v>6647</v>
      </c>
      <c r="C24" s="18">
        <f>(5841.0/B24*100)</f>
        <v/>
      </c>
      <c r="D24" s="19" t="n">
        <v>806</v>
      </c>
      <c r="E24" s="18" t="n">
        <v>41.5485726</v>
      </c>
      <c r="F24" s="20" t="n">
        <v>1.98838019</v>
      </c>
      <c r="G24" s="18" t="n">
        <v>57.99317818</v>
      </c>
      <c r="H24" s="20" t="n">
        <v>2.00109414</v>
      </c>
      <c r="I24" s="18" t="n">
        <v>0</v>
      </c>
      <c r="J24" s="20" t="n">
        <v>0</v>
      </c>
      <c r="K24" s="18" t="n">
        <v>0.11016157</v>
      </c>
      <c r="L24" s="20" t="n">
        <v>0.10986696</v>
      </c>
      <c r="M24" s="18" t="n">
        <v>0</v>
      </c>
      <c r="N24" s="20" t="n">
        <v>0</v>
      </c>
      <c r="O24" s="18" t="n">
        <v>0</v>
      </c>
      <c r="P24" s="20" t="n">
        <v>0</v>
      </c>
      <c r="Q24" s="18" t="n">
        <v>0.34808765</v>
      </c>
      <c r="R24" s="20" t="n">
        <v>0.20477807</v>
      </c>
    </row>
    <row r="25" spans="1:18">
      <c r="A25" s="15" t="s">
        <v>447</v>
      </c>
      <c r="B25" s="17" t="n">
        <v>5581</v>
      </c>
      <c r="C25" s="18">
        <f>(4908.0/B25*100)</f>
        <v/>
      </c>
      <c r="D25" s="19" t="n">
        <v>673</v>
      </c>
      <c r="E25" s="18" t="n">
        <v>57.75093835</v>
      </c>
      <c r="F25" s="20" t="n">
        <v>2.22011148</v>
      </c>
      <c r="G25" s="18" t="n">
        <v>42.13181921</v>
      </c>
      <c r="H25" s="20" t="n">
        <v>2.24113376</v>
      </c>
      <c r="I25" s="18" t="n">
        <v>0</v>
      </c>
      <c r="J25" s="20" t="n">
        <v>0</v>
      </c>
      <c r="K25" s="18" t="n">
        <v>0</v>
      </c>
      <c r="L25" s="20" t="n">
        <v>0</v>
      </c>
      <c r="M25" s="18" t="n">
        <v>0</v>
      </c>
      <c r="N25" s="20" t="n">
        <v>0</v>
      </c>
      <c r="O25" s="18" t="n">
        <v>0</v>
      </c>
      <c r="P25" s="20" t="n">
        <v>0</v>
      </c>
      <c r="Q25" s="18" t="n">
        <v>0.11724244</v>
      </c>
      <c r="R25" s="20" t="n">
        <v>0.11749478</v>
      </c>
    </row>
    <row r="26" spans="1:18">
      <c r="A26" s="15" t="s">
        <v>448</v>
      </c>
      <c r="B26" s="17" t="n">
        <v>4869</v>
      </c>
      <c r="C26" s="18">
        <f>(4271.0/B26*100)</f>
        <v/>
      </c>
      <c r="D26" s="19" t="n">
        <v>598</v>
      </c>
      <c r="E26" s="18" t="n">
        <v>43.39162243</v>
      </c>
      <c r="F26" s="20" t="n">
        <v>2.09019811</v>
      </c>
      <c r="G26" s="18" t="n">
        <v>56.49537886</v>
      </c>
      <c r="H26" s="20" t="n">
        <v>2.07586224</v>
      </c>
      <c r="I26" s="18" t="n">
        <v>0</v>
      </c>
      <c r="J26" s="20" t="n">
        <v>0</v>
      </c>
      <c r="K26" s="18" t="n">
        <v>0</v>
      </c>
      <c r="L26" s="20" t="n">
        <v>0</v>
      </c>
      <c r="M26" s="18" t="n">
        <v>0</v>
      </c>
      <c r="N26" s="20" t="n">
        <v>0</v>
      </c>
      <c r="O26" s="18" t="n">
        <v>0</v>
      </c>
      <c r="P26" s="20" t="n">
        <v>0</v>
      </c>
      <c r="Q26" s="18" t="n">
        <v>0.11299871</v>
      </c>
      <c r="R26" s="20" t="n">
        <v>0.11215792</v>
      </c>
    </row>
    <row r="27" spans="1:18">
      <c r="A27" s="15" t="s">
        <v>449</v>
      </c>
      <c r="B27" s="17" t="n">
        <v>5299</v>
      </c>
      <c r="C27" s="18">
        <f>(4661.0/B27*100)</f>
        <v/>
      </c>
      <c r="D27" s="19" t="n">
        <v>638</v>
      </c>
      <c r="E27" s="18" t="n">
        <v>41.3263449</v>
      </c>
      <c r="F27" s="20" t="n">
        <v>1.90706029</v>
      </c>
      <c r="G27" s="18" t="n">
        <v>57.70017359</v>
      </c>
      <c r="H27" s="20" t="n">
        <v>1.93542176</v>
      </c>
      <c r="I27" s="18" t="n">
        <v>0</v>
      </c>
      <c r="J27" s="20" t="n">
        <v>0</v>
      </c>
      <c r="K27" s="18" t="n">
        <v>0.16526504</v>
      </c>
      <c r="L27" s="20" t="n">
        <v>0.16267653</v>
      </c>
      <c r="M27" s="18" t="n">
        <v>0</v>
      </c>
      <c r="N27" s="20" t="n">
        <v>0</v>
      </c>
      <c r="O27" s="18" t="n">
        <v>0</v>
      </c>
      <c r="P27" s="20" t="n">
        <v>0</v>
      </c>
      <c r="Q27" s="18" t="n">
        <v>0.80821647</v>
      </c>
      <c r="R27" s="20" t="n">
        <v>0.36115045</v>
      </c>
    </row>
    <row r="28" spans="1:18">
      <c r="A28" s="15" t="s">
        <v>450</v>
      </c>
      <c r="B28" s="17" t="n">
        <v>7568</v>
      </c>
      <c r="C28" s="18">
        <f>(6659.0/B28*100)</f>
        <v/>
      </c>
      <c r="D28" s="19" t="n">
        <v>909</v>
      </c>
      <c r="E28" s="18" t="n">
        <v>51.38792316</v>
      </c>
      <c r="F28" s="20" t="n">
        <v>1.94682389</v>
      </c>
      <c r="G28" s="18" t="n">
        <v>47.59589451</v>
      </c>
      <c r="H28" s="20" t="n">
        <v>1.90579208</v>
      </c>
      <c r="I28" s="18" t="n">
        <v>0</v>
      </c>
      <c r="J28" s="20" t="n">
        <v>0</v>
      </c>
      <c r="K28" s="18" t="n">
        <v>0.79237027</v>
      </c>
      <c r="L28" s="20" t="n">
        <v>0.36775789</v>
      </c>
      <c r="M28" s="18" t="n">
        <v>0</v>
      </c>
      <c r="N28" s="20" t="n">
        <v>0</v>
      </c>
      <c r="O28" s="18" t="n">
        <v>0</v>
      </c>
      <c r="P28" s="20" t="n">
        <v>0</v>
      </c>
      <c r="Q28" s="18" t="n">
        <v>0.22381205</v>
      </c>
      <c r="R28" s="20" t="n">
        <v>0.15097463</v>
      </c>
    </row>
    <row r="29" spans="1:18">
      <c r="A29" s="15" t="s">
        <v>451</v>
      </c>
      <c r="B29" s="17" t="n">
        <v>5385</v>
      </c>
      <c r="C29" s="18">
        <f>(4739.0/B29*100)</f>
        <v/>
      </c>
      <c r="D29" s="19" t="n">
        <v>646</v>
      </c>
      <c r="E29" s="18" t="n">
        <v>46.50618672</v>
      </c>
      <c r="F29" s="20" t="n">
        <v>2.06947251</v>
      </c>
      <c r="G29" s="18" t="n">
        <v>53.23585576</v>
      </c>
      <c r="H29" s="20" t="n">
        <v>2.06890917</v>
      </c>
      <c r="I29" s="18" t="n">
        <v>0</v>
      </c>
      <c r="J29" s="20" t="n">
        <v>0</v>
      </c>
      <c r="K29" s="18" t="n">
        <v>0.09153656</v>
      </c>
      <c r="L29" s="20" t="n">
        <v>0.09149077999999999</v>
      </c>
      <c r="M29" s="18" t="n">
        <v>0</v>
      </c>
      <c r="N29" s="20" t="n">
        <v>0</v>
      </c>
      <c r="O29" s="18" t="n">
        <v>0</v>
      </c>
      <c r="P29" s="20" t="n">
        <v>0</v>
      </c>
      <c r="Q29" s="18" t="n">
        <v>0.16642096</v>
      </c>
      <c r="R29" s="20" t="n">
        <v>0.15557087</v>
      </c>
    </row>
    <row r="30" spans="1:18">
      <c r="A30" s="15" t="s">
        <v>452</v>
      </c>
      <c r="B30" s="17" t="n">
        <v>4520</v>
      </c>
      <c r="C30" s="18">
        <f>(3974.0/B30*100)</f>
        <v/>
      </c>
      <c r="D30" s="19" t="n">
        <v>546</v>
      </c>
      <c r="E30" s="18" t="n">
        <v>41.36459023</v>
      </c>
      <c r="F30" s="20" t="n">
        <v>2.15879243</v>
      </c>
      <c r="G30" s="18" t="n">
        <v>57.35981762</v>
      </c>
      <c r="H30" s="20" t="n">
        <v>2.16458485</v>
      </c>
      <c r="I30" s="18" t="n">
        <v>0</v>
      </c>
      <c r="J30" s="20" t="n">
        <v>0</v>
      </c>
      <c r="K30" s="18" t="n">
        <v>0.59103637</v>
      </c>
      <c r="L30" s="20" t="n">
        <v>0.35816426</v>
      </c>
      <c r="M30" s="18" t="n">
        <v>0</v>
      </c>
      <c r="N30" s="20" t="n">
        <v>0</v>
      </c>
      <c r="O30" s="18" t="n">
        <v>0</v>
      </c>
      <c r="P30" s="20" t="n">
        <v>0</v>
      </c>
      <c r="Q30" s="18" t="n">
        <v>0.6845557799999999</v>
      </c>
      <c r="R30" s="20" t="n">
        <v>0.37937839</v>
      </c>
    </row>
    <row r="31" spans="1:18">
      <c r="A31" s="15" t="s">
        <v>453</v>
      </c>
      <c r="B31" s="17" t="n">
        <v>5456</v>
      </c>
      <c r="C31" s="18">
        <f>(4789.0/B31*100)</f>
        <v/>
      </c>
      <c r="D31" s="19" t="n">
        <v>667</v>
      </c>
      <c r="E31" s="18" t="n">
        <v>28.39560556</v>
      </c>
      <c r="F31" s="20" t="n">
        <v>2.09801532</v>
      </c>
      <c r="G31" s="18" t="n">
        <v>70.60798979</v>
      </c>
      <c r="H31" s="20" t="n">
        <v>2.13357073</v>
      </c>
      <c r="I31" s="18" t="n">
        <v>0</v>
      </c>
      <c r="J31" s="20" t="n">
        <v>0</v>
      </c>
      <c r="K31" s="18" t="n">
        <v>0.56997435</v>
      </c>
      <c r="L31" s="20" t="n">
        <v>0.2774823</v>
      </c>
      <c r="M31" s="18" t="n">
        <v>0</v>
      </c>
      <c r="N31" s="20" t="n">
        <v>0</v>
      </c>
      <c r="O31" s="18" t="n">
        <v>0</v>
      </c>
      <c r="P31" s="20" t="n">
        <v>0</v>
      </c>
      <c r="Q31" s="18" t="n">
        <v>0.42643029</v>
      </c>
      <c r="R31" s="20" t="n">
        <v>0.23895678</v>
      </c>
    </row>
    <row r="32" spans="1:18">
      <c r="A32" s="15" t="s">
        <v>454</v>
      </c>
      <c r="B32" s="17" t="n">
        <v>4478</v>
      </c>
      <c r="C32" s="18">
        <f>(3747.0/B32*100)</f>
        <v/>
      </c>
      <c r="D32" s="19" t="n">
        <v>731</v>
      </c>
      <c r="E32" s="18" t="n">
        <v>38.56819453</v>
      </c>
      <c r="F32" s="20" t="n">
        <v>1.80518258</v>
      </c>
      <c r="G32" s="18" t="n">
        <v>61.03768967</v>
      </c>
      <c r="H32" s="20" t="n">
        <v>1.83610712</v>
      </c>
      <c r="I32" s="18" t="n">
        <v>0</v>
      </c>
      <c r="J32" s="20" t="n">
        <v>0</v>
      </c>
      <c r="K32" s="18" t="n">
        <v>0</v>
      </c>
      <c r="L32" s="20" t="n">
        <v>0</v>
      </c>
      <c r="M32" s="18" t="n">
        <v>0</v>
      </c>
      <c r="N32" s="20" t="n">
        <v>0</v>
      </c>
      <c r="O32" s="18" t="n">
        <v>0</v>
      </c>
      <c r="P32" s="20" t="n">
        <v>0</v>
      </c>
      <c r="Q32" s="18" t="n">
        <v>0.3941158</v>
      </c>
      <c r="R32" s="20" t="n">
        <v>0.22735662</v>
      </c>
    </row>
    <row r="33" spans="1:18">
      <c r="A33" s="15" t="s">
        <v>455</v>
      </c>
      <c r="B33" s="17" t="n">
        <v>7325</v>
      </c>
      <c r="C33" s="18">
        <f>(6426.0/B33*100)</f>
        <v/>
      </c>
      <c r="D33" s="19" t="n">
        <v>899</v>
      </c>
      <c r="E33" s="18" t="n">
        <v>44.31787685</v>
      </c>
      <c r="F33" s="20" t="n">
        <v>1.8077921</v>
      </c>
      <c r="G33" s="18" t="n">
        <v>54.92735464</v>
      </c>
      <c r="H33" s="20" t="n">
        <v>1.74550425</v>
      </c>
      <c r="I33" s="18" t="n">
        <v>0</v>
      </c>
      <c r="J33" s="20" t="n">
        <v>0</v>
      </c>
      <c r="K33" s="18" t="n">
        <v>0.19887134</v>
      </c>
      <c r="L33" s="20" t="n">
        <v>0.16446887</v>
      </c>
      <c r="M33" s="18" t="n">
        <v>0</v>
      </c>
      <c r="N33" s="20" t="n">
        <v>0</v>
      </c>
      <c r="O33" s="18" t="n">
        <v>0</v>
      </c>
      <c r="P33" s="20" t="n">
        <v>0</v>
      </c>
      <c r="Q33" s="18" t="n">
        <v>0.55589716</v>
      </c>
      <c r="R33" s="20" t="n">
        <v>0.24198073</v>
      </c>
    </row>
    <row r="34" spans="1:18">
      <c r="A34" s="15" t="s">
        <v>456</v>
      </c>
      <c r="B34" s="17" t="n">
        <v>6350</v>
      </c>
      <c r="C34" s="18">
        <f>(5602.0/B34*100)</f>
        <v/>
      </c>
      <c r="D34" s="19" t="n">
        <v>748</v>
      </c>
      <c r="E34" s="18" t="n">
        <v>50.26520988</v>
      </c>
      <c r="F34" s="20" t="n">
        <v>2.04829526</v>
      </c>
      <c r="G34" s="18" t="n">
        <v>49.04009602</v>
      </c>
      <c r="H34" s="20" t="n">
        <v>2.05116614</v>
      </c>
      <c r="I34" s="18" t="n">
        <v>0</v>
      </c>
      <c r="J34" s="20" t="n">
        <v>0</v>
      </c>
      <c r="K34" s="18" t="n">
        <v>0.21092635</v>
      </c>
      <c r="L34" s="20" t="n">
        <v>0.21004622</v>
      </c>
      <c r="M34" s="18" t="n">
        <v>0</v>
      </c>
      <c r="N34" s="20" t="n">
        <v>0</v>
      </c>
      <c r="O34" s="18" t="n">
        <v>0</v>
      </c>
      <c r="P34" s="20" t="n">
        <v>0</v>
      </c>
      <c r="Q34" s="18" t="n">
        <v>0.48376775</v>
      </c>
      <c r="R34" s="20" t="n">
        <v>0.2531388</v>
      </c>
    </row>
    <row r="35" spans="1:18">
      <c r="A35" s="15" t="s">
        <v>457</v>
      </c>
      <c r="B35" s="17" t="n">
        <v>6406</v>
      </c>
      <c r="C35" s="18">
        <f>(5634.0/B35*100)</f>
        <v/>
      </c>
      <c r="D35" s="19" t="n">
        <v>772</v>
      </c>
      <c r="E35" s="18" t="n">
        <v>40.51989362</v>
      </c>
      <c r="F35" s="20" t="n">
        <v>2.28064261</v>
      </c>
      <c r="G35" s="18" t="n">
        <v>59.3464202</v>
      </c>
      <c r="H35" s="20" t="n">
        <v>2.26209157</v>
      </c>
      <c r="I35" s="18" t="n">
        <v>0</v>
      </c>
      <c r="J35" s="20" t="n">
        <v>0</v>
      </c>
      <c r="K35" s="18" t="n">
        <v>0</v>
      </c>
      <c r="L35" s="20" t="n">
        <v>0</v>
      </c>
      <c r="M35" s="18" t="n">
        <v>0</v>
      </c>
      <c r="N35" s="20" t="n">
        <v>0</v>
      </c>
      <c r="O35" s="18" t="n">
        <v>0</v>
      </c>
      <c r="P35" s="20" t="n">
        <v>0</v>
      </c>
      <c r="Q35" s="18" t="n">
        <v>0.13368618</v>
      </c>
      <c r="R35" s="20" t="n">
        <v>0.13300776</v>
      </c>
    </row>
    <row r="36" spans="1:18">
      <c r="A36" s="15" t="s">
        <v>458</v>
      </c>
      <c r="B36" s="17" t="n">
        <v>6736</v>
      </c>
      <c r="C36" s="18">
        <f>(5926.0/B36*100)</f>
        <v/>
      </c>
      <c r="D36" s="19" t="n">
        <v>810</v>
      </c>
      <c r="E36" s="18" t="n">
        <v>42.63616632</v>
      </c>
      <c r="F36" s="20" t="n">
        <v>1.91963534</v>
      </c>
      <c r="G36" s="18" t="n">
        <v>56.94531961</v>
      </c>
      <c r="H36" s="20" t="n">
        <v>1.92904148</v>
      </c>
      <c r="I36" s="18" t="n">
        <v>0</v>
      </c>
      <c r="J36" s="20" t="n">
        <v>0</v>
      </c>
      <c r="K36" s="18" t="n">
        <v>0.13407525</v>
      </c>
      <c r="L36" s="20" t="n">
        <v>0.19770886</v>
      </c>
      <c r="M36" s="18" t="n">
        <v>0</v>
      </c>
      <c r="N36" s="20" t="n">
        <v>0</v>
      </c>
      <c r="O36" s="18" t="n">
        <v>0</v>
      </c>
      <c r="P36" s="20" t="n">
        <v>0</v>
      </c>
      <c r="Q36" s="18" t="n">
        <v>0.28443881</v>
      </c>
      <c r="R36" s="20" t="n">
        <v>0.1795762</v>
      </c>
    </row>
    <row r="37" spans="1:18">
      <c r="A37" s="15" t="s">
        <v>459</v>
      </c>
      <c r="B37" s="17" t="n">
        <v>5458</v>
      </c>
      <c r="C37" s="18">
        <f>(4770.0/B37*100)</f>
        <v/>
      </c>
      <c r="D37" s="19" t="n">
        <v>688</v>
      </c>
      <c r="E37" s="18" t="n">
        <v>33.38783723</v>
      </c>
      <c r="F37" s="20" t="n">
        <v>2.2376409</v>
      </c>
      <c r="G37" s="18" t="n">
        <v>65.55131111999999</v>
      </c>
      <c r="H37" s="20" t="n">
        <v>2.22501936</v>
      </c>
      <c r="I37" s="18" t="n">
        <v>0</v>
      </c>
      <c r="J37" s="20" t="n">
        <v>0</v>
      </c>
      <c r="K37" s="18" t="n">
        <v>0.39984544</v>
      </c>
      <c r="L37" s="20" t="n">
        <v>0.23461992</v>
      </c>
      <c r="M37" s="18" t="n">
        <v>0</v>
      </c>
      <c r="N37" s="20" t="n">
        <v>0</v>
      </c>
      <c r="O37" s="18" t="n">
        <v>0</v>
      </c>
      <c r="P37" s="20" t="n">
        <v>0</v>
      </c>
      <c r="Q37" s="18" t="n">
        <v>0.6610062</v>
      </c>
      <c r="R37" s="20" t="n">
        <v>0.29287202</v>
      </c>
    </row>
    <row r="38" spans="1:18">
      <c r="A38" s="15" t="s">
        <v>460</v>
      </c>
      <c r="B38" s="17" t="n">
        <v>5860</v>
      </c>
      <c r="C38" s="18">
        <f>(4898.0/B38*100)</f>
        <v/>
      </c>
      <c r="D38" s="19" t="n">
        <v>962</v>
      </c>
      <c r="E38" s="18" t="n">
        <v>35.47427295</v>
      </c>
      <c r="F38" s="20" t="n">
        <v>1.77174087</v>
      </c>
      <c r="G38" s="18" t="n">
        <v>63.34101793</v>
      </c>
      <c r="H38" s="20" t="n">
        <v>1.80428264</v>
      </c>
      <c r="I38" s="18" t="n">
        <v>0</v>
      </c>
      <c r="J38" s="20" t="n">
        <v>0</v>
      </c>
      <c r="K38" s="18" t="n">
        <v>0.3259874</v>
      </c>
      <c r="L38" s="20" t="n">
        <v>0.28642887</v>
      </c>
      <c r="M38" s="18" t="n">
        <v>0</v>
      </c>
      <c r="N38" s="20" t="n">
        <v>0</v>
      </c>
      <c r="O38" s="18" t="n">
        <v>0</v>
      </c>
      <c r="P38" s="20" t="n">
        <v>0</v>
      </c>
      <c r="Q38" s="18" t="n">
        <v>0.85872173</v>
      </c>
      <c r="R38" s="20" t="n">
        <v>0.35419365</v>
      </c>
    </row>
    <row r="39" spans="1:18">
      <c r="A39" s="15" t="s">
        <v>461</v>
      </c>
      <c r="B39" s="17" t="n">
        <v>5895</v>
      </c>
      <c r="C39" s="18">
        <f>(5176.0/B39*100)</f>
        <v/>
      </c>
      <c r="D39" s="19" t="n">
        <v>719</v>
      </c>
      <c r="E39" s="18" t="n">
        <v>66.86533511</v>
      </c>
      <c r="F39" s="20" t="n">
        <v>1.87053483</v>
      </c>
      <c r="G39" s="18" t="n">
        <v>32.8084494</v>
      </c>
      <c r="H39" s="20" t="n">
        <v>1.87970818</v>
      </c>
      <c r="I39" s="18" t="n">
        <v>0</v>
      </c>
      <c r="J39" s="20" t="n">
        <v>0</v>
      </c>
      <c r="K39" s="18" t="n">
        <v>0.22510678</v>
      </c>
      <c r="L39" s="20" t="n">
        <v>0.19903006</v>
      </c>
      <c r="M39" s="18" t="n">
        <v>0</v>
      </c>
      <c r="N39" s="20" t="n">
        <v>0</v>
      </c>
      <c r="O39" s="18" t="n">
        <v>0</v>
      </c>
      <c r="P39" s="20" t="n">
        <v>0</v>
      </c>
      <c r="Q39" s="18" t="n">
        <v>0.1011087</v>
      </c>
      <c r="R39" s="20" t="n">
        <v>0.09761011999999999</v>
      </c>
    </row>
    <row r="40" spans="1:18">
      <c r="A40" s="15" t="s">
        <v>462</v>
      </c>
      <c r="B40" s="17" t="n">
        <v>14157</v>
      </c>
      <c r="C40" s="18">
        <f>(12440.0/B40*100)</f>
        <v/>
      </c>
      <c r="D40" s="19" t="n">
        <v>1717</v>
      </c>
      <c r="E40" s="18" t="n">
        <v>38.94239988</v>
      </c>
      <c r="F40" s="20" t="n">
        <v>2.0069353</v>
      </c>
      <c r="G40" s="18" t="n">
        <v>60.60186821</v>
      </c>
      <c r="H40" s="20" t="n">
        <v>2.03401537</v>
      </c>
      <c r="I40" s="18" t="n">
        <v>0</v>
      </c>
      <c r="J40" s="20" t="n">
        <v>0</v>
      </c>
      <c r="K40" s="18" t="n">
        <v>0.02497854</v>
      </c>
      <c r="L40" s="20" t="n">
        <v>0.01781171</v>
      </c>
      <c r="M40" s="18" t="n">
        <v>0</v>
      </c>
      <c r="N40" s="20" t="n">
        <v>0</v>
      </c>
      <c r="O40" s="18" t="n">
        <v>0</v>
      </c>
      <c r="P40" s="20" t="n">
        <v>0</v>
      </c>
      <c r="Q40" s="18" t="n">
        <v>0.43075337</v>
      </c>
      <c r="R40" s="20" t="n">
        <v>0.17582019</v>
      </c>
    </row>
    <row r="41" spans="1:18">
      <c r="A41" s="15" t="s">
        <v>463</v>
      </c>
      <c r="B41" s="17" t="n">
        <v>5712</v>
      </c>
      <c r="C41" s="18">
        <f>(5011.0/B41*100)</f>
        <v/>
      </c>
      <c r="D41" s="19" t="n">
        <v>701</v>
      </c>
      <c r="E41" s="18" t="n">
        <v>42.51531512</v>
      </c>
      <c r="F41" s="20" t="n">
        <v>1.72224355</v>
      </c>
      <c r="G41" s="18" t="n">
        <v>56.93186951</v>
      </c>
      <c r="H41" s="20" t="n">
        <v>1.7199862</v>
      </c>
      <c r="I41" s="18" t="n">
        <v>0</v>
      </c>
      <c r="J41" s="20" t="n">
        <v>0</v>
      </c>
      <c r="K41" s="18" t="n">
        <v>0</v>
      </c>
      <c r="L41" s="20" t="n">
        <v>0</v>
      </c>
      <c r="M41" s="18" t="n">
        <v>0</v>
      </c>
      <c r="N41" s="20" t="n">
        <v>0</v>
      </c>
      <c r="O41" s="18" t="n">
        <v>0</v>
      </c>
      <c r="P41" s="20" t="n">
        <v>0</v>
      </c>
      <c r="Q41" s="18" t="n">
        <v>0.55281537</v>
      </c>
      <c r="R41" s="20" t="n">
        <v>0.27291108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(20708.0/B46*100)</f>
        <v/>
      </c>
      <c r="D46" s="19" t="n">
        <v>2433</v>
      </c>
      <c r="E46" s="18" t="n">
        <v>67.29345157</v>
      </c>
      <c r="F46" s="20" t="n">
        <v>1.24600551</v>
      </c>
      <c r="G46" s="18" t="n">
        <v>29.51994545</v>
      </c>
      <c r="H46" s="20" t="n">
        <v>1.3602042</v>
      </c>
      <c r="I46" s="18" t="n">
        <v>0</v>
      </c>
      <c r="J46" s="20" t="n">
        <v>0</v>
      </c>
      <c r="K46" s="18" t="n">
        <v>1.1860682</v>
      </c>
      <c r="L46" s="20" t="n">
        <v>0.31236759</v>
      </c>
      <c r="M46" s="18" t="n">
        <v>0</v>
      </c>
      <c r="N46" s="20" t="n">
        <v>0</v>
      </c>
      <c r="O46" s="18" t="n">
        <v>0</v>
      </c>
      <c r="P46" s="20" t="n">
        <v>0</v>
      </c>
      <c r="Q46" s="18" t="n">
        <v>2.00053478</v>
      </c>
      <c r="R46" s="20" t="n">
        <v>0.43749813</v>
      </c>
    </row>
    <row r="47" spans="1:18">
      <c r="A47" s="15" t="s">
        <v>470</v>
      </c>
      <c r="B47" s="17" t="n">
        <v>5928</v>
      </c>
      <c r="C47" s="18">
        <f>(5181.0/B47*100)</f>
        <v/>
      </c>
      <c r="D47" s="19" t="n">
        <v>747</v>
      </c>
      <c r="E47" s="18" t="n">
        <v>59.85826563</v>
      </c>
      <c r="F47" s="20" t="n">
        <v>2.01701312</v>
      </c>
      <c r="G47" s="18" t="n">
        <v>39.21556836</v>
      </c>
      <c r="H47" s="20" t="n">
        <v>1.94829568</v>
      </c>
      <c r="I47" s="18" t="n">
        <v>0</v>
      </c>
      <c r="J47" s="20" t="n">
        <v>0</v>
      </c>
      <c r="K47" s="18" t="n">
        <v>0.1295525</v>
      </c>
      <c r="L47" s="20" t="n">
        <v>0.12469089</v>
      </c>
      <c r="M47" s="18" t="n">
        <v>0</v>
      </c>
      <c r="N47" s="20" t="n">
        <v>0</v>
      </c>
      <c r="O47" s="18" t="n">
        <v>0</v>
      </c>
      <c r="P47" s="20" t="n">
        <v>0</v>
      </c>
      <c r="Q47" s="18" t="n">
        <v>0.79661351</v>
      </c>
      <c r="R47" s="20" t="n">
        <v>0.38729639</v>
      </c>
    </row>
    <row r="48" spans="1:18">
      <c r="A48" s="15" t="s">
        <v>471</v>
      </c>
      <c r="B48" s="17" t="n">
        <v>9841</v>
      </c>
      <c r="C48" s="18">
        <f>(8631.0/B48*100)</f>
        <v/>
      </c>
      <c r="D48" s="19" t="n">
        <v>1210</v>
      </c>
      <c r="E48" s="18" t="n">
        <v>46.45734213</v>
      </c>
      <c r="F48" s="20" t="n">
        <v>2.14430137</v>
      </c>
      <c r="G48" s="18" t="n">
        <v>52.90665164</v>
      </c>
      <c r="H48" s="20" t="n">
        <v>2.10030672</v>
      </c>
      <c r="I48" s="18" t="n">
        <v>0</v>
      </c>
      <c r="J48" s="20" t="n">
        <v>0</v>
      </c>
      <c r="K48" s="18" t="n">
        <v>0.49564291</v>
      </c>
      <c r="L48" s="20" t="n">
        <v>0.28764604</v>
      </c>
      <c r="M48" s="18" t="n">
        <v>0</v>
      </c>
      <c r="N48" s="20" t="n">
        <v>0</v>
      </c>
      <c r="O48" s="18" t="n">
        <v>0</v>
      </c>
      <c r="P48" s="20" t="n">
        <v>0</v>
      </c>
      <c r="Q48" s="18" t="n">
        <v>0.14036332</v>
      </c>
      <c r="R48" s="20" t="n">
        <v>0.13877463</v>
      </c>
    </row>
    <row r="49" spans="1:18">
      <c r="A49" s="15" t="s">
        <v>472</v>
      </c>
      <c r="B49" s="17" t="n">
        <v>11795</v>
      </c>
      <c r="C49" s="18">
        <f>(10392.0/B49*100)</f>
        <v/>
      </c>
      <c r="D49" s="19" t="n">
        <v>1403</v>
      </c>
      <c r="E49" s="18" t="n">
        <v>65.67655907</v>
      </c>
      <c r="F49" s="20" t="n">
        <v>1.46084963</v>
      </c>
      <c r="G49" s="18" t="n">
        <v>31.80991299</v>
      </c>
      <c r="H49" s="20" t="n">
        <v>1.45824994</v>
      </c>
      <c r="I49" s="18" t="n">
        <v>0</v>
      </c>
      <c r="J49" s="20" t="n">
        <v>0</v>
      </c>
      <c r="K49" s="18" t="n">
        <v>1.84099514</v>
      </c>
      <c r="L49" s="20" t="n">
        <v>0.53467604</v>
      </c>
      <c r="M49" s="18" t="n">
        <v>0</v>
      </c>
      <c r="N49" s="20" t="n">
        <v>0</v>
      </c>
      <c r="O49" s="18" t="n">
        <v>0</v>
      </c>
      <c r="P49" s="20" t="n">
        <v>0</v>
      </c>
      <c r="Q49" s="18" t="n">
        <v>0.6725328</v>
      </c>
      <c r="R49" s="20" t="n">
        <v>0.23544117</v>
      </c>
    </row>
    <row r="50" spans="1:18">
      <c r="A50" s="15" t="s">
        <v>473</v>
      </c>
      <c r="B50" s="17" t="n">
        <v>6866</v>
      </c>
      <c r="C50" s="18">
        <f>(6128.0/B50*100)</f>
        <v/>
      </c>
      <c r="D50" s="19" t="n">
        <v>738</v>
      </c>
      <c r="E50" s="18" t="n">
        <v>60.74704594</v>
      </c>
      <c r="F50" s="20" t="n">
        <v>1.97576812</v>
      </c>
      <c r="G50" s="18" t="n">
        <v>38.14210801</v>
      </c>
      <c r="H50" s="20" t="n">
        <v>1.97661832</v>
      </c>
      <c r="I50" s="18" t="n">
        <v>0</v>
      </c>
      <c r="J50" s="20" t="n">
        <v>0</v>
      </c>
      <c r="K50" s="18" t="n">
        <v>0.48037157</v>
      </c>
      <c r="L50" s="20" t="n">
        <v>0.24253219</v>
      </c>
      <c r="M50" s="18" t="n">
        <v>0</v>
      </c>
      <c r="N50" s="20" t="n">
        <v>0</v>
      </c>
      <c r="O50" s="18" t="n">
        <v>0</v>
      </c>
      <c r="P50" s="20" t="n">
        <v>0</v>
      </c>
      <c r="Q50" s="18" t="n">
        <v>0.6304744799999999</v>
      </c>
      <c r="R50" s="20" t="n">
        <v>0.31868947</v>
      </c>
    </row>
    <row r="51" spans="1:18">
      <c r="A51" s="15" t="s">
        <v>474</v>
      </c>
      <c r="B51" s="17" t="n">
        <v>5809</v>
      </c>
      <c r="C51" s="18">
        <f>(5081.0/B51*100)</f>
        <v/>
      </c>
      <c r="D51" s="19" t="n">
        <v>728</v>
      </c>
      <c r="E51" s="18" t="n">
        <v>37.32413362</v>
      </c>
      <c r="F51" s="20" t="n">
        <v>2.10503854</v>
      </c>
      <c r="G51" s="18" t="n">
        <v>62.02461371</v>
      </c>
      <c r="H51" s="20" t="n">
        <v>2.09681266</v>
      </c>
      <c r="I51" s="18" t="n">
        <v>0</v>
      </c>
      <c r="J51" s="20" t="n">
        <v>0</v>
      </c>
      <c r="K51" s="18" t="n">
        <v>0</v>
      </c>
      <c r="L51" s="20" t="n">
        <v>0</v>
      </c>
      <c r="M51" s="18" t="n">
        <v>0</v>
      </c>
      <c r="N51" s="20" t="n">
        <v>0</v>
      </c>
      <c r="O51" s="18" t="n">
        <v>0</v>
      </c>
      <c r="P51" s="20" t="n">
        <v>0</v>
      </c>
      <c r="Q51" s="18" t="n">
        <v>0.65125267</v>
      </c>
      <c r="R51" s="20" t="n">
        <v>0.29042742</v>
      </c>
    </row>
    <row r="52" spans="1:18">
      <c r="A52" s="15" t="s">
        <v>475</v>
      </c>
      <c r="B52" s="17" t="n">
        <v>5571</v>
      </c>
      <c r="C52" s="18">
        <f>(4907.0/B52*100)</f>
        <v/>
      </c>
      <c r="D52" s="19" t="n">
        <v>664</v>
      </c>
      <c r="E52" s="18" t="n">
        <v>52.35108028</v>
      </c>
      <c r="F52" s="20" t="n">
        <v>2.03816105</v>
      </c>
      <c r="G52" s="18" t="n">
        <v>45.89694157</v>
      </c>
      <c r="H52" s="20" t="n">
        <v>2.03657494</v>
      </c>
      <c r="I52" s="18" t="n">
        <v>0</v>
      </c>
      <c r="J52" s="20" t="n">
        <v>0</v>
      </c>
      <c r="K52" s="18" t="n">
        <v>0.16534649</v>
      </c>
      <c r="L52" s="20" t="n">
        <v>0.16548789</v>
      </c>
      <c r="M52" s="18" t="n">
        <v>0</v>
      </c>
      <c r="N52" s="20" t="n">
        <v>0</v>
      </c>
      <c r="O52" s="18" t="n">
        <v>0</v>
      </c>
      <c r="P52" s="20" t="n">
        <v>0</v>
      </c>
      <c r="Q52" s="18" t="n">
        <v>1.58663166</v>
      </c>
      <c r="R52" s="20" t="n">
        <v>0.4083701</v>
      </c>
    </row>
    <row r="53" spans="1:18">
      <c r="A53" s="15" t="s">
        <v>476</v>
      </c>
      <c r="B53" s="17" t="n">
        <v>4740</v>
      </c>
      <c r="C53" s="18">
        <f>(3976.0/B53*100)</f>
        <v/>
      </c>
      <c r="D53" s="19" t="n">
        <v>764</v>
      </c>
      <c r="E53" s="18" t="n">
        <v>69.7839906</v>
      </c>
      <c r="F53" s="20" t="n">
        <v>1.7588974</v>
      </c>
      <c r="G53" s="18" t="n">
        <v>16.07701107</v>
      </c>
      <c r="H53" s="20" t="n">
        <v>1.58208425</v>
      </c>
      <c r="I53" s="18" t="n">
        <v>0</v>
      </c>
      <c r="J53" s="20" t="n">
        <v>0</v>
      </c>
      <c r="K53" s="18" t="n">
        <v>12.19617975</v>
      </c>
      <c r="L53" s="20" t="n">
        <v>1.30566355</v>
      </c>
      <c r="M53" s="18" t="n">
        <v>0</v>
      </c>
      <c r="N53" s="20" t="n">
        <v>0</v>
      </c>
      <c r="O53" s="18" t="n">
        <v>0</v>
      </c>
      <c r="P53" s="20" t="n">
        <v>0</v>
      </c>
      <c r="Q53" s="18" t="n">
        <v>1.94281858</v>
      </c>
      <c r="R53" s="20" t="n">
        <v>0.57532645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(4708.0/B55*100)</f>
        <v/>
      </c>
      <c r="D55" s="19" t="n">
        <v>651</v>
      </c>
      <c r="E55" s="18" t="n">
        <v>36.61952173</v>
      </c>
      <c r="F55" s="20" t="n">
        <v>1.56435551</v>
      </c>
      <c r="G55" s="18" t="n">
        <v>62.75258661</v>
      </c>
      <c r="H55" s="20" t="n">
        <v>1.53246531</v>
      </c>
      <c r="I55" s="18" t="n">
        <v>0</v>
      </c>
      <c r="J55" s="20" t="n">
        <v>0</v>
      </c>
      <c r="K55" s="18" t="n">
        <v>0.34895288</v>
      </c>
      <c r="L55" s="20" t="n">
        <v>0.26133891</v>
      </c>
      <c r="M55" s="18" t="n">
        <v>0</v>
      </c>
      <c r="N55" s="20" t="n">
        <v>0</v>
      </c>
      <c r="O55" s="18" t="n">
        <v>0</v>
      </c>
      <c r="P55" s="20" t="n">
        <v>0</v>
      </c>
      <c r="Q55" s="18" t="n">
        <v>0.27893878</v>
      </c>
      <c r="R55" s="20" t="n">
        <v>0.19685943</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(5747.0/B61*100)</f>
        <v/>
      </c>
      <c r="D61" s="19" t="n">
        <v>778</v>
      </c>
      <c r="E61" s="18" t="n">
        <v>53.62019256</v>
      </c>
      <c r="F61" s="20" t="n">
        <v>1.83659378</v>
      </c>
      <c r="G61" s="18" t="n">
        <v>46.04262985</v>
      </c>
      <c r="H61" s="20" t="n">
        <v>1.82354976</v>
      </c>
      <c r="I61" s="18" t="n">
        <v>0</v>
      </c>
      <c r="J61" s="20" t="n">
        <v>0</v>
      </c>
      <c r="K61" s="18" t="n">
        <v>0.05995397</v>
      </c>
      <c r="L61" s="20" t="n">
        <v>0.04253261</v>
      </c>
      <c r="M61" s="18" t="n">
        <v>0</v>
      </c>
      <c r="N61" s="20" t="n">
        <v>0</v>
      </c>
      <c r="O61" s="18" t="n">
        <v>0</v>
      </c>
      <c r="P61" s="20" t="n">
        <v>0</v>
      </c>
      <c r="Q61" s="18" t="n">
        <v>0.27722361</v>
      </c>
      <c r="R61" s="20" t="n">
        <v>0.18008595</v>
      </c>
    </row>
    <row r="62" spans="1:18">
      <c r="A62" s="15" t="s">
        <v>486</v>
      </c>
      <c r="B62" s="17" t="n">
        <v>4476</v>
      </c>
      <c r="C62" s="18">
        <f>(3927.0/B62*100)</f>
        <v/>
      </c>
      <c r="D62" s="19" t="n">
        <v>549</v>
      </c>
      <c r="E62" s="18" t="n">
        <v>51.77802566</v>
      </c>
      <c r="F62" s="20" t="n">
        <v>2.16308883</v>
      </c>
      <c r="G62" s="18" t="n">
        <v>48.22197434</v>
      </c>
      <c r="H62" s="20" t="n">
        <v>2.16308883</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(4981.0/B67*100)</f>
        <v/>
      </c>
      <c r="D67" s="19" t="n">
        <v>684</v>
      </c>
      <c r="E67" s="18" t="n">
        <v>58.55665808</v>
      </c>
      <c r="F67" s="20" t="n">
        <v>1.86491476</v>
      </c>
      <c r="G67" s="18" t="n">
        <v>39.0903525</v>
      </c>
      <c r="H67" s="20" t="n">
        <v>1.74569178</v>
      </c>
      <c r="I67" s="18" t="n">
        <v>0</v>
      </c>
      <c r="J67" s="20" t="n">
        <v>0</v>
      </c>
      <c r="K67" s="18" t="n">
        <v>0.25684836</v>
      </c>
      <c r="L67" s="20" t="n">
        <v>0.18197785</v>
      </c>
      <c r="M67" s="18" t="n">
        <v>0</v>
      </c>
      <c r="N67" s="20" t="n">
        <v>0</v>
      </c>
      <c r="O67" s="18" t="n">
        <v>0</v>
      </c>
      <c r="P67" s="20" t="n">
        <v>0</v>
      </c>
      <c r="Q67" s="18" t="n">
        <v>2.09614106</v>
      </c>
      <c r="R67" s="20" t="n">
        <v>0.53824005</v>
      </c>
    </row>
    <row r="68" spans="1:18">
      <c r="A68" s="15" t="s">
        <v>492</v>
      </c>
      <c r="B68" s="17" t="n">
        <v>6971</v>
      </c>
      <c r="C68" s="18">
        <f>(6198.0/B68*100)</f>
        <v/>
      </c>
      <c r="D68" s="19" t="n">
        <v>773</v>
      </c>
      <c r="E68" s="18" t="n">
        <v>57.86671113</v>
      </c>
      <c r="F68" s="20" t="n">
        <v>1.74464781</v>
      </c>
      <c r="G68" s="18" t="n">
        <v>40.62298983</v>
      </c>
      <c r="H68" s="20" t="n">
        <v>1.72858386</v>
      </c>
      <c r="I68" s="18" t="n">
        <v>0</v>
      </c>
      <c r="J68" s="20" t="n">
        <v>0</v>
      </c>
      <c r="K68" s="18" t="n">
        <v>0.23152034</v>
      </c>
      <c r="L68" s="20" t="n">
        <v>0.16882489</v>
      </c>
      <c r="M68" s="18" t="n">
        <v>0</v>
      </c>
      <c r="N68" s="20" t="n">
        <v>0</v>
      </c>
      <c r="O68" s="18" t="n">
        <v>0</v>
      </c>
      <c r="P68" s="20" t="n">
        <v>0</v>
      </c>
      <c r="Q68" s="18" t="n">
        <v>1.27877869</v>
      </c>
      <c r="R68" s="20" t="n">
        <v>0.38330091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63.38611719</v>
      </c>
      <c r="F70" s="20" t="n">
        <v>1.04456939</v>
      </c>
      <c r="G70" s="18" t="n">
        <v>32.42486048</v>
      </c>
      <c r="H70" s="20" t="n">
        <v>0.93108411</v>
      </c>
      <c r="I70" s="18" t="n">
        <v>0</v>
      </c>
      <c r="J70" s="20" t="n">
        <v>0</v>
      </c>
      <c r="K70" s="18" t="n">
        <v>1.8319047</v>
      </c>
      <c r="L70" s="20" t="n">
        <v>0.32797111</v>
      </c>
      <c r="M70" s="18" t="n">
        <v>0</v>
      </c>
      <c r="N70" s="20" t="n">
        <v>0</v>
      </c>
      <c r="O70" s="18" t="n">
        <v>0</v>
      </c>
      <c r="P70" s="20" t="n">
        <v>0</v>
      </c>
      <c r="Q70" s="18" t="n">
        <v>2.35711763</v>
      </c>
      <c r="R70" s="20" t="n">
        <v>0.30677044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(5318.0/B72*100)</f>
        <v/>
      </c>
      <c r="D72" s="19" t="n">
        <v>718</v>
      </c>
      <c r="E72" s="18" t="n">
        <v>44.3115812</v>
      </c>
      <c r="F72" s="20" t="n">
        <v>2.55296667</v>
      </c>
      <c r="G72" s="18" t="n">
        <v>54.36632926</v>
      </c>
      <c r="H72" s="20" t="n">
        <v>2.57875164</v>
      </c>
      <c r="I72" s="18" t="n">
        <v>0</v>
      </c>
      <c r="J72" s="20" t="n">
        <v>0</v>
      </c>
      <c r="K72" s="18" t="n">
        <v>0.62704696</v>
      </c>
      <c r="L72" s="20" t="n">
        <v>0.41186307</v>
      </c>
      <c r="M72" s="18" t="n">
        <v>0</v>
      </c>
      <c r="N72" s="20" t="n">
        <v>0</v>
      </c>
      <c r="O72" s="18" t="n">
        <v>0</v>
      </c>
      <c r="P72" s="20" t="n">
        <v>0</v>
      </c>
      <c r="Q72" s="18" t="n">
        <v>0.69504258</v>
      </c>
      <c r="R72" s="20" t="n">
        <v>0.26126863</v>
      </c>
    </row>
    <row r="73" spans="1:18">
      <c r="A73" s="15" t="s">
        <v>497</v>
      </c>
      <c r="B73" s="17" t="n">
        <v>6115</v>
      </c>
      <c r="C73" s="18">
        <f>(5374.0/B73*100)</f>
        <v/>
      </c>
      <c r="D73" s="19" t="n">
        <v>741</v>
      </c>
      <c r="E73" s="18" t="n">
        <v>44.44136978</v>
      </c>
      <c r="F73" s="20" t="n">
        <v>2.36870116</v>
      </c>
      <c r="G73" s="18" t="n">
        <v>55.43657372</v>
      </c>
      <c r="H73" s="20" t="n">
        <v>2.37506355</v>
      </c>
      <c r="I73" s="18" t="n">
        <v>0</v>
      </c>
      <c r="J73" s="20" t="n">
        <v>0</v>
      </c>
      <c r="K73" s="18" t="n">
        <v>0.1220565</v>
      </c>
      <c r="L73" s="20" t="n">
        <v>0.12209462</v>
      </c>
      <c r="M73" s="18" t="n">
        <v>0</v>
      </c>
      <c r="N73" s="20" t="n">
        <v>0</v>
      </c>
      <c r="O73" s="18" t="n">
        <v>0</v>
      </c>
      <c r="P73" s="20" t="n">
        <v>0</v>
      </c>
      <c r="Q73" s="18" t="n">
        <v>0</v>
      </c>
      <c r="R73" s="20" t="n">
        <v>0</v>
      </c>
    </row>
    <row r="74" spans="1:18">
      <c r="A74" s="15" t="s">
        <v>498</v>
      </c>
      <c r="B74" s="17" t="n">
        <v>7708</v>
      </c>
      <c r="C74" s="18">
        <f>(6757.0/B74*100)</f>
        <v/>
      </c>
      <c r="D74" s="19" t="n">
        <v>951</v>
      </c>
      <c r="E74" s="18" t="n">
        <v>60.50441172</v>
      </c>
      <c r="F74" s="20" t="n">
        <v>1.58816546</v>
      </c>
      <c r="G74" s="18" t="n">
        <v>39.13637489</v>
      </c>
      <c r="H74" s="20" t="n">
        <v>1.56815015</v>
      </c>
      <c r="I74" s="18" t="n">
        <v>0</v>
      </c>
      <c r="J74" s="20" t="n">
        <v>0</v>
      </c>
      <c r="K74" s="18" t="n">
        <v>0.07269736</v>
      </c>
      <c r="L74" s="20" t="n">
        <v>0.07470087</v>
      </c>
      <c r="M74" s="18" t="n">
        <v>0</v>
      </c>
      <c r="N74" s="20" t="n">
        <v>0</v>
      </c>
      <c r="O74" s="18" t="n">
        <v>0</v>
      </c>
      <c r="P74" s="20" t="n">
        <v>0</v>
      </c>
      <c r="Q74" s="18" t="n">
        <v>0.28651602</v>
      </c>
      <c r="R74" s="20" t="n">
        <v>0.17332571</v>
      </c>
    </row>
    <row r="75" spans="1:18">
      <c r="A75" s="15" t="s">
        <v>499</v>
      </c>
      <c r="B75" s="17" t="n">
        <v>8249</v>
      </c>
      <c r="C75" s="18">
        <f>(7272.0/B75*100)</f>
        <v/>
      </c>
      <c r="D75" s="19" t="n">
        <v>977</v>
      </c>
      <c r="E75" s="18" t="n">
        <v>77.57706593</v>
      </c>
      <c r="F75" s="20" t="n">
        <v>1.67661398</v>
      </c>
      <c r="G75" s="18" t="n">
        <v>22.07577985</v>
      </c>
      <c r="H75" s="20" t="n">
        <v>1.6746914</v>
      </c>
      <c r="I75" s="18" t="n">
        <v>0</v>
      </c>
      <c r="J75" s="20" t="n">
        <v>0</v>
      </c>
      <c r="K75" s="18" t="n">
        <v>0</v>
      </c>
      <c r="L75" s="20" t="n">
        <v>0</v>
      </c>
      <c r="M75" s="18" t="n">
        <v>0</v>
      </c>
      <c r="N75" s="20" t="n">
        <v>0</v>
      </c>
      <c r="O75" s="18" t="n">
        <v>0</v>
      </c>
      <c r="P75" s="20" t="n">
        <v>0</v>
      </c>
      <c r="Q75" s="18" t="n">
        <v>0.34715422</v>
      </c>
      <c r="R75" s="20" t="n">
        <v>0.21279821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(4795.0/B77*100)</f>
        <v/>
      </c>
      <c r="D77" s="19" t="n">
        <v>580</v>
      </c>
      <c r="E77" s="18" t="n">
        <v>78.41556866000001</v>
      </c>
      <c r="F77" s="20" t="n">
        <v>1.65102101</v>
      </c>
      <c r="G77" s="18" t="n">
        <v>16.41746767</v>
      </c>
      <c r="H77" s="20" t="n">
        <v>1.4829674</v>
      </c>
      <c r="I77" s="18" t="n">
        <v>0</v>
      </c>
      <c r="J77" s="20" t="n">
        <v>0</v>
      </c>
      <c r="K77" s="18" t="n">
        <v>3.43528293</v>
      </c>
      <c r="L77" s="20" t="n">
        <v>0.80501846</v>
      </c>
      <c r="M77" s="18" t="n">
        <v>0</v>
      </c>
      <c r="N77" s="20" t="n">
        <v>0</v>
      </c>
      <c r="O77" s="18" t="n">
        <v>0</v>
      </c>
      <c r="P77" s="20" t="n">
        <v>0</v>
      </c>
      <c r="Q77" s="18" t="n">
        <v>1.73168073</v>
      </c>
      <c r="R77" s="20" t="n">
        <v>0.63523283</v>
      </c>
    </row>
    <row r="78" spans="1:18">
      <c r="A78" s="15" t="s">
        <v>502</v>
      </c>
      <c r="B78" s="17" t="n">
        <v>14167</v>
      </c>
      <c r="C78" s="18">
        <f>(12487.0/B78*100)</f>
        <v/>
      </c>
      <c r="D78" s="19" t="n">
        <v>1680</v>
      </c>
      <c r="E78" s="18" t="n">
        <v>61.86062965</v>
      </c>
      <c r="F78" s="20" t="n">
        <v>1.69231609</v>
      </c>
      <c r="G78" s="18" t="n">
        <v>36.17624936</v>
      </c>
      <c r="H78" s="20" t="n">
        <v>1.70115984</v>
      </c>
      <c r="I78" s="18" t="n">
        <v>0</v>
      </c>
      <c r="J78" s="20" t="n">
        <v>0</v>
      </c>
      <c r="K78" s="18" t="n">
        <v>0.7707695</v>
      </c>
      <c r="L78" s="20" t="n">
        <v>0.27244525</v>
      </c>
      <c r="M78" s="18" t="n">
        <v>0</v>
      </c>
      <c r="N78" s="20" t="n">
        <v>0</v>
      </c>
      <c r="O78" s="18" t="n">
        <v>0</v>
      </c>
      <c r="P78" s="20" t="n">
        <v>0</v>
      </c>
      <c r="Q78" s="18" t="n">
        <v>1.1923515</v>
      </c>
      <c r="R78" s="20" t="n">
        <v>0.33380331</v>
      </c>
    </row>
    <row r="79" spans="1:18">
      <c r="A79" s="15" t="s">
        <v>503</v>
      </c>
      <c r="B79" s="17" t="n">
        <v>6062</v>
      </c>
      <c r="C79" s="18">
        <f>(5339.0/B79*100)</f>
        <v/>
      </c>
      <c r="D79" s="19" t="n">
        <v>723</v>
      </c>
      <c r="E79" s="18" t="n">
        <v>60.71168191</v>
      </c>
      <c r="F79" s="20" t="n">
        <v>1.91606647</v>
      </c>
      <c r="G79" s="18" t="n">
        <v>36.83608689</v>
      </c>
      <c r="H79" s="20" t="n">
        <v>1.72562541</v>
      </c>
      <c r="I79" s="18" t="n">
        <v>0</v>
      </c>
      <c r="J79" s="20" t="n">
        <v>0</v>
      </c>
      <c r="K79" s="18" t="n">
        <v>0.40993187</v>
      </c>
      <c r="L79" s="20" t="n">
        <v>0.23969328</v>
      </c>
      <c r="M79" s="18" t="n">
        <v>0</v>
      </c>
      <c r="N79" s="20" t="n">
        <v>0</v>
      </c>
      <c r="O79" s="18" t="n">
        <v>0</v>
      </c>
      <c r="P79" s="20" t="n">
        <v>0</v>
      </c>
      <c r="Q79" s="18" t="n">
        <v>2.04229933</v>
      </c>
      <c r="R79" s="20" t="n">
        <v>0.57303229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(28338.0/B82*100)</f>
        <v/>
      </c>
      <c r="D82" s="19" t="n">
        <v>3992</v>
      </c>
      <c r="E82" s="18" t="n">
        <v>43.0307553</v>
      </c>
      <c r="F82" s="20" t="n">
        <v>1.40357762</v>
      </c>
      <c r="G82" s="18" t="n">
        <v>56.34224943</v>
      </c>
      <c r="H82" s="20" t="n">
        <v>1.38133444</v>
      </c>
      <c r="I82" s="18" t="n">
        <v>0</v>
      </c>
      <c r="J82" s="20" t="n">
        <v>0</v>
      </c>
      <c r="K82" s="18" t="n">
        <v>0.07196172000000001</v>
      </c>
      <c r="L82" s="20" t="n">
        <v>0.03387801</v>
      </c>
      <c r="M82" s="18" t="n">
        <v>0</v>
      </c>
      <c r="N82" s="20" t="n">
        <v>0</v>
      </c>
      <c r="O82" s="18" t="n">
        <v>0</v>
      </c>
      <c r="P82" s="20" t="n">
        <v>0</v>
      </c>
      <c r="Q82" s="18" t="n">
        <v>0.55503355</v>
      </c>
      <c r="R82" s="20" t="n">
        <v>0.20146999</v>
      </c>
    </row>
    <row r="83" spans="1:18">
      <c r="A83" s="15" t="s">
        <v>507</v>
      </c>
      <c r="B83" s="17" t="n">
        <v>1652</v>
      </c>
      <c r="C83" s="18">
        <f>(1462.0/B83*100)</f>
        <v/>
      </c>
      <c r="D83" s="19" t="n">
        <v>190</v>
      </c>
      <c r="E83" s="18" t="n">
        <v>39.87007271</v>
      </c>
      <c r="F83" s="20" t="n">
        <v>3.2211384</v>
      </c>
      <c r="G83" s="18" t="n">
        <v>60.12992729</v>
      </c>
      <c r="H83" s="20" t="n">
        <v>3.2211384</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(1662.0/B84*100)</f>
        <v/>
      </c>
      <c r="D84" s="19" t="n">
        <v>225</v>
      </c>
      <c r="E84" s="18" t="n">
        <v>43.48068574</v>
      </c>
      <c r="F84" s="20" t="n">
        <v>3.20768307</v>
      </c>
      <c r="G84" s="18" t="n">
        <v>56.51931426</v>
      </c>
      <c r="H84" s="20" t="n">
        <v>3.20768307</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(12764.0/B7*100)</f>
        <v/>
      </c>
      <c r="D7" s="19" t="n">
        <v>1766</v>
      </c>
      <c r="E7" s="18" t="n">
        <v>10.46829448</v>
      </c>
      <c r="F7" s="20" t="n">
        <v>0.75681813</v>
      </c>
      <c r="G7" s="18" t="n">
        <v>84.85393069</v>
      </c>
      <c r="H7" s="20" t="n">
        <v>0.92422613</v>
      </c>
      <c r="I7" s="18" t="n">
        <v>0</v>
      </c>
      <c r="J7" s="20" t="n">
        <v>0</v>
      </c>
      <c r="K7" s="18" t="n">
        <v>0.47419682</v>
      </c>
      <c r="L7" s="20" t="n">
        <v>0.19793031</v>
      </c>
      <c r="M7" s="18" t="n">
        <v>0.12628756</v>
      </c>
      <c r="N7" s="20" t="n">
        <v>0.10280274</v>
      </c>
      <c r="O7" s="18" t="n">
        <v>0</v>
      </c>
      <c r="P7" s="20" t="n">
        <v>0</v>
      </c>
      <c r="Q7" s="18" t="n">
        <v>4.07729044</v>
      </c>
      <c r="R7" s="20" t="n">
        <v>0.52289849</v>
      </c>
    </row>
    <row r="8" spans="1:18">
      <c r="A8" s="15" t="s">
        <v>430</v>
      </c>
      <c r="B8" s="17" t="n">
        <v>7007</v>
      </c>
      <c r="C8" s="18">
        <f>(6155.0/B8*100)</f>
        <v/>
      </c>
      <c r="D8" s="19" t="n">
        <v>852</v>
      </c>
      <c r="E8" s="18" t="n">
        <v>18.03034857</v>
      </c>
      <c r="F8" s="20" t="n">
        <v>1.38804753</v>
      </c>
      <c r="G8" s="18" t="n">
        <v>66.67826286</v>
      </c>
      <c r="H8" s="20" t="n">
        <v>1.89454965</v>
      </c>
      <c r="I8" s="18" t="n">
        <v>0</v>
      </c>
      <c r="J8" s="20" t="n">
        <v>0</v>
      </c>
      <c r="K8" s="18" t="n">
        <v>0.15044781</v>
      </c>
      <c r="L8" s="20" t="n">
        <v>0.10790567</v>
      </c>
      <c r="M8" s="18" t="n">
        <v>0</v>
      </c>
      <c r="N8" s="20" t="n">
        <v>0</v>
      </c>
      <c r="O8" s="18" t="n">
        <v>0</v>
      </c>
      <c r="P8" s="20" t="n">
        <v>0</v>
      </c>
      <c r="Q8" s="18" t="n">
        <v>15.14094077</v>
      </c>
      <c r="R8" s="20" t="n">
        <v>1.27513638</v>
      </c>
    </row>
    <row r="9" spans="1:18">
      <c r="A9" s="15" t="s">
        <v>431</v>
      </c>
      <c r="B9" s="17" t="n">
        <v>9651</v>
      </c>
      <c r="C9" s="18">
        <f>(8504.0/B9*100)</f>
        <v/>
      </c>
      <c r="D9" s="19" t="n">
        <v>1147</v>
      </c>
      <c r="E9" s="18" t="n">
        <v>14.91151316</v>
      </c>
      <c r="F9" s="20" t="n">
        <v>1.1584028</v>
      </c>
      <c r="G9" s="18" t="n">
        <v>78.78737615</v>
      </c>
      <c r="H9" s="20" t="n">
        <v>1.37583049</v>
      </c>
      <c r="I9" s="18" t="n">
        <v>0</v>
      </c>
      <c r="J9" s="20" t="n">
        <v>0</v>
      </c>
      <c r="K9" s="18" t="n">
        <v>0</v>
      </c>
      <c r="L9" s="20" t="n">
        <v>0</v>
      </c>
      <c r="M9" s="18" t="n">
        <v>0.06296465</v>
      </c>
      <c r="N9" s="20" t="n">
        <v>0.06433447</v>
      </c>
      <c r="O9" s="18" t="n">
        <v>0</v>
      </c>
      <c r="P9" s="20" t="n">
        <v>0</v>
      </c>
      <c r="Q9" s="18" t="n">
        <v>6.23814604</v>
      </c>
      <c r="R9" s="20" t="n">
        <v>0.76811524</v>
      </c>
    </row>
    <row r="10" spans="1:18">
      <c r="A10" s="15" t="s">
        <v>432</v>
      </c>
      <c r="B10" s="17" t="n">
        <v>20058</v>
      </c>
      <c r="C10" s="18">
        <f>(17613.0/B10*100)</f>
        <v/>
      </c>
      <c r="D10" s="19" t="n">
        <v>2445</v>
      </c>
      <c r="E10" s="18" t="n">
        <v>10.4955253</v>
      </c>
      <c r="F10" s="20" t="n">
        <v>0.79354391</v>
      </c>
      <c r="G10" s="18" t="n">
        <v>86.11391351</v>
      </c>
      <c r="H10" s="20" t="n">
        <v>0.96778707</v>
      </c>
      <c r="I10" s="18" t="n">
        <v>0</v>
      </c>
      <c r="J10" s="20" t="n">
        <v>0</v>
      </c>
      <c r="K10" s="18" t="n">
        <v>0.34343141</v>
      </c>
      <c r="L10" s="20" t="n">
        <v>0.15962392</v>
      </c>
      <c r="M10" s="18" t="n">
        <v>0</v>
      </c>
      <c r="N10" s="20" t="n">
        <v>0</v>
      </c>
      <c r="O10" s="18" t="n">
        <v>0</v>
      </c>
      <c r="P10" s="20" t="n">
        <v>0</v>
      </c>
      <c r="Q10" s="18" t="n">
        <v>3.04712978</v>
      </c>
      <c r="R10" s="20" t="n">
        <v>0.44431218</v>
      </c>
    </row>
    <row r="11" spans="1:18">
      <c r="A11" s="15" t="s">
        <v>433</v>
      </c>
      <c r="B11" s="17" t="n">
        <v>7053</v>
      </c>
      <c r="C11" s="18">
        <f>(6212.0/B11*100)</f>
        <v/>
      </c>
      <c r="D11" s="19" t="n">
        <v>841</v>
      </c>
      <c r="E11" s="18" t="n">
        <v>21.68226256</v>
      </c>
      <c r="F11" s="20" t="n">
        <v>1.63469805</v>
      </c>
      <c r="G11" s="18" t="n">
        <v>66.03847066</v>
      </c>
      <c r="H11" s="20" t="n">
        <v>1.88085144</v>
      </c>
      <c r="I11" s="18" t="n">
        <v>0</v>
      </c>
      <c r="J11" s="20" t="n">
        <v>0</v>
      </c>
      <c r="K11" s="18" t="n">
        <v>0.83796855</v>
      </c>
      <c r="L11" s="20" t="n">
        <v>0.3731134</v>
      </c>
      <c r="M11" s="18" t="n">
        <v>0.11537221</v>
      </c>
      <c r="N11" s="20" t="n">
        <v>0.10478277</v>
      </c>
      <c r="O11" s="18" t="n">
        <v>0</v>
      </c>
      <c r="P11" s="20" t="n">
        <v>0</v>
      </c>
      <c r="Q11" s="18" t="n">
        <v>11.32592603</v>
      </c>
      <c r="R11" s="20" t="n">
        <v>1.33548448</v>
      </c>
    </row>
    <row r="12" spans="1:18">
      <c r="A12" s="15" t="s">
        <v>434</v>
      </c>
      <c r="B12" s="17" t="n">
        <v>6894</v>
      </c>
      <c r="C12" s="18">
        <f>(6051.0/B12*100)</f>
        <v/>
      </c>
      <c r="D12" s="19" t="n">
        <v>843</v>
      </c>
      <c r="E12" s="18" t="n">
        <v>28.25021713</v>
      </c>
      <c r="F12" s="20" t="n">
        <v>1.72214092</v>
      </c>
      <c r="G12" s="18" t="n">
        <v>57.53018738</v>
      </c>
      <c r="H12" s="20" t="n">
        <v>1.97303442</v>
      </c>
      <c r="I12" s="18" t="n">
        <v>0</v>
      </c>
      <c r="J12" s="20" t="n">
        <v>0</v>
      </c>
      <c r="K12" s="18" t="n">
        <v>0</v>
      </c>
      <c r="L12" s="20" t="n">
        <v>0</v>
      </c>
      <c r="M12" s="18" t="n">
        <v>0</v>
      </c>
      <c r="N12" s="20" t="n">
        <v>0</v>
      </c>
      <c r="O12" s="18" t="n">
        <v>0</v>
      </c>
      <c r="P12" s="20" t="n">
        <v>0</v>
      </c>
      <c r="Q12" s="18" t="n">
        <v>14.21959548</v>
      </c>
      <c r="R12" s="20" t="n">
        <v>1.37843865</v>
      </c>
    </row>
    <row r="13" spans="1:18">
      <c r="A13" s="15" t="s">
        <v>435</v>
      </c>
      <c r="B13" s="17" t="n">
        <v>7161</v>
      </c>
      <c r="C13" s="18">
        <f>(6313.0/B13*100)</f>
        <v/>
      </c>
      <c r="D13" s="19" t="n">
        <v>848</v>
      </c>
      <c r="E13" s="18" t="n">
        <v>14.69595557</v>
      </c>
      <c r="F13" s="20" t="n">
        <v>1.36153501</v>
      </c>
      <c r="G13" s="18" t="n">
        <v>81.02394934</v>
      </c>
      <c r="H13" s="20" t="n">
        <v>1.50103327</v>
      </c>
      <c r="I13" s="18" t="n">
        <v>0</v>
      </c>
      <c r="J13" s="20" t="n">
        <v>0</v>
      </c>
      <c r="K13" s="18" t="n">
        <v>0.12954005</v>
      </c>
      <c r="L13" s="20" t="n">
        <v>0.13353421</v>
      </c>
      <c r="M13" s="18" t="n">
        <v>0.03571447</v>
      </c>
      <c r="N13" s="20" t="n">
        <v>0.03587973</v>
      </c>
      <c r="O13" s="18" t="n">
        <v>0</v>
      </c>
      <c r="P13" s="20" t="n">
        <v>0</v>
      </c>
      <c r="Q13" s="18" t="n">
        <v>4.11484056</v>
      </c>
      <c r="R13" s="20" t="n">
        <v>0.70556671</v>
      </c>
    </row>
    <row r="14" spans="1:18">
      <c r="A14" s="15" t="s">
        <v>436</v>
      </c>
      <c r="B14" s="17" t="n">
        <v>5587</v>
      </c>
      <c r="C14" s="18">
        <f>(4891.0/B14*100)</f>
        <v/>
      </c>
      <c r="D14" s="19" t="n">
        <v>696</v>
      </c>
      <c r="E14" s="18" t="n">
        <v>29.54621154</v>
      </c>
      <c r="F14" s="20" t="n">
        <v>2.15277893</v>
      </c>
      <c r="G14" s="18" t="n">
        <v>60.26255674</v>
      </c>
      <c r="H14" s="20" t="n">
        <v>2.21332149</v>
      </c>
      <c r="I14" s="18" t="n">
        <v>0</v>
      </c>
      <c r="J14" s="20" t="n">
        <v>0</v>
      </c>
      <c r="K14" s="18" t="n">
        <v>0.40173738</v>
      </c>
      <c r="L14" s="20" t="n">
        <v>0.23824589</v>
      </c>
      <c r="M14" s="18" t="n">
        <v>0</v>
      </c>
      <c r="N14" s="20" t="n">
        <v>0</v>
      </c>
      <c r="O14" s="18" t="n">
        <v>0</v>
      </c>
      <c r="P14" s="20" t="n">
        <v>0</v>
      </c>
      <c r="Q14" s="18" t="n">
        <v>9.78949435</v>
      </c>
      <c r="R14" s="20" t="n">
        <v>1.34999415</v>
      </c>
    </row>
    <row r="15" spans="1:18">
      <c r="A15" s="15" t="s">
        <v>437</v>
      </c>
      <c r="B15" s="17" t="n">
        <v>5882</v>
      </c>
      <c r="C15" s="18">
        <f>(5156.0/B15*100)</f>
        <v/>
      </c>
      <c r="D15" s="19" t="n">
        <v>726</v>
      </c>
      <c r="E15" s="18" t="n">
        <v>16.09067836</v>
      </c>
      <c r="F15" s="20" t="n">
        <v>1.54911071</v>
      </c>
      <c r="G15" s="18" t="n">
        <v>78.56250415</v>
      </c>
      <c r="H15" s="20" t="n">
        <v>1.72232664</v>
      </c>
      <c r="I15" s="18" t="n">
        <v>0</v>
      </c>
      <c r="J15" s="20" t="n">
        <v>0</v>
      </c>
      <c r="K15" s="18" t="n">
        <v>0</v>
      </c>
      <c r="L15" s="20" t="n">
        <v>0</v>
      </c>
      <c r="M15" s="18" t="n">
        <v>0</v>
      </c>
      <c r="N15" s="20" t="n">
        <v>0</v>
      </c>
      <c r="O15" s="18" t="n">
        <v>0</v>
      </c>
      <c r="P15" s="20" t="n">
        <v>0</v>
      </c>
      <c r="Q15" s="18" t="n">
        <v>5.34681749</v>
      </c>
      <c r="R15" s="20" t="n">
        <v>0.78498222</v>
      </c>
    </row>
    <row r="16" spans="1:18">
      <c r="A16" s="15" t="s">
        <v>438</v>
      </c>
      <c r="B16" s="17" t="n">
        <v>6108</v>
      </c>
      <c r="C16" s="18">
        <f>(5371.0/B16*100)</f>
        <v/>
      </c>
      <c r="D16" s="19" t="n">
        <v>737</v>
      </c>
      <c r="E16" s="18" t="n">
        <v>19.63034935</v>
      </c>
      <c r="F16" s="20" t="n">
        <v>1.40446538</v>
      </c>
      <c r="G16" s="18" t="n">
        <v>69.31853518</v>
      </c>
      <c r="H16" s="20" t="n">
        <v>1.5608103</v>
      </c>
      <c r="I16" s="18" t="n">
        <v>0</v>
      </c>
      <c r="J16" s="20" t="n">
        <v>0</v>
      </c>
      <c r="K16" s="18" t="n">
        <v>0.52539857</v>
      </c>
      <c r="L16" s="20" t="n">
        <v>0.31077256</v>
      </c>
      <c r="M16" s="18" t="n">
        <v>0.15036922</v>
      </c>
      <c r="N16" s="20" t="n">
        <v>0.15016431</v>
      </c>
      <c r="O16" s="18" t="n">
        <v>0</v>
      </c>
      <c r="P16" s="20" t="n">
        <v>0</v>
      </c>
      <c r="Q16" s="18" t="n">
        <v>10.37534767</v>
      </c>
      <c r="R16" s="20" t="n">
        <v>1.0753747</v>
      </c>
    </row>
    <row r="17" spans="1:18">
      <c r="A17" s="15" t="s">
        <v>439</v>
      </c>
      <c r="B17" s="17" t="n">
        <v>6504</v>
      </c>
      <c r="C17" s="18">
        <f>(5713.0/B17*100)</f>
        <v/>
      </c>
      <c r="D17" s="19" t="n">
        <v>791</v>
      </c>
      <c r="E17" s="18" t="n">
        <v>11.64067511</v>
      </c>
      <c r="F17" s="20" t="n">
        <v>1.19405656</v>
      </c>
      <c r="G17" s="18" t="n">
        <v>80.08020102</v>
      </c>
      <c r="H17" s="20" t="n">
        <v>1.51172689</v>
      </c>
      <c r="I17" s="18" t="n">
        <v>0</v>
      </c>
      <c r="J17" s="20" t="n">
        <v>0</v>
      </c>
      <c r="K17" s="18" t="n">
        <v>0.4818147</v>
      </c>
      <c r="L17" s="20" t="n">
        <v>0.24632939</v>
      </c>
      <c r="M17" s="18" t="n">
        <v>0</v>
      </c>
      <c r="N17" s="20" t="n">
        <v>0</v>
      </c>
      <c r="O17" s="18" t="n">
        <v>0</v>
      </c>
      <c r="P17" s="20" t="n">
        <v>0</v>
      </c>
      <c r="Q17" s="18" t="n">
        <v>7.79730917</v>
      </c>
      <c r="R17" s="20" t="n">
        <v>0.9707540099999999</v>
      </c>
    </row>
    <row r="18" spans="1:18">
      <c r="A18" s="15" t="s">
        <v>440</v>
      </c>
      <c r="B18" s="17" t="n">
        <v>5532</v>
      </c>
      <c r="C18" s="18">
        <f>(4850.0/B18*100)</f>
        <v/>
      </c>
      <c r="D18" s="19" t="n">
        <v>682</v>
      </c>
      <c r="E18" s="18" t="n">
        <v>10.34704652</v>
      </c>
      <c r="F18" s="20" t="n">
        <v>1.57000958</v>
      </c>
      <c r="G18" s="18" t="n">
        <v>81.7849386</v>
      </c>
      <c r="H18" s="20" t="n">
        <v>1.76073387</v>
      </c>
      <c r="I18" s="18" t="n">
        <v>0</v>
      </c>
      <c r="J18" s="20" t="n">
        <v>0</v>
      </c>
      <c r="K18" s="18" t="n">
        <v>0.40728781</v>
      </c>
      <c r="L18" s="20" t="n">
        <v>0.24013415</v>
      </c>
      <c r="M18" s="18" t="n">
        <v>0</v>
      </c>
      <c r="N18" s="20" t="n">
        <v>0</v>
      </c>
      <c r="O18" s="18" t="n">
        <v>0</v>
      </c>
      <c r="P18" s="20" t="n">
        <v>0</v>
      </c>
      <c r="Q18" s="18" t="n">
        <v>7.46072708</v>
      </c>
      <c r="R18" s="20" t="n">
        <v>1.06803378</v>
      </c>
    </row>
    <row r="19" spans="1:18">
      <c r="A19" s="15" t="s">
        <v>441</v>
      </c>
      <c r="B19" s="17" t="n">
        <v>5658</v>
      </c>
      <c r="C19" s="18">
        <f>(4951.0/B19*100)</f>
        <v/>
      </c>
      <c r="D19" s="19" t="n">
        <v>707</v>
      </c>
      <c r="E19" s="18" t="n">
        <v>21.71629846</v>
      </c>
      <c r="F19" s="20" t="n">
        <v>1.66425262</v>
      </c>
      <c r="G19" s="18" t="n">
        <v>63.72621022</v>
      </c>
      <c r="H19" s="20" t="n">
        <v>1.87749146</v>
      </c>
      <c r="I19" s="18" t="n">
        <v>0</v>
      </c>
      <c r="J19" s="20" t="n">
        <v>0</v>
      </c>
      <c r="K19" s="18" t="n">
        <v>0</v>
      </c>
      <c r="L19" s="20" t="n">
        <v>0</v>
      </c>
      <c r="M19" s="18" t="n">
        <v>0</v>
      </c>
      <c r="N19" s="20" t="n">
        <v>0</v>
      </c>
      <c r="O19" s="18" t="n">
        <v>0</v>
      </c>
      <c r="P19" s="20" t="n">
        <v>0</v>
      </c>
      <c r="Q19" s="18" t="n">
        <v>14.55749132</v>
      </c>
      <c r="R19" s="20" t="n">
        <v>1.38004203</v>
      </c>
    </row>
    <row r="20" spans="1:18">
      <c r="A20" s="15" t="s">
        <v>442</v>
      </c>
      <c r="B20" s="17" t="n">
        <v>3371</v>
      </c>
      <c r="C20" s="18">
        <f>(2964.0/B20*100)</f>
        <v/>
      </c>
      <c r="D20" s="19" t="n">
        <v>407</v>
      </c>
      <c r="E20" s="18" t="n">
        <v>33.87379511</v>
      </c>
      <c r="F20" s="20" t="n">
        <v>2.3448068</v>
      </c>
      <c r="G20" s="18" t="n">
        <v>53.83322706</v>
      </c>
      <c r="H20" s="20" t="n">
        <v>2.52396777</v>
      </c>
      <c r="I20" s="18" t="n">
        <v>0</v>
      </c>
      <c r="J20" s="20" t="n">
        <v>0</v>
      </c>
      <c r="K20" s="18" t="n">
        <v>0.45153666</v>
      </c>
      <c r="L20" s="20" t="n">
        <v>0.31904157</v>
      </c>
      <c r="M20" s="18" t="n">
        <v>0.37785726</v>
      </c>
      <c r="N20" s="20" t="n">
        <v>0.36246254</v>
      </c>
      <c r="O20" s="18" t="n">
        <v>0</v>
      </c>
      <c r="P20" s="20" t="n">
        <v>0</v>
      </c>
      <c r="Q20" s="18" t="n">
        <v>11.4635839</v>
      </c>
      <c r="R20" s="20" t="n">
        <v>1.68027722</v>
      </c>
    </row>
    <row r="21" spans="1:18">
      <c r="A21" s="15" t="s">
        <v>443</v>
      </c>
      <c r="B21" s="17" t="n">
        <v>5741</v>
      </c>
      <c r="C21" s="18">
        <f>(4791.0/B21*100)</f>
        <v/>
      </c>
      <c r="D21" s="19" t="n">
        <v>950</v>
      </c>
      <c r="E21" s="18" t="n">
        <v>12.15073079</v>
      </c>
      <c r="F21" s="20" t="n">
        <v>1.26449447</v>
      </c>
      <c r="G21" s="18" t="n">
        <v>84.27175846999999</v>
      </c>
      <c r="H21" s="20" t="n">
        <v>1.44562869</v>
      </c>
      <c r="I21" s="18" t="n">
        <v>0</v>
      </c>
      <c r="J21" s="20" t="n">
        <v>0</v>
      </c>
      <c r="K21" s="18" t="n">
        <v>0.08788427</v>
      </c>
      <c r="L21" s="20" t="n">
        <v>0.06211537</v>
      </c>
      <c r="M21" s="18" t="n">
        <v>0</v>
      </c>
      <c r="N21" s="20" t="n">
        <v>0</v>
      </c>
      <c r="O21" s="18" t="n">
        <v>0</v>
      </c>
      <c r="P21" s="20" t="n">
        <v>0</v>
      </c>
      <c r="Q21" s="18" t="n">
        <v>3.48962647</v>
      </c>
      <c r="R21" s="20" t="n">
        <v>0.86065903</v>
      </c>
    </row>
    <row r="22" spans="1:18">
      <c r="A22" s="15" t="s">
        <v>444</v>
      </c>
      <c r="B22" s="17" t="n">
        <v>6598</v>
      </c>
      <c r="C22" s="18">
        <f>(5879.0/B22*100)</f>
        <v/>
      </c>
      <c r="D22" s="19" t="n">
        <v>719</v>
      </c>
      <c r="E22" s="18" t="n">
        <v>17.57484086</v>
      </c>
      <c r="F22" s="20" t="n">
        <v>1.43553388</v>
      </c>
      <c r="G22" s="18" t="n">
        <v>74.74665788</v>
      </c>
      <c r="H22" s="20" t="n">
        <v>1.58413751</v>
      </c>
      <c r="I22" s="18" t="n">
        <v>0</v>
      </c>
      <c r="J22" s="20" t="n">
        <v>0</v>
      </c>
      <c r="K22" s="18" t="n">
        <v>0.24700365</v>
      </c>
      <c r="L22" s="20" t="n">
        <v>0.17407569</v>
      </c>
      <c r="M22" s="18" t="n">
        <v>0</v>
      </c>
      <c r="N22" s="20" t="n">
        <v>0</v>
      </c>
      <c r="O22" s="18" t="n">
        <v>0</v>
      </c>
      <c r="P22" s="20" t="n">
        <v>0</v>
      </c>
      <c r="Q22" s="18" t="n">
        <v>7.43149762</v>
      </c>
      <c r="R22" s="20" t="n">
        <v>1.08061278</v>
      </c>
    </row>
    <row r="23" spans="1:18">
      <c r="A23" s="15" t="s">
        <v>445</v>
      </c>
      <c r="B23" s="17" t="n">
        <v>11583</v>
      </c>
      <c r="C23" s="18">
        <f>(10140.0/B23*100)</f>
        <v/>
      </c>
      <c r="D23" s="19" t="n">
        <v>1443</v>
      </c>
      <c r="E23" s="18" t="n">
        <v>30.43532018</v>
      </c>
      <c r="F23" s="20" t="n">
        <v>1.60005815</v>
      </c>
      <c r="G23" s="18" t="n">
        <v>55.87783616</v>
      </c>
      <c r="H23" s="20" t="n">
        <v>1.85479025</v>
      </c>
      <c r="I23" s="18" t="n">
        <v>0</v>
      </c>
      <c r="J23" s="20" t="n">
        <v>0</v>
      </c>
      <c r="K23" s="18" t="n">
        <v>0.17518223</v>
      </c>
      <c r="L23" s="20" t="n">
        <v>0.19777974</v>
      </c>
      <c r="M23" s="18" t="n">
        <v>0.65888591</v>
      </c>
      <c r="N23" s="20" t="n">
        <v>0.23572984</v>
      </c>
      <c r="O23" s="18" t="n">
        <v>0</v>
      </c>
      <c r="P23" s="20" t="n">
        <v>0</v>
      </c>
      <c r="Q23" s="18" t="n">
        <v>12.85277551</v>
      </c>
      <c r="R23" s="20" t="n">
        <v>1.38350539</v>
      </c>
    </row>
    <row r="24" spans="1:18">
      <c r="A24" s="15" t="s">
        <v>446</v>
      </c>
      <c r="B24" s="17" t="n">
        <v>6647</v>
      </c>
      <c r="C24" s="18">
        <f>(5843.0/B24*100)</f>
        <v/>
      </c>
      <c r="D24" s="19" t="n">
        <v>804</v>
      </c>
      <c r="E24" s="18" t="n">
        <v>14.77529265</v>
      </c>
      <c r="F24" s="20" t="n">
        <v>1.36214474</v>
      </c>
      <c r="G24" s="18" t="n">
        <v>78.24025012</v>
      </c>
      <c r="H24" s="20" t="n">
        <v>1.59684206</v>
      </c>
      <c r="I24" s="18" t="n">
        <v>0</v>
      </c>
      <c r="J24" s="20" t="n">
        <v>0</v>
      </c>
      <c r="K24" s="18" t="n">
        <v>0.35776477</v>
      </c>
      <c r="L24" s="20" t="n">
        <v>0.20631264</v>
      </c>
      <c r="M24" s="18" t="n">
        <v>0</v>
      </c>
      <c r="N24" s="20" t="n">
        <v>0</v>
      </c>
      <c r="O24" s="18" t="n">
        <v>0</v>
      </c>
      <c r="P24" s="20" t="n">
        <v>0</v>
      </c>
      <c r="Q24" s="18" t="n">
        <v>6.62669246</v>
      </c>
      <c r="R24" s="20" t="n">
        <v>0.9098499799999999</v>
      </c>
    </row>
    <row r="25" spans="1:18">
      <c r="A25" s="15" t="s">
        <v>447</v>
      </c>
      <c r="B25" s="17" t="n">
        <v>5581</v>
      </c>
      <c r="C25" s="18">
        <f>(4907.0/B25*100)</f>
        <v/>
      </c>
      <c r="D25" s="19" t="n">
        <v>674</v>
      </c>
      <c r="E25" s="18" t="n">
        <v>15.94444612</v>
      </c>
      <c r="F25" s="20" t="n">
        <v>1.57487529</v>
      </c>
      <c r="G25" s="18" t="n">
        <v>77.35676015999999</v>
      </c>
      <c r="H25" s="20" t="n">
        <v>1.85514646</v>
      </c>
      <c r="I25" s="18" t="n">
        <v>0</v>
      </c>
      <c r="J25" s="20" t="n">
        <v>0</v>
      </c>
      <c r="K25" s="18" t="n">
        <v>0</v>
      </c>
      <c r="L25" s="20" t="n">
        <v>0</v>
      </c>
      <c r="M25" s="18" t="n">
        <v>0</v>
      </c>
      <c r="N25" s="20" t="n">
        <v>0</v>
      </c>
      <c r="O25" s="18" t="n">
        <v>0</v>
      </c>
      <c r="P25" s="20" t="n">
        <v>0</v>
      </c>
      <c r="Q25" s="18" t="n">
        <v>6.69879373</v>
      </c>
      <c r="R25" s="20" t="n">
        <v>0.8694191</v>
      </c>
    </row>
    <row r="26" spans="1:18">
      <c r="A26" s="15" t="s">
        <v>448</v>
      </c>
      <c r="B26" s="17" t="n">
        <v>4869</v>
      </c>
      <c r="C26" s="18">
        <f>(4271.0/B26*100)</f>
        <v/>
      </c>
      <c r="D26" s="19" t="n">
        <v>598</v>
      </c>
      <c r="E26" s="18" t="n">
        <v>29.17066659</v>
      </c>
      <c r="F26" s="20" t="n">
        <v>1.9106384</v>
      </c>
      <c r="G26" s="18" t="n">
        <v>65.43019404</v>
      </c>
      <c r="H26" s="20" t="n">
        <v>1.73314694</v>
      </c>
      <c r="I26" s="18" t="n">
        <v>0</v>
      </c>
      <c r="J26" s="20" t="n">
        <v>0</v>
      </c>
      <c r="K26" s="18" t="n">
        <v>0</v>
      </c>
      <c r="L26" s="20" t="n">
        <v>0</v>
      </c>
      <c r="M26" s="18" t="n">
        <v>0.49323709</v>
      </c>
      <c r="N26" s="20" t="n">
        <v>0.37215845</v>
      </c>
      <c r="O26" s="18" t="n">
        <v>0</v>
      </c>
      <c r="P26" s="20" t="n">
        <v>0</v>
      </c>
      <c r="Q26" s="18" t="n">
        <v>4.90590229</v>
      </c>
      <c r="R26" s="20" t="n">
        <v>0.9832247200000001</v>
      </c>
    </row>
    <row r="27" spans="1:18">
      <c r="A27" s="15" t="s">
        <v>449</v>
      </c>
      <c r="B27" s="17" t="n">
        <v>5299</v>
      </c>
      <c r="C27" s="18">
        <f>(4664.0/B27*100)</f>
        <v/>
      </c>
      <c r="D27" s="19" t="n">
        <v>635</v>
      </c>
      <c r="E27" s="18" t="n">
        <v>17.26896767</v>
      </c>
      <c r="F27" s="20" t="n">
        <v>1.44296291</v>
      </c>
      <c r="G27" s="18" t="n">
        <v>70.02961596999999</v>
      </c>
      <c r="H27" s="20" t="n">
        <v>1.66485008</v>
      </c>
      <c r="I27" s="18" t="n">
        <v>0</v>
      </c>
      <c r="J27" s="20" t="n">
        <v>0</v>
      </c>
      <c r="K27" s="18" t="n">
        <v>0.4841406</v>
      </c>
      <c r="L27" s="20" t="n">
        <v>0.27947504</v>
      </c>
      <c r="M27" s="18" t="n">
        <v>0</v>
      </c>
      <c r="N27" s="20" t="n">
        <v>0</v>
      </c>
      <c r="O27" s="18" t="n">
        <v>0</v>
      </c>
      <c r="P27" s="20" t="n">
        <v>0</v>
      </c>
      <c r="Q27" s="18" t="n">
        <v>12.21727576</v>
      </c>
      <c r="R27" s="20" t="n">
        <v>1.4756297</v>
      </c>
    </row>
    <row r="28" spans="1:18">
      <c r="A28" s="15" t="s">
        <v>450</v>
      </c>
      <c r="B28" s="17" t="n">
        <v>7568</v>
      </c>
      <c r="C28" s="18">
        <f>(6664.0/B28*100)</f>
        <v/>
      </c>
      <c r="D28" s="19" t="n">
        <v>904</v>
      </c>
      <c r="E28" s="18" t="n">
        <v>29.66615435</v>
      </c>
      <c r="F28" s="20" t="n">
        <v>1.98984064</v>
      </c>
      <c r="G28" s="18" t="n">
        <v>66.15423192999999</v>
      </c>
      <c r="H28" s="20" t="n">
        <v>2.1277595</v>
      </c>
      <c r="I28" s="18" t="n">
        <v>0</v>
      </c>
      <c r="J28" s="20" t="n">
        <v>0</v>
      </c>
      <c r="K28" s="18" t="n">
        <v>1.05737665</v>
      </c>
      <c r="L28" s="20" t="n">
        <v>0.41515799</v>
      </c>
      <c r="M28" s="18" t="n">
        <v>0</v>
      </c>
      <c r="N28" s="20" t="n">
        <v>0</v>
      </c>
      <c r="O28" s="18" t="n">
        <v>0</v>
      </c>
      <c r="P28" s="20" t="n">
        <v>0</v>
      </c>
      <c r="Q28" s="18" t="n">
        <v>3.12223707</v>
      </c>
      <c r="R28" s="20" t="n">
        <v>0.7228867</v>
      </c>
    </row>
    <row r="29" spans="1:18">
      <c r="A29" s="15" t="s">
        <v>451</v>
      </c>
      <c r="B29" s="17" t="n">
        <v>5385</v>
      </c>
      <c r="C29" s="18">
        <f>(4739.0/B29*100)</f>
        <v/>
      </c>
      <c r="D29" s="19" t="n">
        <v>646</v>
      </c>
      <c r="E29" s="18" t="n">
        <v>18.54671636</v>
      </c>
      <c r="F29" s="20" t="n">
        <v>1.6313223</v>
      </c>
      <c r="G29" s="18" t="n">
        <v>79.14790757999999</v>
      </c>
      <c r="H29" s="20" t="n">
        <v>1.60391732</v>
      </c>
      <c r="I29" s="18" t="n">
        <v>0</v>
      </c>
      <c r="J29" s="20" t="n">
        <v>0</v>
      </c>
      <c r="K29" s="18" t="n">
        <v>0.09153656</v>
      </c>
      <c r="L29" s="20" t="n">
        <v>0.09149077999999999</v>
      </c>
      <c r="M29" s="18" t="n">
        <v>0</v>
      </c>
      <c r="N29" s="20" t="n">
        <v>0</v>
      </c>
      <c r="O29" s="18" t="n">
        <v>0</v>
      </c>
      <c r="P29" s="20" t="n">
        <v>0</v>
      </c>
      <c r="Q29" s="18" t="n">
        <v>2.21383951</v>
      </c>
      <c r="R29" s="20" t="n">
        <v>0.62744243</v>
      </c>
    </row>
    <row r="30" spans="1:18">
      <c r="A30" s="15" t="s">
        <v>452</v>
      </c>
      <c r="B30" s="17" t="n">
        <v>4520</v>
      </c>
      <c r="C30" s="18">
        <f>(3975.0/B30*100)</f>
        <v/>
      </c>
      <c r="D30" s="19" t="n">
        <v>545</v>
      </c>
      <c r="E30" s="18" t="n">
        <v>16.17766527</v>
      </c>
      <c r="F30" s="20" t="n">
        <v>1.57122197</v>
      </c>
      <c r="G30" s="18" t="n">
        <v>76.99261485</v>
      </c>
      <c r="H30" s="20" t="n">
        <v>1.72628418</v>
      </c>
      <c r="I30" s="18" t="n">
        <v>0</v>
      </c>
      <c r="J30" s="20" t="n">
        <v>0</v>
      </c>
      <c r="K30" s="18" t="n">
        <v>0.73837476</v>
      </c>
      <c r="L30" s="20" t="n">
        <v>0.38454688</v>
      </c>
      <c r="M30" s="18" t="n">
        <v>0.41386584</v>
      </c>
      <c r="N30" s="20" t="n">
        <v>0.29945882</v>
      </c>
      <c r="O30" s="18" t="n">
        <v>0</v>
      </c>
      <c r="P30" s="20" t="n">
        <v>0</v>
      </c>
      <c r="Q30" s="18" t="n">
        <v>5.67747928</v>
      </c>
      <c r="R30" s="20" t="n">
        <v>0.9220537599999999</v>
      </c>
    </row>
    <row r="31" spans="1:18">
      <c r="A31" s="15" t="s">
        <v>453</v>
      </c>
      <c r="B31" s="17" t="n">
        <v>5456</v>
      </c>
      <c r="C31" s="18">
        <f>(4792.0/B31*100)</f>
        <v/>
      </c>
      <c r="D31" s="19" t="n">
        <v>664</v>
      </c>
      <c r="E31" s="18" t="n">
        <v>12.68451722</v>
      </c>
      <c r="F31" s="20" t="n">
        <v>1.44831877</v>
      </c>
      <c r="G31" s="18" t="n">
        <v>80.99101706</v>
      </c>
      <c r="H31" s="20" t="n">
        <v>1.87126749</v>
      </c>
      <c r="I31" s="18" t="n">
        <v>0</v>
      </c>
      <c r="J31" s="20" t="n">
        <v>0</v>
      </c>
      <c r="K31" s="18" t="n">
        <v>0.57272034</v>
      </c>
      <c r="L31" s="20" t="n">
        <v>0.27889298</v>
      </c>
      <c r="M31" s="18" t="n">
        <v>0</v>
      </c>
      <c r="N31" s="20" t="n">
        <v>0</v>
      </c>
      <c r="O31" s="18" t="n">
        <v>0</v>
      </c>
      <c r="P31" s="20" t="n">
        <v>0</v>
      </c>
      <c r="Q31" s="18" t="n">
        <v>5.75174537</v>
      </c>
      <c r="R31" s="20" t="n">
        <v>0.93148465</v>
      </c>
    </row>
    <row r="32" spans="1:18">
      <c r="A32" s="15" t="s">
        <v>454</v>
      </c>
      <c r="B32" s="17" t="n">
        <v>4478</v>
      </c>
      <c r="C32" s="18">
        <f>(3748.0/B32*100)</f>
        <v/>
      </c>
      <c r="D32" s="19" t="n">
        <v>730</v>
      </c>
      <c r="E32" s="18" t="n">
        <v>23.3750771</v>
      </c>
      <c r="F32" s="20" t="n">
        <v>1.39171524</v>
      </c>
      <c r="G32" s="18" t="n">
        <v>68.43666166</v>
      </c>
      <c r="H32" s="20" t="n">
        <v>1.6477156</v>
      </c>
      <c r="I32" s="18" t="n">
        <v>0</v>
      </c>
      <c r="J32" s="20" t="n">
        <v>0</v>
      </c>
      <c r="K32" s="18" t="n">
        <v>0</v>
      </c>
      <c r="L32" s="20" t="n">
        <v>0</v>
      </c>
      <c r="M32" s="18" t="n">
        <v>0</v>
      </c>
      <c r="N32" s="20" t="n">
        <v>0</v>
      </c>
      <c r="O32" s="18" t="n">
        <v>0</v>
      </c>
      <c r="P32" s="20" t="n">
        <v>0</v>
      </c>
      <c r="Q32" s="18" t="n">
        <v>8.188261239999999</v>
      </c>
      <c r="R32" s="20" t="n">
        <v>0.94070298</v>
      </c>
    </row>
    <row r="33" spans="1:18">
      <c r="A33" s="15" t="s">
        <v>455</v>
      </c>
      <c r="B33" s="17" t="n">
        <v>7325</v>
      </c>
      <c r="C33" s="18">
        <f>(6433.0/B33*100)</f>
        <v/>
      </c>
      <c r="D33" s="19" t="n">
        <v>892</v>
      </c>
      <c r="E33" s="18" t="n">
        <v>17.41392822</v>
      </c>
      <c r="F33" s="20" t="n">
        <v>1.42447626</v>
      </c>
      <c r="G33" s="18" t="n">
        <v>75.43404169999999</v>
      </c>
      <c r="H33" s="20" t="n">
        <v>1.53841934</v>
      </c>
      <c r="I33" s="18" t="n">
        <v>0</v>
      </c>
      <c r="J33" s="20" t="n">
        <v>0</v>
      </c>
      <c r="K33" s="18" t="n">
        <v>0.20037759</v>
      </c>
      <c r="L33" s="20" t="n">
        <v>0.16575421</v>
      </c>
      <c r="M33" s="18" t="n">
        <v>0.12123019</v>
      </c>
      <c r="N33" s="20" t="n">
        <v>0.08490982</v>
      </c>
      <c r="O33" s="18" t="n">
        <v>0</v>
      </c>
      <c r="P33" s="20" t="n">
        <v>0</v>
      </c>
      <c r="Q33" s="18" t="n">
        <v>6.83042231</v>
      </c>
      <c r="R33" s="20" t="n">
        <v>0.92158541</v>
      </c>
    </row>
    <row r="34" spans="1:18">
      <c r="A34" s="15" t="s">
        <v>456</v>
      </c>
      <c r="B34" s="17" t="n">
        <v>6350</v>
      </c>
      <c r="C34" s="18">
        <f>(5602.0/B34*100)</f>
        <v/>
      </c>
      <c r="D34" s="19" t="n">
        <v>748</v>
      </c>
      <c r="E34" s="18" t="n">
        <v>34.60929961</v>
      </c>
      <c r="F34" s="20" t="n">
        <v>1.88716588</v>
      </c>
      <c r="G34" s="18" t="n">
        <v>50.14890304</v>
      </c>
      <c r="H34" s="20" t="n">
        <v>1.9503866</v>
      </c>
      <c r="I34" s="18" t="n">
        <v>0</v>
      </c>
      <c r="J34" s="20" t="n">
        <v>0</v>
      </c>
      <c r="K34" s="18" t="n">
        <v>0.321575</v>
      </c>
      <c r="L34" s="20" t="n">
        <v>0.23708737</v>
      </c>
      <c r="M34" s="18" t="n">
        <v>0</v>
      </c>
      <c r="N34" s="20" t="n">
        <v>0</v>
      </c>
      <c r="O34" s="18" t="n">
        <v>0</v>
      </c>
      <c r="P34" s="20" t="n">
        <v>0</v>
      </c>
      <c r="Q34" s="18" t="n">
        <v>14.92022235</v>
      </c>
      <c r="R34" s="20" t="n">
        <v>1.40292788</v>
      </c>
    </row>
    <row r="35" spans="1:18">
      <c r="A35" s="15" t="s">
        <v>457</v>
      </c>
      <c r="B35" s="17" t="n">
        <v>6406</v>
      </c>
      <c r="C35" s="18">
        <f>(5635.0/B35*100)</f>
        <v/>
      </c>
      <c r="D35" s="19" t="n">
        <v>771</v>
      </c>
      <c r="E35" s="18" t="n">
        <v>25.59906917</v>
      </c>
      <c r="F35" s="20" t="n">
        <v>2.18293658</v>
      </c>
      <c r="G35" s="18" t="n">
        <v>63.33194482</v>
      </c>
      <c r="H35" s="20" t="n">
        <v>2.44340537</v>
      </c>
      <c r="I35" s="18" t="n">
        <v>0</v>
      </c>
      <c r="J35" s="20" t="n">
        <v>0</v>
      </c>
      <c r="K35" s="18" t="n">
        <v>0</v>
      </c>
      <c r="L35" s="20" t="n">
        <v>0</v>
      </c>
      <c r="M35" s="18" t="n">
        <v>0.22063725</v>
      </c>
      <c r="N35" s="20" t="n">
        <v>0.22023516</v>
      </c>
      <c r="O35" s="18" t="n">
        <v>0</v>
      </c>
      <c r="P35" s="20" t="n">
        <v>0</v>
      </c>
      <c r="Q35" s="18" t="n">
        <v>10.84834875</v>
      </c>
      <c r="R35" s="20" t="n">
        <v>1.31348643</v>
      </c>
    </row>
    <row r="36" spans="1:18">
      <c r="A36" s="15" t="s">
        <v>458</v>
      </c>
      <c r="B36" s="17" t="n">
        <v>6736</v>
      </c>
      <c r="C36" s="18">
        <f>(5929.0/B36*100)</f>
        <v/>
      </c>
      <c r="D36" s="19" t="n">
        <v>807</v>
      </c>
      <c r="E36" s="18" t="n">
        <v>12.55765214</v>
      </c>
      <c r="F36" s="20" t="n">
        <v>1.23855952</v>
      </c>
      <c r="G36" s="18" t="n">
        <v>82.91099112000001</v>
      </c>
      <c r="H36" s="20" t="n">
        <v>1.55083927</v>
      </c>
      <c r="I36" s="18" t="n">
        <v>0</v>
      </c>
      <c r="J36" s="20" t="n">
        <v>0</v>
      </c>
      <c r="K36" s="18" t="n">
        <v>0.31473957</v>
      </c>
      <c r="L36" s="20" t="n">
        <v>0.23484892</v>
      </c>
      <c r="M36" s="18" t="n">
        <v>0</v>
      </c>
      <c r="N36" s="20" t="n">
        <v>0</v>
      </c>
      <c r="O36" s="18" t="n">
        <v>0</v>
      </c>
      <c r="P36" s="20" t="n">
        <v>0</v>
      </c>
      <c r="Q36" s="18" t="n">
        <v>4.21661717</v>
      </c>
      <c r="R36" s="20" t="n">
        <v>0.7999204600000001</v>
      </c>
    </row>
    <row r="37" spans="1:18">
      <c r="A37" s="15" t="s">
        <v>459</v>
      </c>
      <c r="B37" s="17" t="n">
        <v>5458</v>
      </c>
      <c r="C37" s="18">
        <f>(4773.0/B37*100)</f>
        <v/>
      </c>
      <c r="D37" s="19" t="n">
        <v>685</v>
      </c>
      <c r="E37" s="18" t="n">
        <v>15.75619577</v>
      </c>
      <c r="F37" s="20" t="n">
        <v>1.29583541</v>
      </c>
      <c r="G37" s="18" t="n">
        <v>74.99258462</v>
      </c>
      <c r="H37" s="20" t="n">
        <v>1.61350339</v>
      </c>
      <c r="I37" s="18" t="n">
        <v>0</v>
      </c>
      <c r="J37" s="20" t="n">
        <v>0</v>
      </c>
      <c r="K37" s="18" t="n">
        <v>0.91949046</v>
      </c>
      <c r="L37" s="20" t="n">
        <v>0.35351415</v>
      </c>
      <c r="M37" s="18" t="n">
        <v>0</v>
      </c>
      <c r="N37" s="20" t="n">
        <v>0</v>
      </c>
      <c r="O37" s="18" t="n">
        <v>0</v>
      </c>
      <c r="P37" s="20" t="n">
        <v>0</v>
      </c>
      <c r="Q37" s="18" t="n">
        <v>8.331729149999999</v>
      </c>
      <c r="R37" s="20" t="n">
        <v>1.08340889</v>
      </c>
    </row>
    <row r="38" spans="1:18">
      <c r="A38" s="15" t="s">
        <v>460</v>
      </c>
      <c r="B38" s="17" t="n">
        <v>5860</v>
      </c>
      <c r="C38" s="18">
        <f>(4900.0/B38*100)</f>
        <v/>
      </c>
      <c r="D38" s="19" t="n">
        <v>960</v>
      </c>
      <c r="E38" s="18" t="n">
        <v>14.46901283</v>
      </c>
      <c r="F38" s="20" t="n">
        <v>1.50630104</v>
      </c>
      <c r="G38" s="18" t="n">
        <v>76.46443001999999</v>
      </c>
      <c r="H38" s="20" t="n">
        <v>1.71653616</v>
      </c>
      <c r="I38" s="18" t="n">
        <v>0</v>
      </c>
      <c r="J38" s="20" t="n">
        <v>0</v>
      </c>
      <c r="K38" s="18" t="n">
        <v>0.32663146</v>
      </c>
      <c r="L38" s="20" t="n">
        <v>0.28696752</v>
      </c>
      <c r="M38" s="18" t="n">
        <v>0.35351934</v>
      </c>
      <c r="N38" s="20" t="n">
        <v>0.20782619</v>
      </c>
      <c r="O38" s="18" t="n">
        <v>0</v>
      </c>
      <c r="P38" s="20" t="n">
        <v>0</v>
      </c>
      <c r="Q38" s="18" t="n">
        <v>8.386406360000001</v>
      </c>
      <c r="R38" s="20" t="n">
        <v>1.04463179</v>
      </c>
    </row>
    <row r="39" spans="1:18">
      <c r="A39" s="15" t="s">
        <v>461</v>
      </c>
      <c r="B39" s="17" t="n">
        <v>5895</v>
      </c>
      <c r="C39" s="18">
        <f>(5176.0/B39*100)</f>
        <v/>
      </c>
      <c r="D39" s="19" t="n">
        <v>719</v>
      </c>
      <c r="E39" s="18" t="n">
        <v>41.8204361</v>
      </c>
      <c r="F39" s="20" t="n">
        <v>2.4369873</v>
      </c>
      <c r="G39" s="18" t="n">
        <v>48.16999455</v>
      </c>
      <c r="H39" s="20" t="n">
        <v>2.33152506</v>
      </c>
      <c r="I39" s="18" t="n">
        <v>0</v>
      </c>
      <c r="J39" s="20" t="n">
        <v>0</v>
      </c>
      <c r="K39" s="18" t="n">
        <v>0.22510678</v>
      </c>
      <c r="L39" s="20" t="n">
        <v>0.19903006</v>
      </c>
      <c r="M39" s="18" t="n">
        <v>0</v>
      </c>
      <c r="N39" s="20" t="n">
        <v>0</v>
      </c>
      <c r="O39" s="18" t="n">
        <v>0</v>
      </c>
      <c r="P39" s="20" t="n">
        <v>0</v>
      </c>
      <c r="Q39" s="18" t="n">
        <v>9.78446258</v>
      </c>
      <c r="R39" s="20" t="n">
        <v>1.37980436</v>
      </c>
    </row>
    <row r="40" spans="1:18">
      <c r="A40" s="15" t="s">
        <v>462</v>
      </c>
      <c r="B40" s="17" t="n">
        <v>14157</v>
      </c>
      <c r="C40" s="18">
        <f>(12441.0/B40*100)</f>
        <v/>
      </c>
      <c r="D40" s="19" t="n">
        <v>1716</v>
      </c>
      <c r="E40" s="18" t="n">
        <v>14.58395286</v>
      </c>
      <c r="F40" s="20" t="n">
        <v>1.50594247</v>
      </c>
      <c r="G40" s="18" t="n">
        <v>79.547831</v>
      </c>
      <c r="H40" s="20" t="n">
        <v>1.58498211</v>
      </c>
      <c r="I40" s="18" t="n">
        <v>0</v>
      </c>
      <c r="J40" s="20" t="n">
        <v>0</v>
      </c>
      <c r="K40" s="18" t="n">
        <v>0.06745201000000001</v>
      </c>
      <c r="L40" s="20" t="n">
        <v>0.03121405</v>
      </c>
      <c r="M40" s="18" t="n">
        <v>0.28149229</v>
      </c>
      <c r="N40" s="20" t="n">
        <v>0.22185671</v>
      </c>
      <c r="O40" s="18" t="n">
        <v>0</v>
      </c>
      <c r="P40" s="20" t="n">
        <v>0</v>
      </c>
      <c r="Q40" s="18" t="n">
        <v>5.51927185</v>
      </c>
      <c r="R40" s="20" t="n">
        <v>0.73011554</v>
      </c>
    </row>
    <row r="41" spans="1:18">
      <c r="A41" s="15" t="s">
        <v>463</v>
      </c>
      <c r="B41" s="17" t="n">
        <v>5712</v>
      </c>
      <c r="C41" s="18">
        <f>(5012.0/B41*100)</f>
        <v/>
      </c>
      <c r="D41" s="19" t="n">
        <v>700</v>
      </c>
      <c r="E41" s="18" t="n">
        <v>16.72575216</v>
      </c>
      <c r="F41" s="20" t="n">
        <v>1.57019566</v>
      </c>
      <c r="G41" s="18" t="n">
        <v>81.79199822</v>
      </c>
      <c r="H41" s="20" t="n">
        <v>1.64147637</v>
      </c>
      <c r="I41" s="18" t="n">
        <v>0</v>
      </c>
      <c r="J41" s="20" t="n">
        <v>0</v>
      </c>
      <c r="K41" s="18" t="n">
        <v>0</v>
      </c>
      <c r="L41" s="20" t="n">
        <v>0</v>
      </c>
      <c r="M41" s="18" t="n">
        <v>0</v>
      </c>
      <c r="N41" s="20" t="n">
        <v>0</v>
      </c>
      <c r="O41" s="18" t="n">
        <v>0</v>
      </c>
      <c r="P41" s="20" t="n">
        <v>0</v>
      </c>
      <c r="Q41" s="18" t="n">
        <v>1.48224962</v>
      </c>
      <c r="R41" s="20" t="n">
        <v>0.4360438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(20749.0/B46*100)</f>
        <v/>
      </c>
      <c r="D46" s="19" t="n">
        <v>2392</v>
      </c>
      <c r="E46" s="18" t="n">
        <v>32.84608497</v>
      </c>
      <c r="F46" s="20" t="n">
        <v>1.30314479</v>
      </c>
      <c r="G46" s="18" t="n">
        <v>50.79544637</v>
      </c>
      <c r="H46" s="20" t="n">
        <v>1.5118119</v>
      </c>
      <c r="I46" s="18" t="n">
        <v>0</v>
      </c>
      <c r="J46" s="20" t="n">
        <v>0</v>
      </c>
      <c r="K46" s="18" t="n">
        <v>1.20540633</v>
      </c>
      <c r="L46" s="20" t="n">
        <v>0.31636673</v>
      </c>
      <c r="M46" s="18" t="n">
        <v>0.45042672</v>
      </c>
      <c r="N46" s="20" t="n">
        <v>0.17145737</v>
      </c>
      <c r="O46" s="18" t="n">
        <v>0</v>
      </c>
      <c r="P46" s="20" t="n">
        <v>0</v>
      </c>
      <c r="Q46" s="18" t="n">
        <v>14.7026356</v>
      </c>
      <c r="R46" s="20" t="n">
        <v>0.97642396</v>
      </c>
    </row>
    <row r="47" spans="1:18">
      <c r="A47" s="15" t="s">
        <v>470</v>
      </c>
      <c r="B47" s="17" t="n">
        <v>5928</v>
      </c>
      <c r="C47" s="18">
        <f>(5183.0/B47*100)</f>
        <v/>
      </c>
      <c r="D47" s="19" t="n">
        <v>745</v>
      </c>
      <c r="E47" s="18" t="n">
        <v>30.15791444</v>
      </c>
      <c r="F47" s="20" t="n">
        <v>1.54288623</v>
      </c>
      <c r="G47" s="18" t="n">
        <v>43.73550794</v>
      </c>
      <c r="H47" s="20" t="n">
        <v>2.10958341</v>
      </c>
      <c r="I47" s="18" t="n">
        <v>0</v>
      </c>
      <c r="J47" s="20" t="n">
        <v>0</v>
      </c>
      <c r="K47" s="18" t="n">
        <v>0.2605802</v>
      </c>
      <c r="L47" s="20" t="n">
        <v>0.18038406</v>
      </c>
      <c r="M47" s="18" t="n">
        <v>0</v>
      </c>
      <c r="N47" s="20" t="n">
        <v>0</v>
      </c>
      <c r="O47" s="18" t="n">
        <v>0</v>
      </c>
      <c r="P47" s="20" t="n">
        <v>0</v>
      </c>
      <c r="Q47" s="18" t="n">
        <v>25.84599741</v>
      </c>
      <c r="R47" s="20" t="n">
        <v>1.69406939</v>
      </c>
    </row>
    <row r="48" spans="1:18">
      <c r="A48" s="15" t="s">
        <v>471</v>
      </c>
      <c r="B48" s="17" t="n">
        <v>9841</v>
      </c>
      <c r="C48" s="18">
        <f>(8631.0/B48*100)</f>
        <v/>
      </c>
      <c r="D48" s="19" t="n">
        <v>1210</v>
      </c>
      <c r="E48" s="18" t="n">
        <v>16.42518167</v>
      </c>
      <c r="F48" s="20" t="n">
        <v>1.22511422</v>
      </c>
      <c r="G48" s="18" t="n">
        <v>76.12153338</v>
      </c>
      <c r="H48" s="20" t="n">
        <v>1.53974059</v>
      </c>
      <c r="I48" s="18" t="n">
        <v>0</v>
      </c>
      <c r="J48" s="20" t="n">
        <v>0</v>
      </c>
      <c r="K48" s="18" t="n">
        <v>0.49564291</v>
      </c>
      <c r="L48" s="20" t="n">
        <v>0.28764604</v>
      </c>
      <c r="M48" s="18" t="n">
        <v>0</v>
      </c>
      <c r="N48" s="20" t="n">
        <v>0</v>
      </c>
      <c r="O48" s="18" t="n">
        <v>0</v>
      </c>
      <c r="P48" s="20" t="n">
        <v>0</v>
      </c>
      <c r="Q48" s="18" t="n">
        <v>6.95764204</v>
      </c>
      <c r="R48" s="20" t="n">
        <v>1.13036219</v>
      </c>
    </row>
    <row r="49" spans="1:18">
      <c r="A49" s="15" t="s">
        <v>472</v>
      </c>
      <c r="B49" s="17" t="n">
        <v>11795</v>
      </c>
      <c r="C49" s="18">
        <f>(10396.0/B49*100)</f>
        <v/>
      </c>
      <c r="D49" s="19" t="n">
        <v>1399</v>
      </c>
      <c r="E49" s="18" t="n">
        <v>38.09990059</v>
      </c>
      <c r="F49" s="20" t="n">
        <v>1.77985962</v>
      </c>
      <c r="G49" s="18" t="n">
        <v>52.80147976</v>
      </c>
      <c r="H49" s="20" t="n">
        <v>1.90534606</v>
      </c>
      <c r="I49" s="18" t="n">
        <v>0</v>
      </c>
      <c r="J49" s="20" t="n">
        <v>0</v>
      </c>
      <c r="K49" s="18" t="n">
        <v>1.92875879</v>
      </c>
      <c r="L49" s="20" t="n">
        <v>0.54005345</v>
      </c>
      <c r="M49" s="18" t="n">
        <v>0.00384042</v>
      </c>
      <c r="N49" s="20" t="n">
        <v>0.00386852</v>
      </c>
      <c r="O49" s="18" t="n">
        <v>0</v>
      </c>
      <c r="P49" s="20" t="n">
        <v>0</v>
      </c>
      <c r="Q49" s="18" t="n">
        <v>7.16602043</v>
      </c>
      <c r="R49" s="20" t="n">
        <v>1.06331928</v>
      </c>
    </row>
    <row r="50" spans="1:18">
      <c r="A50" s="15" t="s">
        <v>473</v>
      </c>
      <c r="B50" s="17" t="n">
        <v>6866</v>
      </c>
      <c r="C50" s="18">
        <f>(6133.0/B50*100)</f>
        <v/>
      </c>
      <c r="D50" s="19" t="n">
        <v>733</v>
      </c>
      <c r="E50" s="18" t="n">
        <v>50.7454376</v>
      </c>
      <c r="F50" s="20" t="n">
        <v>2.0156598</v>
      </c>
      <c r="G50" s="18" t="n">
        <v>41.01124904</v>
      </c>
      <c r="H50" s="20" t="n">
        <v>1.98518292</v>
      </c>
      <c r="I50" s="18" t="n">
        <v>0</v>
      </c>
      <c r="J50" s="20" t="n">
        <v>0</v>
      </c>
      <c r="K50" s="18" t="n">
        <v>0.6005264300000001</v>
      </c>
      <c r="L50" s="20" t="n">
        <v>0.26481103</v>
      </c>
      <c r="M50" s="18" t="n">
        <v>0</v>
      </c>
      <c r="N50" s="20" t="n">
        <v>0</v>
      </c>
      <c r="O50" s="18" t="n">
        <v>0</v>
      </c>
      <c r="P50" s="20" t="n">
        <v>0</v>
      </c>
      <c r="Q50" s="18" t="n">
        <v>7.64278693</v>
      </c>
      <c r="R50" s="20" t="n">
        <v>0.93960415</v>
      </c>
    </row>
    <row r="51" spans="1:18">
      <c r="A51" s="15" t="s">
        <v>474</v>
      </c>
      <c r="B51" s="17" t="n">
        <v>5809</v>
      </c>
      <c r="C51" s="18">
        <f>(5081.0/B51*100)</f>
        <v/>
      </c>
      <c r="D51" s="19" t="n">
        <v>728</v>
      </c>
      <c r="E51" s="18" t="n">
        <v>27.43307646</v>
      </c>
      <c r="F51" s="20" t="n">
        <v>1.70292843</v>
      </c>
      <c r="G51" s="18" t="n">
        <v>56.6889305</v>
      </c>
      <c r="H51" s="20" t="n">
        <v>1.87914646</v>
      </c>
      <c r="I51" s="18" t="n">
        <v>0</v>
      </c>
      <c r="J51" s="20" t="n">
        <v>0</v>
      </c>
      <c r="K51" s="18" t="n">
        <v>0</v>
      </c>
      <c r="L51" s="20" t="n">
        <v>0</v>
      </c>
      <c r="M51" s="18" t="n">
        <v>0</v>
      </c>
      <c r="N51" s="20" t="n">
        <v>0</v>
      </c>
      <c r="O51" s="18" t="n">
        <v>0</v>
      </c>
      <c r="P51" s="20" t="n">
        <v>0</v>
      </c>
      <c r="Q51" s="18" t="n">
        <v>15.87799304</v>
      </c>
      <c r="R51" s="20" t="n">
        <v>1.57413479</v>
      </c>
    </row>
    <row r="52" spans="1:18">
      <c r="A52" s="15" t="s">
        <v>475</v>
      </c>
      <c r="B52" s="17" t="n">
        <v>5571</v>
      </c>
      <c r="C52" s="18">
        <f>(4907.0/B52*100)</f>
        <v/>
      </c>
      <c r="D52" s="19" t="n">
        <v>664</v>
      </c>
      <c r="E52" s="18" t="n">
        <v>12.50306829</v>
      </c>
      <c r="F52" s="20" t="n">
        <v>1.36410003</v>
      </c>
      <c r="G52" s="18" t="n">
        <v>76.48950318999999</v>
      </c>
      <c r="H52" s="20" t="n">
        <v>1.84255889</v>
      </c>
      <c r="I52" s="18" t="n">
        <v>0</v>
      </c>
      <c r="J52" s="20" t="n">
        <v>0</v>
      </c>
      <c r="K52" s="18" t="n">
        <v>0.16534649</v>
      </c>
      <c r="L52" s="20" t="n">
        <v>0.16548789</v>
      </c>
      <c r="M52" s="18" t="n">
        <v>0</v>
      </c>
      <c r="N52" s="20" t="n">
        <v>0</v>
      </c>
      <c r="O52" s="18" t="n">
        <v>0</v>
      </c>
      <c r="P52" s="20" t="n">
        <v>0</v>
      </c>
      <c r="Q52" s="18" t="n">
        <v>10.84208202</v>
      </c>
      <c r="R52" s="20" t="n">
        <v>1.12121545</v>
      </c>
    </row>
    <row r="53" spans="1:18">
      <c r="A53" s="15" t="s">
        <v>476</v>
      </c>
      <c r="B53" s="17" t="n">
        <v>4740</v>
      </c>
      <c r="C53" s="18">
        <f>(3976.0/B53*100)</f>
        <v/>
      </c>
      <c r="D53" s="19" t="n">
        <v>764</v>
      </c>
      <c r="E53" s="18" t="n">
        <v>34.08562848</v>
      </c>
      <c r="F53" s="20" t="n">
        <v>1.99750035</v>
      </c>
      <c r="G53" s="18" t="n">
        <v>36.22774806</v>
      </c>
      <c r="H53" s="20" t="n">
        <v>1.99090607</v>
      </c>
      <c r="I53" s="18" t="n">
        <v>0</v>
      </c>
      <c r="J53" s="20" t="n">
        <v>0</v>
      </c>
      <c r="K53" s="18" t="n">
        <v>13.29330467</v>
      </c>
      <c r="L53" s="20" t="n">
        <v>1.37362106</v>
      </c>
      <c r="M53" s="18" t="n">
        <v>0.9491096</v>
      </c>
      <c r="N53" s="20" t="n">
        <v>0.7729225</v>
      </c>
      <c r="O53" s="18" t="n">
        <v>0</v>
      </c>
      <c r="P53" s="20" t="n">
        <v>0</v>
      </c>
      <c r="Q53" s="18" t="n">
        <v>15.44420919</v>
      </c>
      <c r="R53" s="20" t="n">
        <v>1.36446845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(4709.0/B55*100)</f>
        <v/>
      </c>
      <c r="D55" s="19" t="n">
        <v>650</v>
      </c>
      <c r="E55" s="18" t="n">
        <v>9.084603319999999</v>
      </c>
      <c r="F55" s="20" t="n">
        <v>1.29754876</v>
      </c>
      <c r="G55" s="18" t="n">
        <v>86.81651904</v>
      </c>
      <c r="H55" s="20" t="n">
        <v>1.29153943</v>
      </c>
      <c r="I55" s="18" t="n">
        <v>0</v>
      </c>
      <c r="J55" s="20" t="n">
        <v>0</v>
      </c>
      <c r="K55" s="18" t="n">
        <v>0.34964225</v>
      </c>
      <c r="L55" s="20" t="n">
        <v>0.26186643</v>
      </c>
      <c r="M55" s="18" t="n">
        <v>0</v>
      </c>
      <c r="N55" s="20" t="n">
        <v>0</v>
      </c>
      <c r="O55" s="18" t="n">
        <v>0</v>
      </c>
      <c r="P55" s="20" t="n">
        <v>0</v>
      </c>
      <c r="Q55" s="18" t="n">
        <v>3.74923539</v>
      </c>
      <c r="R55" s="20" t="n">
        <v>0.64870209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(5747.0/B61*100)</f>
        <v/>
      </c>
      <c r="D61" s="19" t="n">
        <v>778</v>
      </c>
      <c r="E61" s="18" t="n">
        <v>31.93229639</v>
      </c>
      <c r="F61" s="20" t="n">
        <v>1.86391788</v>
      </c>
      <c r="G61" s="18" t="n">
        <v>55.19328608</v>
      </c>
      <c r="H61" s="20" t="n">
        <v>1.97448967</v>
      </c>
      <c r="I61" s="18" t="n">
        <v>0</v>
      </c>
      <c r="J61" s="20" t="n">
        <v>0</v>
      </c>
      <c r="K61" s="18" t="n">
        <v>0.05995397</v>
      </c>
      <c r="L61" s="20" t="n">
        <v>0.04253261</v>
      </c>
      <c r="M61" s="18" t="n">
        <v>0.15682485</v>
      </c>
      <c r="N61" s="20" t="n">
        <v>0.15492148</v>
      </c>
      <c r="O61" s="18" t="n">
        <v>0</v>
      </c>
      <c r="P61" s="20" t="n">
        <v>0</v>
      </c>
      <c r="Q61" s="18" t="n">
        <v>12.65763871</v>
      </c>
      <c r="R61" s="20" t="n">
        <v>1.27573559</v>
      </c>
    </row>
    <row r="62" spans="1:18">
      <c r="A62" s="15" t="s">
        <v>486</v>
      </c>
      <c r="B62" s="17" t="n">
        <v>4476</v>
      </c>
      <c r="C62" s="18">
        <f>(3932.0/B62*100)</f>
        <v/>
      </c>
      <c r="D62" s="19" t="n">
        <v>544</v>
      </c>
      <c r="E62" s="18" t="n">
        <v>18.24244425</v>
      </c>
      <c r="F62" s="20" t="n">
        <v>1.69047233</v>
      </c>
      <c r="G62" s="18" t="n">
        <v>79.92021056999999</v>
      </c>
      <c r="H62" s="20" t="n">
        <v>1.69219463</v>
      </c>
      <c r="I62" s="18" t="n">
        <v>0</v>
      </c>
      <c r="J62" s="20" t="n">
        <v>0</v>
      </c>
      <c r="K62" s="18" t="n">
        <v>0</v>
      </c>
      <c r="L62" s="20" t="n">
        <v>0</v>
      </c>
      <c r="M62" s="18" t="n">
        <v>0</v>
      </c>
      <c r="N62" s="20" t="n">
        <v>0</v>
      </c>
      <c r="O62" s="18" t="n">
        <v>0</v>
      </c>
      <c r="P62" s="20" t="n">
        <v>0</v>
      </c>
      <c r="Q62" s="18" t="n">
        <v>1.83734518</v>
      </c>
      <c r="R62" s="20" t="n">
        <v>0.54121949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(4981.0/B67*100)</f>
        <v/>
      </c>
      <c r="D67" s="19" t="n">
        <v>684</v>
      </c>
      <c r="E67" s="18" t="n">
        <v>21.54202504</v>
      </c>
      <c r="F67" s="20" t="n">
        <v>1.72817488</v>
      </c>
      <c r="G67" s="18" t="n">
        <v>45.82931449</v>
      </c>
      <c r="H67" s="20" t="n">
        <v>2.06894828</v>
      </c>
      <c r="I67" s="18" t="n">
        <v>0</v>
      </c>
      <c r="J67" s="20" t="n">
        <v>0</v>
      </c>
      <c r="K67" s="18" t="n">
        <v>0.38152954</v>
      </c>
      <c r="L67" s="20" t="n">
        <v>0.22117941</v>
      </c>
      <c r="M67" s="18" t="n">
        <v>0.76850263</v>
      </c>
      <c r="N67" s="20" t="n">
        <v>0.351653</v>
      </c>
      <c r="O67" s="18" t="n">
        <v>0</v>
      </c>
      <c r="P67" s="20" t="n">
        <v>0</v>
      </c>
      <c r="Q67" s="18" t="n">
        <v>31.47862829</v>
      </c>
      <c r="R67" s="20" t="n">
        <v>1.68674371</v>
      </c>
    </row>
    <row r="68" spans="1:18">
      <c r="A68" s="15" t="s">
        <v>492</v>
      </c>
      <c r="B68" s="17" t="n">
        <v>6971</v>
      </c>
      <c r="C68" s="18">
        <f>(6205.0/B68*100)</f>
        <v/>
      </c>
      <c r="D68" s="19" t="n">
        <v>766</v>
      </c>
      <c r="E68" s="18" t="n">
        <v>44.01550414</v>
      </c>
      <c r="F68" s="20" t="n">
        <v>2.01556606</v>
      </c>
      <c r="G68" s="18" t="n">
        <v>46.03684218</v>
      </c>
      <c r="H68" s="20" t="n">
        <v>2.27940551</v>
      </c>
      <c r="I68" s="18" t="n">
        <v>0</v>
      </c>
      <c r="J68" s="20" t="n">
        <v>0</v>
      </c>
      <c r="K68" s="18" t="n">
        <v>0.23349213</v>
      </c>
      <c r="L68" s="20" t="n">
        <v>0.17013154</v>
      </c>
      <c r="M68" s="18" t="n">
        <v>0.14103532</v>
      </c>
      <c r="N68" s="20" t="n">
        <v>0.14097424</v>
      </c>
      <c r="O68" s="18" t="n">
        <v>0</v>
      </c>
      <c r="P68" s="20" t="n">
        <v>0</v>
      </c>
      <c r="Q68" s="18" t="n">
        <v>9.573126220000001</v>
      </c>
      <c r="R68" s="20" t="n">
        <v>1.16936143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(10068.0/B70*100)</f>
        <v/>
      </c>
      <c r="D70" s="19" t="n">
        <v>2015</v>
      </c>
      <c r="E70" s="18" t="n">
        <v>32.58750411</v>
      </c>
      <c r="F70" s="20" t="n">
        <v>1.09671426</v>
      </c>
      <c r="G70" s="18" t="n">
        <v>47.75923351</v>
      </c>
      <c r="H70" s="20" t="n">
        <v>0.9212273600000001</v>
      </c>
      <c r="I70" s="18" t="n">
        <v>0</v>
      </c>
      <c r="J70" s="20" t="n">
        <v>0</v>
      </c>
      <c r="K70" s="18" t="n">
        <v>2.03462505</v>
      </c>
      <c r="L70" s="20" t="n">
        <v>0.34844881</v>
      </c>
      <c r="M70" s="18" t="n">
        <v>0</v>
      </c>
      <c r="N70" s="20" t="n">
        <v>0</v>
      </c>
      <c r="O70" s="18" t="n">
        <v>0</v>
      </c>
      <c r="P70" s="20" t="n">
        <v>0</v>
      </c>
      <c r="Q70" s="18" t="n">
        <v>17.61863733</v>
      </c>
      <c r="R70" s="20" t="n">
        <v>0.82427104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(5320.0/B72*100)</f>
        <v/>
      </c>
      <c r="D72" s="19" t="n">
        <v>716</v>
      </c>
      <c r="E72" s="18" t="n">
        <v>36.39478322</v>
      </c>
      <c r="F72" s="20" t="n">
        <v>2.20655357</v>
      </c>
      <c r="G72" s="18" t="n">
        <v>51.17128754</v>
      </c>
      <c r="H72" s="20" t="n">
        <v>2.44412911</v>
      </c>
      <c r="I72" s="18" t="n">
        <v>0</v>
      </c>
      <c r="J72" s="20" t="n">
        <v>0</v>
      </c>
      <c r="K72" s="18" t="n">
        <v>0.62909605</v>
      </c>
      <c r="L72" s="20" t="n">
        <v>0.41329206</v>
      </c>
      <c r="M72" s="18" t="n">
        <v>0.0613442</v>
      </c>
      <c r="N72" s="20" t="n">
        <v>0.06149556</v>
      </c>
      <c r="O72" s="18" t="n">
        <v>0</v>
      </c>
      <c r="P72" s="20" t="n">
        <v>0</v>
      </c>
      <c r="Q72" s="18" t="n">
        <v>11.74348899</v>
      </c>
      <c r="R72" s="20" t="n">
        <v>1.39597722</v>
      </c>
    </row>
    <row r="73" spans="1:18">
      <c r="A73" s="15" t="s">
        <v>497</v>
      </c>
      <c r="B73" s="17" t="n">
        <v>6115</v>
      </c>
      <c r="C73" s="18">
        <f>(5374.0/B73*100)</f>
        <v/>
      </c>
      <c r="D73" s="19" t="n">
        <v>741</v>
      </c>
      <c r="E73" s="18" t="n">
        <v>14.29135287</v>
      </c>
      <c r="F73" s="20" t="n">
        <v>1.33464373</v>
      </c>
      <c r="G73" s="18" t="n">
        <v>83.44571697000001</v>
      </c>
      <c r="H73" s="20" t="n">
        <v>1.38663782</v>
      </c>
      <c r="I73" s="18" t="n">
        <v>0</v>
      </c>
      <c r="J73" s="20" t="n">
        <v>0</v>
      </c>
      <c r="K73" s="18" t="n">
        <v>0.1220565</v>
      </c>
      <c r="L73" s="20" t="n">
        <v>0.12209462</v>
      </c>
      <c r="M73" s="18" t="n">
        <v>0.08256321</v>
      </c>
      <c r="N73" s="20" t="n">
        <v>0.08284710000000001</v>
      </c>
      <c r="O73" s="18" t="n">
        <v>0</v>
      </c>
      <c r="P73" s="20" t="n">
        <v>0</v>
      </c>
      <c r="Q73" s="18" t="n">
        <v>2.05831045</v>
      </c>
      <c r="R73" s="20" t="n">
        <v>0.50154148</v>
      </c>
    </row>
    <row r="74" spans="1:18">
      <c r="A74" s="15" t="s">
        <v>498</v>
      </c>
      <c r="B74" s="17" t="n">
        <v>7708</v>
      </c>
      <c r="C74" s="18">
        <f>(6757.0/B74*100)</f>
        <v/>
      </c>
      <c r="D74" s="19" t="n">
        <v>951</v>
      </c>
      <c r="E74" s="18" t="n">
        <v>17.23784464</v>
      </c>
      <c r="F74" s="20" t="n">
        <v>1.24785224</v>
      </c>
      <c r="G74" s="18" t="n">
        <v>76.24269197</v>
      </c>
      <c r="H74" s="20" t="n">
        <v>1.47066099</v>
      </c>
      <c r="I74" s="18" t="n">
        <v>0</v>
      </c>
      <c r="J74" s="20" t="n">
        <v>0</v>
      </c>
      <c r="K74" s="18" t="n">
        <v>0.07269736</v>
      </c>
      <c r="L74" s="20" t="n">
        <v>0.07470087</v>
      </c>
      <c r="M74" s="18" t="n">
        <v>0</v>
      </c>
      <c r="N74" s="20" t="n">
        <v>0</v>
      </c>
      <c r="O74" s="18" t="n">
        <v>0</v>
      </c>
      <c r="P74" s="20" t="n">
        <v>0</v>
      </c>
      <c r="Q74" s="18" t="n">
        <v>6.44676603</v>
      </c>
      <c r="R74" s="20" t="n">
        <v>0.77871745</v>
      </c>
    </row>
    <row r="75" spans="1:18">
      <c r="A75" s="15" t="s">
        <v>499</v>
      </c>
      <c r="B75" s="17" t="n">
        <v>8249</v>
      </c>
      <c r="C75" s="18">
        <f>(7272.0/B75*100)</f>
        <v/>
      </c>
      <c r="D75" s="19" t="n">
        <v>977</v>
      </c>
      <c r="E75" s="18" t="n">
        <v>45.10548647</v>
      </c>
      <c r="F75" s="20" t="n">
        <v>2.12667101</v>
      </c>
      <c r="G75" s="18" t="n">
        <v>52.2784497</v>
      </c>
      <c r="H75" s="20" t="n">
        <v>2.20490136</v>
      </c>
      <c r="I75" s="18" t="n">
        <v>0</v>
      </c>
      <c r="J75" s="20" t="n">
        <v>0</v>
      </c>
      <c r="K75" s="18" t="n">
        <v>0</v>
      </c>
      <c r="L75" s="20" t="n">
        <v>0</v>
      </c>
      <c r="M75" s="18" t="n">
        <v>0.0043886</v>
      </c>
      <c r="N75" s="20" t="n">
        <v>0.00424708</v>
      </c>
      <c r="O75" s="18" t="n">
        <v>0</v>
      </c>
      <c r="P75" s="20" t="n">
        <v>0</v>
      </c>
      <c r="Q75" s="18" t="n">
        <v>2.61167523</v>
      </c>
      <c r="R75" s="20" t="n">
        <v>0.56955553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(4798.0/B77*100)</f>
        <v/>
      </c>
      <c r="D77" s="19" t="n">
        <v>577</v>
      </c>
      <c r="E77" s="18" t="n">
        <v>42.91174222</v>
      </c>
      <c r="F77" s="20" t="n">
        <v>2.03964249</v>
      </c>
      <c r="G77" s="18" t="n">
        <v>23.27830981</v>
      </c>
      <c r="H77" s="20" t="n">
        <v>1.9945769</v>
      </c>
      <c r="I77" s="18" t="n">
        <v>0</v>
      </c>
      <c r="J77" s="20" t="n">
        <v>0</v>
      </c>
      <c r="K77" s="18" t="n">
        <v>4.27943081</v>
      </c>
      <c r="L77" s="20" t="n">
        <v>0.8980721</v>
      </c>
      <c r="M77" s="18" t="n">
        <v>0.89921222</v>
      </c>
      <c r="N77" s="20" t="n">
        <v>0.48324952</v>
      </c>
      <c r="O77" s="18" t="n">
        <v>0</v>
      </c>
      <c r="P77" s="20" t="n">
        <v>0</v>
      </c>
      <c r="Q77" s="18" t="n">
        <v>28.63130493</v>
      </c>
      <c r="R77" s="20" t="n">
        <v>1.94218651</v>
      </c>
    </row>
    <row r="78" spans="1:18">
      <c r="A78" s="15" t="s">
        <v>502</v>
      </c>
      <c r="B78" s="17" t="n">
        <v>14167</v>
      </c>
      <c r="C78" s="18">
        <f>(12485.0/B78*100)</f>
        <v/>
      </c>
      <c r="D78" s="19" t="n">
        <v>1682</v>
      </c>
      <c r="E78" s="18" t="n">
        <v>41.11323937</v>
      </c>
      <c r="F78" s="20" t="n">
        <v>1.46860391</v>
      </c>
      <c r="G78" s="18" t="n">
        <v>48.88819534</v>
      </c>
      <c r="H78" s="20" t="n">
        <v>1.47981564</v>
      </c>
      <c r="I78" s="18" t="n">
        <v>0</v>
      </c>
      <c r="J78" s="20" t="n">
        <v>0</v>
      </c>
      <c r="K78" s="18" t="n">
        <v>0.9881816</v>
      </c>
      <c r="L78" s="20" t="n">
        <v>0.31764785</v>
      </c>
      <c r="M78" s="18" t="n">
        <v>0.25473445</v>
      </c>
      <c r="N78" s="20" t="n">
        <v>0.18640018</v>
      </c>
      <c r="O78" s="18" t="n">
        <v>0</v>
      </c>
      <c r="P78" s="20" t="n">
        <v>0</v>
      </c>
      <c r="Q78" s="18" t="n">
        <v>8.755649249999999</v>
      </c>
      <c r="R78" s="20" t="n">
        <v>0.76509266</v>
      </c>
    </row>
    <row r="79" spans="1:18">
      <c r="A79" s="15" t="s">
        <v>503</v>
      </c>
      <c r="B79" s="17" t="n">
        <v>6062</v>
      </c>
      <c r="C79" s="18">
        <f>(5342.0/B79*100)</f>
        <v/>
      </c>
      <c r="D79" s="19" t="n">
        <v>720</v>
      </c>
      <c r="E79" s="18" t="n">
        <v>24.05850665</v>
      </c>
      <c r="F79" s="20" t="n">
        <v>2.14084181</v>
      </c>
      <c r="G79" s="18" t="n">
        <v>58.38911369</v>
      </c>
      <c r="H79" s="20" t="n">
        <v>2.17866194</v>
      </c>
      <c r="I79" s="18" t="n">
        <v>0</v>
      </c>
      <c r="J79" s="20" t="n">
        <v>0</v>
      </c>
      <c r="K79" s="18" t="n">
        <v>0.59976726</v>
      </c>
      <c r="L79" s="20" t="n">
        <v>0.29253619</v>
      </c>
      <c r="M79" s="18" t="n">
        <v>0.12559155</v>
      </c>
      <c r="N79" s="20" t="n">
        <v>0.12617262</v>
      </c>
      <c r="O79" s="18" t="n">
        <v>0</v>
      </c>
      <c r="P79" s="20" t="n">
        <v>0</v>
      </c>
      <c r="Q79" s="18" t="n">
        <v>16.82702085</v>
      </c>
      <c r="R79" s="20" t="n">
        <v>1.54128697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(28342.0/B82*100)</f>
        <v/>
      </c>
      <c r="D82" s="19" t="n">
        <v>3988</v>
      </c>
      <c r="E82" s="18" t="n">
        <v>12.6390438</v>
      </c>
      <c r="F82" s="20" t="n">
        <v>0.72902822</v>
      </c>
      <c r="G82" s="18" t="n">
        <v>81.32195197</v>
      </c>
      <c r="H82" s="20" t="n">
        <v>0.96169868</v>
      </c>
      <c r="I82" s="18" t="n">
        <v>0</v>
      </c>
      <c r="J82" s="20" t="n">
        <v>0</v>
      </c>
      <c r="K82" s="18" t="n">
        <v>0.1505241</v>
      </c>
      <c r="L82" s="20" t="n">
        <v>0.08199016000000001</v>
      </c>
      <c r="M82" s="18" t="n">
        <v>0.02041289</v>
      </c>
      <c r="N82" s="20" t="n">
        <v>0.01438434</v>
      </c>
      <c r="O82" s="18" t="n">
        <v>0</v>
      </c>
      <c r="P82" s="20" t="n">
        <v>0</v>
      </c>
      <c r="Q82" s="18" t="n">
        <v>5.86806725</v>
      </c>
      <c r="R82" s="20" t="n">
        <v>0.53130672</v>
      </c>
    </row>
    <row r="83" spans="1:18">
      <c r="A83" s="15" t="s">
        <v>507</v>
      </c>
      <c r="B83" s="17" t="n">
        <v>1652</v>
      </c>
      <c r="C83" s="18">
        <f>(1462.0/B83*100)</f>
        <v/>
      </c>
      <c r="D83" s="19" t="n">
        <v>190</v>
      </c>
      <c r="E83" s="18" t="n">
        <v>10.33346282</v>
      </c>
      <c r="F83" s="20" t="n">
        <v>2.43678667</v>
      </c>
      <c r="G83" s="18" t="n">
        <v>88.71932567</v>
      </c>
      <c r="H83" s="20" t="n">
        <v>2.48451601</v>
      </c>
      <c r="I83" s="18" t="n">
        <v>0</v>
      </c>
      <c r="J83" s="20" t="n">
        <v>0</v>
      </c>
      <c r="K83" s="18" t="n">
        <v>0</v>
      </c>
      <c r="L83" s="20" t="n">
        <v>0</v>
      </c>
      <c r="M83" s="18" t="n">
        <v>0</v>
      </c>
      <c r="N83" s="20" t="n">
        <v>0</v>
      </c>
      <c r="O83" s="18" t="n">
        <v>0</v>
      </c>
      <c r="P83" s="20" t="n">
        <v>0</v>
      </c>
      <c r="Q83" s="18" t="n">
        <v>0.94721152</v>
      </c>
      <c r="R83" s="20" t="n">
        <v>0.67024332</v>
      </c>
    </row>
    <row r="84" spans="1:18">
      <c r="A84" s="23" t="s">
        <v>508</v>
      </c>
      <c r="B84" s="24" t="n">
        <v>1887</v>
      </c>
      <c r="C84" s="25">
        <f>(1663.0/B84*100)</f>
        <v/>
      </c>
      <c r="D84" s="19" t="n">
        <v>224</v>
      </c>
      <c r="E84" s="18" t="n">
        <v>11.58524823</v>
      </c>
      <c r="F84" s="20" t="n">
        <v>2.25637303</v>
      </c>
      <c r="G84" s="18" t="n">
        <v>86.75778419</v>
      </c>
      <c r="H84" s="20" t="n">
        <v>2.12818139</v>
      </c>
      <c r="I84" s="18" t="n">
        <v>0</v>
      </c>
      <c r="J84" s="20" t="n">
        <v>0</v>
      </c>
      <c r="K84" s="18" t="n">
        <v>0</v>
      </c>
      <c r="L84" s="20" t="n">
        <v>0</v>
      </c>
      <c r="M84" s="18" t="n">
        <v>0</v>
      </c>
      <c r="N84" s="20" t="n">
        <v>0</v>
      </c>
      <c r="O84" s="18" t="n">
        <v>0</v>
      </c>
      <c r="P84" s="20" t="n">
        <v>0</v>
      </c>
      <c r="Q84" s="18" t="n">
        <v>1.65696758</v>
      </c>
      <c r="R84" s="20" t="n">
        <v>0.82095434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559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(12777.0/B7*100)</f>
        <v/>
      </c>
      <c r="D7" s="19" t="n">
        <v>1753</v>
      </c>
      <c r="E7" s="18" t="n">
        <v>9.006361610000001</v>
      </c>
      <c r="F7" s="20" t="n">
        <v>0.82646657</v>
      </c>
      <c r="G7" s="18" t="n">
        <v>90.04738458</v>
      </c>
      <c r="H7" s="20" t="n">
        <v>0.83851591</v>
      </c>
      <c r="I7" s="18" t="n">
        <v>0</v>
      </c>
      <c r="J7" s="20" t="n">
        <v>0</v>
      </c>
      <c r="K7" s="18" t="n">
        <v>0.47646592</v>
      </c>
      <c r="L7" s="20" t="n">
        <v>0.1988693</v>
      </c>
      <c r="M7" s="18" t="n">
        <v>0</v>
      </c>
      <c r="N7" s="20" t="n">
        <v>0</v>
      </c>
      <c r="O7" s="18" t="n">
        <v>0</v>
      </c>
      <c r="P7" s="20" t="n">
        <v>0</v>
      </c>
      <c r="Q7" s="18" t="n">
        <v>0.4697879</v>
      </c>
      <c r="R7" s="20" t="n">
        <v>0.19190642</v>
      </c>
    </row>
    <row r="8" spans="1:18">
      <c r="A8" s="15" t="s">
        <v>430</v>
      </c>
      <c r="B8" s="17" t="n">
        <v>7007</v>
      </c>
      <c r="C8" s="18">
        <f>(6159.0/B8*100)</f>
        <v/>
      </c>
      <c r="D8" s="19" t="n">
        <v>848</v>
      </c>
      <c r="E8" s="18" t="n">
        <v>14.58119969</v>
      </c>
      <c r="F8" s="20" t="n">
        <v>1.18809245</v>
      </c>
      <c r="G8" s="18" t="n">
        <v>84.74498779</v>
      </c>
      <c r="H8" s="20" t="n">
        <v>1.25592669</v>
      </c>
      <c r="I8" s="18" t="n">
        <v>0</v>
      </c>
      <c r="J8" s="20" t="n">
        <v>0</v>
      </c>
      <c r="K8" s="18" t="n">
        <v>0.15103377</v>
      </c>
      <c r="L8" s="20" t="n">
        <v>0.10833185</v>
      </c>
      <c r="M8" s="18" t="n">
        <v>0</v>
      </c>
      <c r="N8" s="20" t="n">
        <v>0</v>
      </c>
      <c r="O8" s="18" t="n">
        <v>0</v>
      </c>
      <c r="P8" s="20" t="n">
        <v>0</v>
      </c>
      <c r="Q8" s="18" t="n">
        <v>0.52277875</v>
      </c>
      <c r="R8" s="20" t="n">
        <v>0.29122039</v>
      </c>
    </row>
    <row r="9" spans="1:18">
      <c r="A9" s="15" t="s">
        <v>431</v>
      </c>
      <c r="B9" s="17" t="n">
        <v>9651</v>
      </c>
      <c r="C9" s="18">
        <f>(8512.0/B9*100)</f>
        <v/>
      </c>
      <c r="D9" s="19" t="n">
        <v>1139</v>
      </c>
      <c r="E9" s="18" t="n">
        <v>14.06374235</v>
      </c>
      <c r="F9" s="20" t="n">
        <v>1.08942295</v>
      </c>
      <c r="G9" s="18" t="n">
        <v>84.81998982</v>
      </c>
      <c r="H9" s="20" t="n">
        <v>1.15062867</v>
      </c>
      <c r="I9" s="18" t="n">
        <v>0</v>
      </c>
      <c r="J9" s="20" t="n">
        <v>0</v>
      </c>
      <c r="K9" s="18" t="n">
        <v>0.10055164</v>
      </c>
      <c r="L9" s="20" t="n">
        <v>0.10015126</v>
      </c>
      <c r="M9" s="18" t="n">
        <v>0</v>
      </c>
      <c r="N9" s="20" t="n">
        <v>0</v>
      </c>
      <c r="O9" s="18" t="n">
        <v>0</v>
      </c>
      <c r="P9" s="20" t="n">
        <v>0</v>
      </c>
      <c r="Q9" s="18" t="n">
        <v>1.01571619</v>
      </c>
      <c r="R9" s="20" t="n">
        <v>0.31804585</v>
      </c>
    </row>
    <row r="10" spans="1:18">
      <c r="A10" s="15" t="s">
        <v>432</v>
      </c>
      <c r="B10" s="17" t="n">
        <v>20058</v>
      </c>
      <c r="C10" s="18">
        <f>(17621.0/B10*100)</f>
        <v/>
      </c>
      <c r="D10" s="19" t="n">
        <v>2437</v>
      </c>
      <c r="E10" s="18" t="n">
        <v>7.4846644</v>
      </c>
      <c r="F10" s="20" t="n">
        <v>0.68810341</v>
      </c>
      <c r="G10" s="18" t="n">
        <v>91.94104487</v>
      </c>
      <c r="H10" s="20" t="n">
        <v>0.73666641</v>
      </c>
      <c r="I10" s="18" t="n">
        <v>0</v>
      </c>
      <c r="J10" s="20" t="n">
        <v>0</v>
      </c>
      <c r="K10" s="18" t="n">
        <v>0.35173691</v>
      </c>
      <c r="L10" s="20" t="n">
        <v>0.16010262</v>
      </c>
      <c r="M10" s="18" t="n">
        <v>0</v>
      </c>
      <c r="N10" s="20" t="n">
        <v>0</v>
      </c>
      <c r="O10" s="18" t="n">
        <v>0</v>
      </c>
      <c r="P10" s="20" t="n">
        <v>0</v>
      </c>
      <c r="Q10" s="18" t="n">
        <v>0.22255382</v>
      </c>
      <c r="R10" s="20" t="n">
        <v>0.12736625</v>
      </c>
    </row>
    <row r="11" spans="1:18">
      <c r="A11" s="15" t="s">
        <v>433</v>
      </c>
      <c r="B11" s="17" t="n">
        <v>7053</v>
      </c>
      <c r="C11" s="18">
        <f>(6222.0/B11*100)</f>
        <v/>
      </c>
      <c r="D11" s="19" t="n">
        <v>831</v>
      </c>
      <c r="E11" s="18" t="n">
        <v>20.86585246</v>
      </c>
      <c r="F11" s="20" t="n">
        <v>1.63216117</v>
      </c>
      <c r="G11" s="18" t="n">
        <v>77.21812016</v>
      </c>
      <c r="H11" s="20" t="n">
        <v>1.69544846</v>
      </c>
      <c r="I11" s="18" t="n">
        <v>0</v>
      </c>
      <c r="J11" s="20" t="n">
        <v>0</v>
      </c>
      <c r="K11" s="18" t="n">
        <v>0.85242151</v>
      </c>
      <c r="L11" s="20" t="n">
        <v>0.38054717</v>
      </c>
      <c r="M11" s="18" t="n">
        <v>0</v>
      </c>
      <c r="N11" s="20" t="n">
        <v>0</v>
      </c>
      <c r="O11" s="18" t="n">
        <v>0</v>
      </c>
      <c r="P11" s="20" t="n">
        <v>0</v>
      </c>
      <c r="Q11" s="18" t="n">
        <v>1.06360586</v>
      </c>
      <c r="R11" s="20" t="n">
        <v>0.356229</v>
      </c>
    </row>
    <row r="12" spans="1:18">
      <c r="A12" s="15" t="s">
        <v>434</v>
      </c>
      <c r="B12" s="17" t="n">
        <v>6894</v>
      </c>
      <c r="C12" s="18">
        <f>(6140.0/B12*100)</f>
        <v/>
      </c>
      <c r="D12" s="19" t="n">
        <v>754</v>
      </c>
      <c r="E12" s="18" t="n">
        <v>17.76370146</v>
      </c>
      <c r="F12" s="20" t="n">
        <v>1.44674655</v>
      </c>
      <c r="G12" s="18" t="n">
        <v>81.94344206</v>
      </c>
      <c r="H12" s="20" t="n">
        <v>1.49295545</v>
      </c>
      <c r="I12" s="18" t="n">
        <v>0</v>
      </c>
      <c r="J12" s="20" t="n">
        <v>0</v>
      </c>
      <c r="K12" s="18" t="n">
        <v>0</v>
      </c>
      <c r="L12" s="20" t="n">
        <v>0</v>
      </c>
      <c r="M12" s="18" t="n">
        <v>0</v>
      </c>
      <c r="N12" s="20" t="n">
        <v>0</v>
      </c>
      <c r="O12" s="18" t="n">
        <v>0</v>
      </c>
      <c r="P12" s="20" t="n">
        <v>0</v>
      </c>
      <c r="Q12" s="18" t="n">
        <v>0.29285647</v>
      </c>
      <c r="R12" s="20" t="n">
        <v>0.19592172</v>
      </c>
    </row>
    <row r="13" spans="1:18">
      <c r="A13" s="15" t="s">
        <v>435</v>
      </c>
      <c r="B13" s="17" t="n">
        <v>7161</v>
      </c>
      <c r="C13" s="18">
        <f>(6313.0/B13*100)</f>
        <v/>
      </c>
      <c r="D13" s="19" t="n">
        <v>848</v>
      </c>
      <c r="E13" s="18" t="n">
        <v>14.81186812</v>
      </c>
      <c r="F13" s="20" t="n">
        <v>1.39953667</v>
      </c>
      <c r="G13" s="18" t="n">
        <v>84.78520853000001</v>
      </c>
      <c r="H13" s="20" t="n">
        <v>1.40234323</v>
      </c>
      <c r="I13" s="18" t="n">
        <v>0</v>
      </c>
      <c r="J13" s="20" t="n">
        <v>0</v>
      </c>
      <c r="K13" s="18" t="n">
        <v>0.12954005</v>
      </c>
      <c r="L13" s="20" t="n">
        <v>0.13353421</v>
      </c>
      <c r="M13" s="18" t="n">
        <v>0</v>
      </c>
      <c r="N13" s="20" t="n">
        <v>0</v>
      </c>
      <c r="O13" s="18" t="n">
        <v>0</v>
      </c>
      <c r="P13" s="20" t="n">
        <v>0</v>
      </c>
      <c r="Q13" s="18" t="n">
        <v>0.27338329</v>
      </c>
      <c r="R13" s="20" t="n">
        <v>0.13578668</v>
      </c>
    </row>
    <row r="14" spans="1:18">
      <c r="A14" s="15" t="s">
        <v>436</v>
      </c>
      <c r="B14" s="17" t="n">
        <v>5587</v>
      </c>
      <c r="C14" s="18">
        <f>(4893.0/B14*100)</f>
        <v/>
      </c>
      <c r="D14" s="19" t="n">
        <v>694</v>
      </c>
      <c r="E14" s="18" t="n">
        <v>15.07026725</v>
      </c>
      <c r="F14" s="20" t="n">
        <v>1.35990497</v>
      </c>
      <c r="G14" s="18" t="n">
        <v>84.03575904</v>
      </c>
      <c r="H14" s="20" t="n">
        <v>1.44068304</v>
      </c>
      <c r="I14" s="18" t="n">
        <v>0</v>
      </c>
      <c r="J14" s="20" t="n">
        <v>0</v>
      </c>
      <c r="K14" s="18" t="n">
        <v>0.40275767</v>
      </c>
      <c r="L14" s="20" t="n">
        <v>0.23885875</v>
      </c>
      <c r="M14" s="18" t="n">
        <v>0</v>
      </c>
      <c r="N14" s="20" t="n">
        <v>0</v>
      </c>
      <c r="O14" s="18" t="n">
        <v>0</v>
      </c>
      <c r="P14" s="20" t="n">
        <v>0</v>
      </c>
      <c r="Q14" s="18" t="n">
        <v>0.49121604</v>
      </c>
      <c r="R14" s="20" t="n">
        <v>0.39004788</v>
      </c>
    </row>
    <row r="15" spans="1:18">
      <c r="A15" s="15" t="s">
        <v>437</v>
      </c>
      <c r="B15" s="17" t="n">
        <v>5882</v>
      </c>
      <c r="C15" s="18">
        <f>(5158.0/B15*100)</f>
        <v/>
      </c>
      <c r="D15" s="19" t="n">
        <v>724</v>
      </c>
      <c r="E15" s="18" t="n">
        <v>12.2801926</v>
      </c>
      <c r="F15" s="20" t="n">
        <v>1.30646113</v>
      </c>
      <c r="G15" s="18" t="n">
        <v>86.95709696999999</v>
      </c>
      <c r="H15" s="20" t="n">
        <v>1.34309517</v>
      </c>
      <c r="I15" s="18" t="n">
        <v>0</v>
      </c>
      <c r="J15" s="20" t="n">
        <v>0</v>
      </c>
      <c r="K15" s="18" t="n">
        <v>0.23580006</v>
      </c>
      <c r="L15" s="20" t="n">
        <v>0.23582166</v>
      </c>
      <c r="M15" s="18" t="n">
        <v>0</v>
      </c>
      <c r="N15" s="20" t="n">
        <v>0</v>
      </c>
      <c r="O15" s="18" t="n">
        <v>0</v>
      </c>
      <c r="P15" s="20" t="n">
        <v>0</v>
      </c>
      <c r="Q15" s="18" t="n">
        <v>0.52691037</v>
      </c>
      <c r="R15" s="20" t="n">
        <v>0.26369625</v>
      </c>
    </row>
    <row r="16" spans="1:18">
      <c r="A16" s="15" t="s">
        <v>438</v>
      </c>
      <c r="B16" s="17" t="n">
        <v>6108</v>
      </c>
      <c r="C16" s="18">
        <f>(5374.0/B16*100)</f>
        <v/>
      </c>
      <c r="D16" s="19" t="n">
        <v>734</v>
      </c>
      <c r="E16" s="18" t="n">
        <v>16.58743302</v>
      </c>
      <c r="F16" s="20" t="n">
        <v>1.37557362</v>
      </c>
      <c r="G16" s="18" t="n">
        <v>81.57105998</v>
      </c>
      <c r="H16" s="20" t="n">
        <v>1.47626227</v>
      </c>
      <c r="I16" s="18" t="n">
        <v>0</v>
      </c>
      <c r="J16" s="20" t="n">
        <v>0</v>
      </c>
      <c r="K16" s="18" t="n">
        <v>0.65205251</v>
      </c>
      <c r="L16" s="20" t="n">
        <v>0.33443683</v>
      </c>
      <c r="M16" s="18" t="n">
        <v>0</v>
      </c>
      <c r="N16" s="20" t="n">
        <v>0</v>
      </c>
      <c r="O16" s="18" t="n">
        <v>0</v>
      </c>
      <c r="P16" s="20" t="n">
        <v>0</v>
      </c>
      <c r="Q16" s="18" t="n">
        <v>1.18945449</v>
      </c>
      <c r="R16" s="20" t="n">
        <v>0.40652802</v>
      </c>
    </row>
    <row r="17" spans="1:18">
      <c r="A17" s="15" t="s">
        <v>439</v>
      </c>
      <c r="B17" s="17" t="n">
        <v>6504</v>
      </c>
      <c r="C17" s="18">
        <f>(5717.0/B17*100)</f>
        <v/>
      </c>
      <c r="D17" s="19" t="n">
        <v>787</v>
      </c>
      <c r="E17" s="18" t="n">
        <v>15.39087198</v>
      </c>
      <c r="F17" s="20" t="n">
        <v>1.43758131</v>
      </c>
      <c r="G17" s="18" t="n">
        <v>83.47442359</v>
      </c>
      <c r="H17" s="20" t="n">
        <v>1.54537742</v>
      </c>
      <c r="I17" s="18" t="n">
        <v>0</v>
      </c>
      <c r="J17" s="20" t="n">
        <v>0</v>
      </c>
      <c r="K17" s="18" t="n">
        <v>0.6055849</v>
      </c>
      <c r="L17" s="20" t="n">
        <v>0.27566724</v>
      </c>
      <c r="M17" s="18" t="n">
        <v>0</v>
      </c>
      <c r="N17" s="20" t="n">
        <v>0</v>
      </c>
      <c r="O17" s="18" t="n">
        <v>0</v>
      </c>
      <c r="P17" s="20" t="n">
        <v>0</v>
      </c>
      <c r="Q17" s="18" t="n">
        <v>0.52911953</v>
      </c>
      <c r="R17" s="20" t="n">
        <v>0.28140324</v>
      </c>
    </row>
    <row r="18" spans="1:18">
      <c r="A18" s="15" t="s">
        <v>440</v>
      </c>
      <c r="B18" s="17" t="n">
        <v>5532</v>
      </c>
      <c r="C18" s="18">
        <f>(4851.0/B18*100)</f>
        <v/>
      </c>
      <c r="D18" s="19" t="n">
        <v>681</v>
      </c>
      <c r="E18" s="18" t="n">
        <v>21.45737426</v>
      </c>
      <c r="F18" s="20" t="n">
        <v>1.62112604</v>
      </c>
      <c r="G18" s="18" t="n">
        <v>76.89488559999999</v>
      </c>
      <c r="H18" s="20" t="n">
        <v>1.63558121</v>
      </c>
      <c r="I18" s="18" t="n">
        <v>0</v>
      </c>
      <c r="J18" s="20" t="n">
        <v>0</v>
      </c>
      <c r="K18" s="18" t="n">
        <v>0.68729595</v>
      </c>
      <c r="L18" s="20" t="n">
        <v>0.31000188</v>
      </c>
      <c r="M18" s="18" t="n">
        <v>0</v>
      </c>
      <c r="N18" s="20" t="n">
        <v>0</v>
      </c>
      <c r="O18" s="18" t="n">
        <v>0</v>
      </c>
      <c r="P18" s="20" t="n">
        <v>0</v>
      </c>
      <c r="Q18" s="18" t="n">
        <v>0.96044419</v>
      </c>
      <c r="R18" s="20" t="n">
        <v>0.37283673</v>
      </c>
    </row>
    <row r="19" spans="1:18">
      <c r="A19" s="15" t="s">
        <v>441</v>
      </c>
      <c r="B19" s="17" t="n">
        <v>5658</v>
      </c>
      <c r="C19" s="18">
        <f>(4955.0/B19*100)</f>
        <v/>
      </c>
      <c r="D19" s="19" t="n">
        <v>703</v>
      </c>
      <c r="E19" s="18" t="n">
        <v>17.57108934</v>
      </c>
      <c r="F19" s="20" t="n">
        <v>1.38558553</v>
      </c>
      <c r="G19" s="18" t="n">
        <v>81.68375706</v>
      </c>
      <c r="H19" s="20" t="n">
        <v>1.46318064</v>
      </c>
      <c r="I19" s="18" t="n">
        <v>0</v>
      </c>
      <c r="J19" s="20" t="n">
        <v>0</v>
      </c>
      <c r="K19" s="18" t="n">
        <v>0</v>
      </c>
      <c r="L19" s="20" t="n">
        <v>0</v>
      </c>
      <c r="M19" s="18" t="n">
        <v>0</v>
      </c>
      <c r="N19" s="20" t="n">
        <v>0</v>
      </c>
      <c r="O19" s="18" t="n">
        <v>0</v>
      </c>
      <c r="P19" s="20" t="n">
        <v>0</v>
      </c>
      <c r="Q19" s="18" t="n">
        <v>0.7451536</v>
      </c>
      <c r="R19" s="20" t="n">
        <v>0.45975559</v>
      </c>
    </row>
    <row r="20" spans="1:18">
      <c r="A20" s="15" t="s">
        <v>442</v>
      </c>
      <c r="B20" s="17" t="n">
        <v>3371</v>
      </c>
      <c r="C20" s="18">
        <f>(2969.0/B20*100)</f>
        <v/>
      </c>
      <c r="D20" s="19" t="n">
        <v>402</v>
      </c>
      <c r="E20" s="18" t="n">
        <v>12.46948398</v>
      </c>
      <c r="F20" s="20" t="n">
        <v>1.74375588</v>
      </c>
      <c r="G20" s="18" t="n">
        <v>86.61501597</v>
      </c>
      <c r="H20" s="20" t="n">
        <v>1.75373914</v>
      </c>
      <c r="I20" s="18" t="n">
        <v>0</v>
      </c>
      <c r="J20" s="20" t="n">
        <v>0</v>
      </c>
      <c r="K20" s="18" t="n">
        <v>0.66876214</v>
      </c>
      <c r="L20" s="20" t="n">
        <v>0.38398896</v>
      </c>
      <c r="M20" s="18" t="n">
        <v>0</v>
      </c>
      <c r="N20" s="20" t="n">
        <v>0</v>
      </c>
      <c r="O20" s="18" t="n">
        <v>0</v>
      </c>
      <c r="P20" s="20" t="n">
        <v>0</v>
      </c>
      <c r="Q20" s="18" t="n">
        <v>0.2467379</v>
      </c>
      <c r="R20" s="20" t="n">
        <v>0.24640209</v>
      </c>
    </row>
    <row r="21" spans="1:18">
      <c r="A21" s="15" t="s">
        <v>443</v>
      </c>
      <c r="B21" s="17" t="n">
        <v>5741</v>
      </c>
      <c r="C21" s="18">
        <f>(4791.0/B21*100)</f>
        <v/>
      </c>
      <c r="D21" s="19" t="n">
        <v>950</v>
      </c>
      <c r="E21" s="18" t="n">
        <v>6.86621927</v>
      </c>
      <c r="F21" s="20" t="n">
        <v>0.87127672</v>
      </c>
      <c r="G21" s="18" t="n">
        <v>92.11894882999999</v>
      </c>
      <c r="H21" s="20" t="n">
        <v>0.93634303</v>
      </c>
      <c r="I21" s="18" t="n">
        <v>0</v>
      </c>
      <c r="J21" s="20" t="n">
        <v>0</v>
      </c>
      <c r="K21" s="18" t="n">
        <v>0.08788427</v>
      </c>
      <c r="L21" s="20" t="n">
        <v>0.06211537</v>
      </c>
      <c r="M21" s="18" t="n">
        <v>0</v>
      </c>
      <c r="N21" s="20" t="n">
        <v>0</v>
      </c>
      <c r="O21" s="18" t="n">
        <v>0</v>
      </c>
      <c r="P21" s="20" t="n">
        <v>0</v>
      </c>
      <c r="Q21" s="18" t="n">
        <v>0.92694763</v>
      </c>
      <c r="R21" s="20" t="n">
        <v>0.30913404</v>
      </c>
    </row>
    <row r="22" spans="1:18">
      <c r="A22" s="15" t="s">
        <v>444</v>
      </c>
      <c r="B22" s="17" t="n">
        <v>6598</v>
      </c>
      <c r="C22" s="18">
        <f>(5788.0/B22*100)</f>
        <v/>
      </c>
      <c r="D22" s="19" t="n">
        <v>810</v>
      </c>
      <c r="E22" s="18" t="n">
        <v>18.35168172</v>
      </c>
      <c r="F22" s="20" t="n">
        <v>1.63929512</v>
      </c>
      <c r="G22" s="18" t="n">
        <v>77.98027098999999</v>
      </c>
      <c r="H22" s="20" t="n">
        <v>1.72736938</v>
      </c>
      <c r="I22" s="18" t="n">
        <v>0</v>
      </c>
      <c r="J22" s="20" t="n">
        <v>0</v>
      </c>
      <c r="K22" s="18" t="n">
        <v>0.42651802</v>
      </c>
      <c r="L22" s="20" t="n">
        <v>0.2132473</v>
      </c>
      <c r="M22" s="18" t="n">
        <v>0</v>
      </c>
      <c r="N22" s="20" t="n">
        <v>0</v>
      </c>
      <c r="O22" s="18" t="n">
        <v>0</v>
      </c>
      <c r="P22" s="20" t="n">
        <v>0</v>
      </c>
      <c r="Q22" s="18" t="n">
        <v>3.24152928</v>
      </c>
      <c r="R22" s="20" t="n">
        <v>0.76586869</v>
      </c>
    </row>
    <row r="23" spans="1:18">
      <c r="A23" s="15" t="s">
        <v>445</v>
      </c>
      <c r="B23" s="17" t="n">
        <v>11583</v>
      </c>
      <c r="C23" s="18">
        <f>(10147.0/B23*100)</f>
        <v/>
      </c>
      <c r="D23" s="19" t="n">
        <v>1436</v>
      </c>
      <c r="E23" s="18" t="n">
        <v>22.04109685</v>
      </c>
      <c r="F23" s="20" t="n">
        <v>1.7681451</v>
      </c>
      <c r="G23" s="18" t="n">
        <v>76.29466426</v>
      </c>
      <c r="H23" s="20" t="n">
        <v>1.95089141</v>
      </c>
      <c r="I23" s="18" t="n">
        <v>0</v>
      </c>
      <c r="J23" s="20" t="n">
        <v>0</v>
      </c>
      <c r="K23" s="18" t="n">
        <v>0.35680287</v>
      </c>
      <c r="L23" s="20" t="n">
        <v>0.39702151</v>
      </c>
      <c r="M23" s="18" t="n">
        <v>0</v>
      </c>
      <c r="N23" s="20" t="n">
        <v>0</v>
      </c>
      <c r="O23" s="18" t="n">
        <v>0</v>
      </c>
      <c r="P23" s="20" t="n">
        <v>0</v>
      </c>
      <c r="Q23" s="18" t="n">
        <v>1.30743602</v>
      </c>
      <c r="R23" s="20" t="n">
        <v>0.5268218099999999</v>
      </c>
    </row>
    <row r="24" spans="1:18">
      <c r="A24" s="15" t="s">
        <v>446</v>
      </c>
      <c r="B24" s="17" t="n">
        <v>6647</v>
      </c>
      <c r="C24" s="18">
        <f>(5848.0/B24*100)</f>
        <v/>
      </c>
      <c r="D24" s="19" t="n">
        <v>799</v>
      </c>
      <c r="E24" s="18" t="n">
        <v>26.16356535</v>
      </c>
      <c r="F24" s="20" t="n">
        <v>1.83424484</v>
      </c>
      <c r="G24" s="18" t="n">
        <v>73.29140843</v>
      </c>
      <c r="H24" s="20" t="n">
        <v>1.81658135</v>
      </c>
      <c r="I24" s="18" t="n">
        <v>0</v>
      </c>
      <c r="J24" s="20" t="n">
        <v>0</v>
      </c>
      <c r="K24" s="18" t="n">
        <v>0.36005672</v>
      </c>
      <c r="L24" s="20" t="n">
        <v>0.20764078</v>
      </c>
      <c r="M24" s="18" t="n">
        <v>0</v>
      </c>
      <c r="N24" s="20" t="n">
        <v>0</v>
      </c>
      <c r="O24" s="18" t="n">
        <v>0</v>
      </c>
      <c r="P24" s="20" t="n">
        <v>0</v>
      </c>
      <c r="Q24" s="18" t="n">
        <v>0.18496951</v>
      </c>
      <c r="R24" s="20" t="n">
        <v>0.13580728</v>
      </c>
    </row>
    <row r="25" spans="1:18">
      <c r="A25" s="15" t="s">
        <v>447</v>
      </c>
      <c r="B25" s="17" t="n">
        <v>5581</v>
      </c>
      <c r="C25" s="18">
        <f>(4908.0/B25*100)</f>
        <v/>
      </c>
      <c r="D25" s="19" t="n">
        <v>673</v>
      </c>
      <c r="E25" s="18" t="n">
        <v>12.98525498</v>
      </c>
      <c r="F25" s="20" t="n">
        <v>1.53977586</v>
      </c>
      <c r="G25" s="18" t="n">
        <v>86.83625676</v>
      </c>
      <c r="H25" s="20" t="n">
        <v>1.53527724</v>
      </c>
      <c r="I25" s="18" t="n">
        <v>0</v>
      </c>
      <c r="J25" s="20" t="n">
        <v>0</v>
      </c>
      <c r="K25" s="18" t="n">
        <v>0</v>
      </c>
      <c r="L25" s="20" t="n">
        <v>0</v>
      </c>
      <c r="M25" s="18" t="n">
        <v>0</v>
      </c>
      <c r="N25" s="20" t="n">
        <v>0</v>
      </c>
      <c r="O25" s="18" t="n">
        <v>0</v>
      </c>
      <c r="P25" s="20" t="n">
        <v>0</v>
      </c>
      <c r="Q25" s="18" t="n">
        <v>0.17848826</v>
      </c>
      <c r="R25" s="20" t="n">
        <v>0.17696462</v>
      </c>
    </row>
    <row r="26" spans="1:18">
      <c r="A26" s="15" t="s">
        <v>448</v>
      </c>
      <c r="B26" s="17" t="n">
        <v>4869</v>
      </c>
      <c r="C26" s="18">
        <f>(4276.0/B26*100)</f>
        <v/>
      </c>
      <c r="D26" s="19" t="n">
        <v>593</v>
      </c>
      <c r="E26" s="18" t="n">
        <v>16.41001827</v>
      </c>
      <c r="F26" s="20" t="n">
        <v>1.64897418</v>
      </c>
      <c r="G26" s="18" t="n">
        <v>82.50773162</v>
      </c>
      <c r="H26" s="20" t="n">
        <v>1.62060132</v>
      </c>
      <c r="I26" s="18" t="n">
        <v>0</v>
      </c>
      <c r="J26" s="20" t="n">
        <v>0</v>
      </c>
      <c r="K26" s="18" t="n">
        <v>0</v>
      </c>
      <c r="L26" s="20" t="n">
        <v>0</v>
      </c>
      <c r="M26" s="18" t="n">
        <v>0</v>
      </c>
      <c r="N26" s="20" t="n">
        <v>0</v>
      </c>
      <c r="O26" s="18" t="n">
        <v>0</v>
      </c>
      <c r="P26" s="20" t="n">
        <v>0</v>
      </c>
      <c r="Q26" s="18" t="n">
        <v>1.08225011</v>
      </c>
      <c r="R26" s="20" t="n">
        <v>0.54561655</v>
      </c>
    </row>
    <row r="27" spans="1:18">
      <c r="A27" s="15" t="s">
        <v>449</v>
      </c>
      <c r="B27" s="17" t="n">
        <v>5299</v>
      </c>
      <c r="C27" s="18">
        <f>(4668.0/B27*100)</f>
        <v/>
      </c>
      <c r="D27" s="19" t="n">
        <v>631</v>
      </c>
      <c r="E27" s="18" t="n">
        <v>16.07255411</v>
      </c>
      <c r="F27" s="20" t="n">
        <v>1.51137055</v>
      </c>
      <c r="G27" s="18" t="n">
        <v>82.81089145</v>
      </c>
      <c r="H27" s="20" t="n">
        <v>1.55920148</v>
      </c>
      <c r="I27" s="18" t="n">
        <v>0</v>
      </c>
      <c r="J27" s="20" t="n">
        <v>0</v>
      </c>
      <c r="K27" s="18" t="n">
        <v>0.48716752</v>
      </c>
      <c r="L27" s="20" t="n">
        <v>0.28118238</v>
      </c>
      <c r="M27" s="18" t="n">
        <v>0</v>
      </c>
      <c r="N27" s="20" t="n">
        <v>0</v>
      </c>
      <c r="O27" s="18" t="n">
        <v>0</v>
      </c>
      <c r="P27" s="20" t="n">
        <v>0</v>
      </c>
      <c r="Q27" s="18" t="n">
        <v>0.62938692</v>
      </c>
      <c r="R27" s="20" t="n">
        <v>0.31390582</v>
      </c>
    </row>
    <row r="28" spans="1:18">
      <c r="A28" s="15" t="s">
        <v>450</v>
      </c>
      <c r="B28" s="17" t="n">
        <v>7568</v>
      </c>
      <c r="C28" s="18">
        <f>(6675.0/B28*100)</f>
        <v/>
      </c>
      <c r="D28" s="19" t="n">
        <v>893</v>
      </c>
      <c r="E28" s="18" t="n">
        <v>21.19228314</v>
      </c>
      <c r="F28" s="20" t="n">
        <v>1.39809887</v>
      </c>
      <c r="G28" s="18" t="n">
        <v>76.86233104999999</v>
      </c>
      <c r="H28" s="20" t="n">
        <v>1.56629407</v>
      </c>
      <c r="I28" s="18" t="n">
        <v>0</v>
      </c>
      <c r="J28" s="20" t="n">
        <v>0</v>
      </c>
      <c r="K28" s="18" t="n">
        <v>1.13660176</v>
      </c>
      <c r="L28" s="20" t="n">
        <v>0.42504405</v>
      </c>
      <c r="M28" s="18" t="n">
        <v>0</v>
      </c>
      <c r="N28" s="20" t="n">
        <v>0</v>
      </c>
      <c r="O28" s="18" t="n">
        <v>0</v>
      </c>
      <c r="P28" s="20" t="n">
        <v>0</v>
      </c>
      <c r="Q28" s="18" t="n">
        <v>0.80878405</v>
      </c>
      <c r="R28" s="20" t="n">
        <v>0.37125901</v>
      </c>
    </row>
    <row r="29" spans="1:18">
      <c r="A29" s="15" t="s">
        <v>451</v>
      </c>
      <c r="B29" s="17" t="n">
        <v>5385</v>
      </c>
      <c r="C29" s="18">
        <f>(4739.0/B29*100)</f>
        <v/>
      </c>
      <c r="D29" s="19" t="n">
        <v>646</v>
      </c>
      <c r="E29" s="18" t="n">
        <v>12.29027192</v>
      </c>
      <c r="F29" s="20" t="n">
        <v>1.37447455</v>
      </c>
      <c r="G29" s="18" t="n">
        <v>87.50718458999999</v>
      </c>
      <c r="H29" s="20" t="n">
        <v>1.38988104</v>
      </c>
      <c r="I29" s="18" t="n">
        <v>0</v>
      </c>
      <c r="J29" s="20" t="n">
        <v>0</v>
      </c>
      <c r="K29" s="18" t="n">
        <v>0.09153656</v>
      </c>
      <c r="L29" s="20" t="n">
        <v>0.09149077999999999</v>
      </c>
      <c r="M29" s="18" t="n">
        <v>0</v>
      </c>
      <c r="N29" s="20" t="n">
        <v>0</v>
      </c>
      <c r="O29" s="18" t="n">
        <v>0</v>
      </c>
      <c r="P29" s="20" t="n">
        <v>0</v>
      </c>
      <c r="Q29" s="18" t="n">
        <v>0.11100694</v>
      </c>
      <c r="R29" s="20" t="n">
        <v>0.1291996</v>
      </c>
    </row>
    <row r="30" spans="1:18">
      <c r="A30" s="15" t="s">
        <v>452</v>
      </c>
      <c r="B30" s="17" t="n">
        <v>4520</v>
      </c>
      <c r="C30" s="18">
        <f>(3981.0/B30*100)</f>
        <v/>
      </c>
      <c r="D30" s="19" t="n">
        <v>539</v>
      </c>
      <c r="E30" s="18" t="n">
        <v>8.73668694</v>
      </c>
      <c r="F30" s="20" t="n">
        <v>1.37844518</v>
      </c>
      <c r="G30" s="18" t="n">
        <v>89.31316167999999</v>
      </c>
      <c r="H30" s="20" t="n">
        <v>1.57723643</v>
      </c>
      <c r="I30" s="18" t="n">
        <v>0</v>
      </c>
      <c r="J30" s="20" t="n">
        <v>0</v>
      </c>
      <c r="K30" s="18" t="n">
        <v>1.12910845</v>
      </c>
      <c r="L30" s="20" t="n">
        <v>0.55764923</v>
      </c>
      <c r="M30" s="18" t="n">
        <v>0</v>
      </c>
      <c r="N30" s="20" t="n">
        <v>0</v>
      </c>
      <c r="O30" s="18" t="n">
        <v>0</v>
      </c>
      <c r="P30" s="20" t="n">
        <v>0</v>
      </c>
      <c r="Q30" s="18" t="n">
        <v>0.82104294</v>
      </c>
      <c r="R30" s="20" t="n">
        <v>0.36791968</v>
      </c>
    </row>
    <row r="31" spans="1:18">
      <c r="A31" s="15" t="s">
        <v>453</v>
      </c>
      <c r="B31" s="17" t="n">
        <v>5456</v>
      </c>
      <c r="C31" s="18">
        <f>(4796.0/B31*100)</f>
        <v/>
      </c>
      <c r="D31" s="19" t="n">
        <v>660</v>
      </c>
      <c r="E31" s="18" t="n">
        <v>11.11462571</v>
      </c>
      <c r="F31" s="20" t="n">
        <v>1.34053726</v>
      </c>
      <c r="G31" s="18" t="n">
        <v>87.23796505</v>
      </c>
      <c r="H31" s="20" t="n">
        <v>1.32128788</v>
      </c>
      <c r="I31" s="18" t="n">
        <v>0</v>
      </c>
      <c r="J31" s="20" t="n">
        <v>0</v>
      </c>
      <c r="K31" s="18" t="n">
        <v>0.57602941</v>
      </c>
      <c r="L31" s="20" t="n">
        <v>0.28050907</v>
      </c>
      <c r="M31" s="18" t="n">
        <v>0</v>
      </c>
      <c r="N31" s="20" t="n">
        <v>0</v>
      </c>
      <c r="O31" s="18" t="n">
        <v>0</v>
      </c>
      <c r="P31" s="20" t="n">
        <v>0</v>
      </c>
      <c r="Q31" s="18" t="n">
        <v>1.07137983</v>
      </c>
      <c r="R31" s="20" t="n">
        <v>0.39728035</v>
      </c>
    </row>
    <row r="32" spans="1:18">
      <c r="A32" s="15" t="s">
        <v>454</v>
      </c>
      <c r="B32" s="17" t="n">
        <v>4478</v>
      </c>
      <c r="C32" s="18">
        <f>(3748.0/B32*100)</f>
        <v/>
      </c>
      <c r="D32" s="19" t="n">
        <v>730</v>
      </c>
      <c r="E32" s="18" t="n">
        <v>14.63622127</v>
      </c>
      <c r="F32" s="20" t="n">
        <v>1.43965335</v>
      </c>
      <c r="G32" s="18" t="n">
        <v>85.04569105</v>
      </c>
      <c r="H32" s="20" t="n">
        <v>1.44596412</v>
      </c>
      <c r="I32" s="18" t="n">
        <v>0</v>
      </c>
      <c r="J32" s="20" t="n">
        <v>0</v>
      </c>
      <c r="K32" s="18" t="n">
        <v>0</v>
      </c>
      <c r="L32" s="20" t="n">
        <v>0</v>
      </c>
      <c r="M32" s="18" t="n">
        <v>0</v>
      </c>
      <c r="N32" s="20" t="n">
        <v>0</v>
      </c>
      <c r="O32" s="18" t="n">
        <v>0</v>
      </c>
      <c r="P32" s="20" t="n">
        <v>0</v>
      </c>
      <c r="Q32" s="18" t="n">
        <v>0.31808768</v>
      </c>
      <c r="R32" s="20" t="n">
        <v>0.23182196</v>
      </c>
    </row>
    <row r="33" spans="1:18">
      <c r="A33" s="15" t="s">
        <v>455</v>
      </c>
      <c r="B33" s="17" t="n">
        <v>7325</v>
      </c>
      <c r="C33" s="18">
        <f>(6448.0/B33*100)</f>
        <v/>
      </c>
      <c r="D33" s="19" t="n">
        <v>877</v>
      </c>
      <c r="E33" s="18" t="n">
        <v>21.61086071</v>
      </c>
      <c r="F33" s="20" t="n">
        <v>1.47451153</v>
      </c>
      <c r="G33" s="18" t="n">
        <v>77.37946063</v>
      </c>
      <c r="H33" s="20" t="n">
        <v>1.46765525</v>
      </c>
      <c r="I33" s="18" t="n">
        <v>0</v>
      </c>
      <c r="J33" s="20" t="n">
        <v>0</v>
      </c>
      <c r="K33" s="18" t="n">
        <v>0.20442184</v>
      </c>
      <c r="L33" s="20" t="n">
        <v>0.16943486</v>
      </c>
      <c r="M33" s="18" t="n">
        <v>0</v>
      </c>
      <c r="N33" s="20" t="n">
        <v>0</v>
      </c>
      <c r="O33" s="18" t="n">
        <v>0</v>
      </c>
      <c r="P33" s="20" t="n">
        <v>0</v>
      </c>
      <c r="Q33" s="18" t="n">
        <v>0.80525682</v>
      </c>
      <c r="R33" s="20" t="n">
        <v>0.30648001</v>
      </c>
    </row>
    <row r="34" spans="1:18">
      <c r="A34" s="15" t="s">
        <v>456</v>
      </c>
      <c r="B34" s="17" t="n">
        <v>6350</v>
      </c>
      <c r="C34" s="18">
        <f>(5604.0/B34*100)</f>
        <v/>
      </c>
      <c r="D34" s="19" t="n">
        <v>746</v>
      </c>
      <c r="E34" s="18" t="n">
        <v>20.07152898</v>
      </c>
      <c r="F34" s="20" t="n">
        <v>1.56842508</v>
      </c>
      <c r="G34" s="18" t="n">
        <v>78.60128486000001</v>
      </c>
      <c r="H34" s="20" t="n">
        <v>1.62704964</v>
      </c>
      <c r="I34" s="18" t="n">
        <v>0</v>
      </c>
      <c r="J34" s="20" t="n">
        <v>0</v>
      </c>
      <c r="K34" s="18" t="n">
        <v>0.32255982</v>
      </c>
      <c r="L34" s="20" t="n">
        <v>0.2377832</v>
      </c>
      <c r="M34" s="18" t="n">
        <v>0</v>
      </c>
      <c r="N34" s="20" t="n">
        <v>0</v>
      </c>
      <c r="O34" s="18" t="n">
        <v>0</v>
      </c>
      <c r="P34" s="20" t="n">
        <v>0</v>
      </c>
      <c r="Q34" s="18" t="n">
        <v>1.00462634</v>
      </c>
      <c r="R34" s="20" t="n">
        <v>0.42361553</v>
      </c>
    </row>
    <row r="35" spans="1:18">
      <c r="A35" s="15" t="s">
        <v>457</v>
      </c>
      <c r="B35" s="17" t="n">
        <v>6406</v>
      </c>
      <c r="C35" s="18">
        <f>(5635.0/B35*100)</f>
        <v/>
      </c>
      <c r="D35" s="19" t="n">
        <v>771</v>
      </c>
      <c r="E35" s="18" t="n">
        <v>16.32249553</v>
      </c>
      <c r="F35" s="20" t="n">
        <v>1.60942857</v>
      </c>
      <c r="G35" s="18" t="n">
        <v>83.37631777999999</v>
      </c>
      <c r="H35" s="20" t="n">
        <v>1.59980189</v>
      </c>
      <c r="I35" s="18" t="n">
        <v>0</v>
      </c>
      <c r="J35" s="20" t="n">
        <v>0</v>
      </c>
      <c r="K35" s="18" t="n">
        <v>0</v>
      </c>
      <c r="L35" s="20" t="n">
        <v>0</v>
      </c>
      <c r="M35" s="18" t="n">
        <v>0</v>
      </c>
      <c r="N35" s="20" t="n">
        <v>0</v>
      </c>
      <c r="O35" s="18" t="n">
        <v>0</v>
      </c>
      <c r="P35" s="20" t="n">
        <v>0</v>
      </c>
      <c r="Q35" s="18" t="n">
        <v>0.30118669</v>
      </c>
      <c r="R35" s="20" t="n">
        <v>0.21197923</v>
      </c>
    </row>
    <row r="36" spans="1:18">
      <c r="A36" s="15" t="s">
        <v>458</v>
      </c>
      <c r="B36" s="17" t="n">
        <v>6736</v>
      </c>
      <c r="C36" s="18">
        <f>(5934.0/B36*100)</f>
        <v/>
      </c>
      <c r="D36" s="19" t="n">
        <v>802</v>
      </c>
      <c r="E36" s="18" t="n">
        <v>18.65248292</v>
      </c>
      <c r="F36" s="20" t="n">
        <v>1.54290474</v>
      </c>
      <c r="G36" s="18" t="n">
        <v>80.27539399</v>
      </c>
      <c r="H36" s="20" t="n">
        <v>1.49084298</v>
      </c>
      <c r="I36" s="18" t="n">
        <v>0</v>
      </c>
      <c r="J36" s="20" t="n">
        <v>0</v>
      </c>
      <c r="K36" s="18" t="n">
        <v>0.31698394</v>
      </c>
      <c r="L36" s="20" t="n">
        <v>0.23614236</v>
      </c>
      <c r="M36" s="18" t="n">
        <v>0</v>
      </c>
      <c r="N36" s="20" t="n">
        <v>0</v>
      </c>
      <c r="O36" s="18" t="n">
        <v>0</v>
      </c>
      <c r="P36" s="20" t="n">
        <v>0</v>
      </c>
      <c r="Q36" s="18" t="n">
        <v>0.75513915</v>
      </c>
      <c r="R36" s="20" t="n">
        <v>0.25063304</v>
      </c>
    </row>
    <row r="37" spans="1:18">
      <c r="A37" s="15" t="s">
        <v>459</v>
      </c>
      <c r="B37" s="17" t="n">
        <v>5458</v>
      </c>
      <c r="C37" s="18">
        <f>(4776.0/B37*100)</f>
        <v/>
      </c>
      <c r="D37" s="19" t="n">
        <v>682</v>
      </c>
      <c r="E37" s="18" t="n">
        <v>11.38504697</v>
      </c>
      <c r="F37" s="20" t="n">
        <v>1.27666979</v>
      </c>
      <c r="G37" s="18" t="n">
        <v>86.94814018</v>
      </c>
      <c r="H37" s="20" t="n">
        <v>1.33398545</v>
      </c>
      <c r="I37" s="18" t="n">
        <v>0</v>
      </c>
      <c r="J37" s="20" t="n">
        <v>0</v>
      </c>
      <c r="K37" s="18" t="n">
        <v>0.92434001</v>
      </c>
      <c r="L37" s="20" t="n">
        <v>0.35535079</v>
      </c>
      <c r="M37" s="18" t="n">
        <v>0</v>
      </c>
      <c r="N37" s="20" t="n">
        <v>0</v>
      </c>
      <c r="O37" s="18" t="n">
        <v>0</v>
      </c>
      <c r="P37" s="20" t="n">
        <v>0</v>
      </c>
      <c r="Q37" s="18" t="n">
        <v>0.74247283</v>
      </c>
      <c r="R37" s="20" t="n">
        <v>0.32733713</v>
      </c>
    </row>
    <row r="38" spans="1:18">
      <c r="A38" s="15" t="s">
        <v>460</v>
      </c>
      <c r="B38" s="17" t="n">
        <v>5860</v>
      </c>
      <c r="C38" s="18">
        <f>(4905.0/B38*100)</f>
        <v/>
      </c>
      <c r="D38" s="19" t="n">
        <v>955</v>
      </c>
      <c r="E38" s="18" t="n">
        <v>17.48524946</v>
      </c>
      <c r="F38" s="20" t="n">
        <v>1.65422127</v>
      </c>
      <c r="G38" s="18" t="n">
        <v>81.48602471</v>
      </c>
      <c r="H38" s="20" t="n">
        <v>1.67891806</v>
      </c>
      <c r="I38" s="18" t="n">
        <v>0</v>
      </c>
      <c r="J38" s="20" t="n">
        <v>0</v>
      </c>
      <c r="K38" s="18" t="n">
        <v>0.46383508</v>
      </c>
      <c r="L38" s="20" t="n">
        <v>0.30357952</v>
      </c>
      <c r="M38" s="18" t="n">
        <v>0</v>
      </c>
      <c r="N38" s="20" t="n">
        <v>0</v>
      </c>
      <c r="O38" s="18" t="n">
        <v>0</v>
      </c>
      <c r="P38" s="20" t="n">
        <v>0</v>
      </c>
      <c r="Q38" s="18" t="n">
        <v>0.56489075</v>
      </c>
      <c r="R38" s="20" t="n">
        <v>0.24898922</v>
      </c>
    </row>
    <row r="39" spans="1:18">
      <c r="A39" s="15" t="s">
        <v>461</v>
      </c>
      <c r="B39" s="17" t="n">
        <v>5895</v>
      </c>
      <c r="C39" s="18">
        <f>(5176.0/B39*100)</f>
        <v/>
      </c>
      <c r="D39" s="19" t="n">
        <v>719</v>
      </c>
      <c r="E39" s="18" t="n">
        <v>18.25924347</v>
      </c>
      <c r="F39" s="20" t="n">
        <v>1.59658824</v>
      </c>
      <c r="G39" s="18" t="n">
        <v>79.76510436</v>
      </c>
      <c r="H39" s="20" t="n">
        <v>1.68861987</v>
      </c>
      <c r="I39" s="18" t="n">
        <v>0</v>
      </c>
      <c r="J39" s="20" t="n">
        <v>0</v>
      </c>
      <c r="K39" s="18" t="n">
        <v>0.22510678</v>
      </c>
      <c r="L39" s="20" t="n">
        <v>0.19903006</v>
      </c>
      <c r="M39" s="18" t="n">
        <v>0</v>
      </c>
      <c r="N39" s="20" t="n">
        <v>0</v>
      </c>
      <c r="O39" s="18" t="n">
        <v>0</v>
      </c>
      <c r="P39" s="20" t="n">
        <v>0</v>
      </c>
      <c r="Q39" s="18" t="n">
        <v>1.75054539</v>
      </c>
      <c r="R39" s="20" t="n">
        <v>0.48041022</v>
      </c>
    </row>
    <row r="40" spans="1:18">
      <c r="A40" s="15" t="s">
        <v>462</v>
      </c>
      <c r="B40" s="17" t="n">
        <v>14157</v>
      </c>
      <c r="C40" s="18">
        <f>(12443.0/B40*100)</f>
        <v/>
      </c>
      <c r="D40" s="19" t="n">
        <v>1714</v>
      </c>
      <c r="E40" s="18" t="n">
        <v>8.94953179</v>
      </c>
      <c r="F40" s="20" t="n">
        <v>1.10753818</v>
      </c>
      <c r="G40" s="18" t="n">
        <v>90.26529875</v>
      </c>
      <c r="H40" s="20" t="n">
        <v>1.1767273</v>
      </c>
      <c r="I40" s="18" t="n">
        <v>0</v>
      </c>
      <c r="J40" s="20" t="n">
        <v>0</v>
      </c>
      <c r="K40" s="18" t="n">
        <v>0.26273642</v>
      </c>
      <c r="L40" s="20" t="n">
        <v>0.18807964</v>
      </c>
      <c r="M40" s="18" t="n">
        <v>0</v>
      </c>
      <c r="N40" s="20" t="n">
        <v>0</v>
      </c>
      <c r="O40" s="18" t="n">
        <v>0</v>
      </c>
      <c r="P40" s="20" t="n">
        <v>0</v>
      </c>
      <c r="Q40" s="18" t="n">
        <v>0.52243304</v>
      </c>
      <c r="R40" s="20" t="n">
        <v>0.25462978</v>
      </c>
    </row>
    <row r="41" spans="1:18">
      <c r="A41" s="15" t="s">
        <v>463</v>
      </c>
      <c r="B41" s="17" t="n">
        <v>5712</v>
      </c>
      <c r="C41" s="18">
        <f>(5014.0/B41*100)</f>
        <v/>
      </c>
      <c r="D41" s="19" t="n">
        <v>698</v>
      </c>
      <c r="E41" s="18" t="n">
        <v>6.36143062</v>
      </c>
      <c r="F41" s="20" t="n">
        <v>0.92104831</v>
      </c>
      <c r="G41" s="18" t="n">
        <v>93.31487318000001</v>
      </c>
      <c r="H41" s="20" t="n">
        <v>0.95836022</v>
      </c>
      <c r="I41" s="18" t="n">
        <v>0</v>
      </c>
      <c r="J41" s="20" t="n">
        <v>0</v>
      </c>
      <c r="K41" s="18" t="n">
        <v>0</v>
      </c>
      <c r="L41" s="20" t="n">
        <v>0</v>
      </c>
      <c r="M41" s="18" t="n">
        <v>0</v>
      </c>
      <c r="N41" s="20" t="n">
        <v>0</v>
      </c>
      <c r="O41" s="18" t="n">
        <v>0</v>
      </c>
      <c r="P41" s="20" t="n">
        <v>0</v>
      </c>
      <c r="Q41" s="18" t="n">
        <v>0.3236962</v>
      </c>
      <c r="R41" s="20" t="n">
        <v>0.23542453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(20836.0/B46*100)</f>
        <v/>
      </c>
      <c r="D46" s="19" t="n">
        <v>2305</v>
      </c>
      <c r="E46" s="18" t="n">
        <v>31.08563704</v>
      </c>
      <c r="F46" s="20" t="n">
        <v>1.15925781</v>
      </c>
      <c r="G46" s="18" t="n">
        <v>66.32967135</v>
      </c>
      <c r="H46" s="20" t="n">
        <v>1.16786437</v>
      </c>
      <c r="I46" s="18" t="n">
        <v>0</v>
      </c>
      <c r="J46" s="20" t="n">
        <v>0</v>
      </c>
      <c r="K46" s="18" t="n">
        <v>1.25299017</v>
      </c>
      <c r="L46" s="20" t="n">
        <v>0.3279824</v>
      </c>
      <c r="M46" s="18" t="n">
        <v>0</v>
      </c>
      <c r="N46" s="20" t="n">
        <v>0</v>
      </c>
      <c r="O46" s="18" t="n">
        <v>0</v>
      </c>
      <c r="P46" s="20" t="n">
        <v>0</v>
      </c>
      <c r="Q46" s="18" t="n">
        <v>1.33170144</v>
      </c>
      <c r="R46" s="20" t="n">
        <v>0.29644299</v>
      </c>
    </row>
    <row r="47" spans="1:18">
      <c r="A47" s="15" t="s">
        <v>470</v>
      </c>
      <c r="B47" s="17" t="n">
        <v>5928</v>
      </c>
      <c r="C47" s="18">
        <f>(5190.0/B47*100)</f>
        <v/>
      </c>
      <c r="D47" s="19" t="n">
        <v>738</v>
      </c>
      <c r="E47" s="18" t="n">
        <v>27.93140505</v>
      </c>
      <c r="F47" s="20" t="n">
        <v>1.66354635</v>
      </c>
      <c r="G47" s="18" t="n">
        <v>70.15650601</v>
      </c>
      <c r="H47" s="20" t="n">
        <v>1.6636215</v>
      </c>
      <c r="I47" s="18" t="n">
        <v>0</v>
      </c>
      <c r="J47" s="20" t="n">
        <v>0</v>
      </c>
      <c r="K47" s="18" t="n">
        <v>0.26293423</v>
      </c>
      <c r="L47" s="20" t="n">
        <v>0.18204416</v>
      </c>
      <c r="M47" s="18" t="n">
        <v>0</v>
      </c>
      <c r="N47" s="20" t="n">
        <v>0</v>
      </c>
      <c r="O47" s="18" t="n">
        <v>0</v>
      </c>
      <c r="P47" s="20" t="n">
        <v>0</v>
      </c>
      <c r="Q47" s="18" t="n">
        <v>1.64915471</v>
      </c>
      <c r="R47" s="20" t="n">
        <v>0.5859695</v>
      </c>
    </row>
    <row r="48" spans="1:18">
      <c r="A48" s="15" t="s">
        <v>471</v>
      </c>
      <c r="B48" s="17" t="n">
        <v>9841</v>
      </c>
      <c r="C48" s="18">
        <f>(8634.0/B48*100)</f>
        <v/>
      </c>
      <c r="D48" s="19" t="n">
        <v>1207</v>
      </c>
      <c r="E48" s="18" t="n">
        <v>19.39401124</v>
      </c>
      <c r="F48" s="20" t="n">
        <v>1.77224856</v>
      </c>
      <c r="G48" s="18" t="n">
        <v>79.51292857999999</v>
      </c>
      <c r="H48" s="20" t="n">
        <v>1.76712832</v>
      </c>
      <c r="I48" s="18" t="n">
        <v>0</v>
      </c>
      <c r="J48" s="20" t="n">
        <v>0</v>
      </c>
      <c r="K48" s="18" t="n">
        <v>0.49701624</v>
      </c>
      <c r="L48" s="20" t="n">
        <v>0.28838085</v>
      </c>
      <c r="M48" s="18" t="n">
        <v>0</v>
      </c>
      <c r="N48" s="20" t="n">
        <v>0</v>
      </c>
      <c r="O48" s="18" t="n">
        <v>0</v>
      </c>
      <c r="P48" s="20" t="n">
        <v>0</v>
      </c>
      <c r="Q48" s="18" t="n">
        <v>0.59604394</v>
      </c>
      <c r="R48" s="20" t="n">
        <v>0.27201337</v>
      </c>
    </row>
    <row r="49" spans="1:18">
      <c r="A49" s="15" t="s">
        <v>472</v>
      </c>
      <c r="B49" s="17" t="n">
        <v>11795</v>
      </c>
      <c r="C49" s="18">
        <f>(10404.0/B49*100)</f>
        <v/>
      </c>
      <c r="D49" s="19" t="n">
        <v>1391</v>
      </c>
      <c r="E49" s="18" t="n">
        <v>26.3383734</v>
      </c>
      <c r="F49" s="20" t="n">
        <v>1.81013451</v>
      </c>
      <c r="G49" s="18" t="n">
        <v>69.80594861</v>
      </c>
      <c r="H49" s="20" t="n">
        <v>1.9672598</v>
      </c>
      <c r="I49" s="18" t="n">
        <v>0</v>
      </c>
      <c r="J49" s="20" t="n">
        <v>0</v>
      </c>
      <c r="K49" s="18" t="n">
        <v>1.93822338</v>
      </c>
      <c r="L49" s="20" t="n">
        <v>0.54268792</v>
      </c>
      <c r="M49" s="18" t="n">
        <v>0</v>
      </c>
      <c r="N49" s="20" t="n">
        <v>0</v>
      </c>
      <c r="O49" s="18" t="n">
        <v>0</v>
      </c>
      <c r="P49" s="20" t="n">
        <v>0</v>
      </c>
      <c r="Q49" s="18" t="n">
        <v>1.91745461</v>
      </c>
      <c r="R49" s="20" t="n">
        <v>0.52531731</v>
      </c>
    </row>
    <row r="50" spans="1:18">
      <c r="A50" s="15" t="s">
        <v>473</v>
      </c>
      <c r="B50" s="17" t="n">
        <v>6866</v>
      </c>
      <c r="C50" s="18">
        <f>(6142.0/B50*100)</f>
        <v/>
      </c>
      <c r="D50" s="19" t="n">
        <v>724</v>
      </c>
      <c r="E50" s="18" t="n">
        <v>23.05813986</v>
      </c>
      <c r="F50" s="20" t="n">
        <v>1.56542119</v>
      </c>
      <c r="G50" s="18" t="n">
        <v>74.37271416</v>
      </c>
      <c r="H50" s="20" t="n">
        <v>1.71418036</v>
      </c>
      <c r="I50" s="18" t="n">
        <v>0</v>
      </c>
      <c r="J50" s="20" t="n">
        <v>0</v>
      </c>
      <c r="K50" s="18" t="n">
        <v>0.6092484500000001</v>
      </c>
      <c r="L50" s="20" t="n">
        <v>0.26876161</v>
      </c>
      <c r="M50" s="18" t="n">
        <v>0</v>
      </c>
      <c r="N50" s="20" t="n">
        <v>0</v>
      </c>
      <c r="O50" s="18" t="n">
        <v>0</v>
      </c>
      <c r="P50" s="20" t="n">
        <v>0</v>
      </c>
      <c r="Q50" s="18" t="n">
        <v>1.95989754</v>
      </c>
      <c r="R50" s="20" t="n">
        <v>0.55293514</v>
      </c>
    </row>
    <row r="51" spans="1:18">
      <c r="A51" s="15" t="s">
        <v>474</v>
      </c>
      <c r="B51" s="17" t="n">
        <v>5809</v>
      </c>
      <c r="C51" s="18">
        <f>(5082.0/B51*100)</f>
        <v/>
      </c>
      <c r="D51" s="19" t="n">
        <v>727</v>
      </c>
      <c r="E51" s="18" t="n">
        <v>11.74517462</v>
      </c>
      <c r="F51" s="20" t="n">
        <v>1.17074704</v>
      </c>
      <c r="G51" s="18" t="n">
        <v>87.41501181</v>
      </c>
      <c r="H51" s="20" t="n">
        <v>1.2413183</v>
      </c>
      <c r="I51" s="18" t="n">
        <v>0</v>
      </c>
      <c r="J51" s="20" t="n">
        <v>0</v>
      </c>
      <c r="K51" s="18" t="n">
        <v>0</v>
      </c>
      <c r="L51" s="20" t="n">
        <v>0</v>
      </c>
      <c r="M51" s="18" t="n">
        <v>0</v>
      </c>
      <c r="N51" s="20" t="n">
        <v>0</v>
      </c>
      <c r="O51" s="18" t="n">
        <v>0</v>
      </c>
      <c r="P51" s="20" t="n">
        <v>0</v>
      </c>
      <c r="Q51" s="18" t="n">
        <v>0.83981357</v>
      </c>
      <c r="R51" s="20" t="n">
        <v>0.3544328</v>
      </c>
    </row>
    <row r="52" spans="1:18">
      <c r="A52" s="15" t="s">
        <v>475</v>
      </c>
      <c r="B52" s="17" t="n">
        <v>5571</v>
      </c>
      <c r="C52" s="18">
        <f>(4910.0/B52*100)</f>
        <v/>
      </c>
      <c r="D52" s="19" t="n">
        <v>661</v>
      </c>
      <c r="E52" s="18" t="n">
        <v>24.9544187</v>
      </c>
      <c r="F52" s="20" t="n">
        <v>1.56291662</v>
      </c>
      <c r="G52" s="18" t="n">
        <v>72.64982608</v>
      </c>
      <c r="H52" s="20" t="n">
        <v>1.59204243</v>
      </c>
      <c r="I52" s="18" t="n">
        <v>0</v>
      </c>
      <c r="J52" s="20" t="n">
        <v>0</v>
      </c>
      <c r="K52" s="18" t="n">
        <v>0.42797581</v>
      </c>
      <c r="L52" s="20" t="n">
        <v>0.24453172</v>
      </c>
      <c r="M52" s="18" t="n">
        <v>0</v>
      </c>
      <c r="N52" s="20" t="n">
        <v>0</v>
      </c>
      <c r="O52" s="18" t="n">
        <v>0</v>
      </c>
      <c r="P52" s="20" t="n">
        <v>0</v>
      </c>
      <c r="Q52" s="18" t="n">
        <v>1.96777941</v>
      </c>
      <c r="R52" s="20" t="n">
        <v>0.4926781</v>
      </c>
    </row>
    <row r="53" spans="1:18">
      <c r="A53" s="15" t="s">
        <v>476</v>
      </c>
      <c r="B53" s="17" t="n">
        <v>4740</v>
      </c>
      <c r="C53" s="18">
        <f>(3978.0/B53*100)</f>
        <v/>
      </c>
      <c r="D53" s="19" t="n">
        <v>762</v>
      </c>
      <c r="E53" s="18" t="n">
        <v>27.822779</v>
      </c>
      <c r="F53" s="20" t="n">
        <v>1.49531193</v>
      </c>
      <c r="G53" s="18" t="n">
        <v>52.18452454</v>
      </c>
      <c r="H53" s="20" t="n">
        <v>1.9835095</v>
      </c>
      <c r="I53" s="18" t="n">
        <v>0</v>
      </c>
      <c r="J53" s="20" t="n">
        <v>0</v>
      </c>
      <c r="K53" s="18" t="n">
        <v>15.27265453</v>
      </c>
      <c r="L53" s="20" t="n">
        <v>1.37542694</v>
      </c>
      <c r="M53" s="18" t="n">
        <v>0</v>
      </c>
      <c r="N53" s="20" t="n">
        <v>0</v>
      </c>
      <c r="O53" s="18" t="n">
        <v>0</v>
      </c>
      <c r="P53" s="20" t="n">
        <v>0</v>
      </c>
      <c r="Q53" s="18" t="n">
        <v>4.72004193</v>
      </c>
      <c r="R53" s="20" t="n">
        <v>0.67158388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(4710.0/B55*100)</f>
        <v/>
      </c>
      <c r="D55" s="19" t="n">
        <v>649</v>
      </c>
      <c r="E55" s="18" t="n">
        <v>8.861464120000001</v>
      </c>
      <c r="F55" s="20" t="n">
        <v>1.16552518</v>
      </c>
      <c r="G55" s="18" t="n">
        <v>90.50857861999999</v>
      </c>
      <c r="H55" s="20" t="n">
        <v>1.23404281</v>
      </c>
      <c r="I55" s="18" t="n">
        <v>0</v>
      </c>
      <c r="J55" s="20" t="n">
        <v>0</v>
      </c>
      <c r="K55" s="18" t="n">
        <v>0.35010085</v>
      </c>
      <c r="L55" s="20" t="n">
        <v>0.26221409</v>
      </c>
      <c r="M55" s="18" t="n">
        <v>0</v>
      </c>
      <c r="N55" s="20" t="n">
        <v>0</v>
      </c>
      <c r="O55" s="18" t="n">
        <v>0</v>
      </c>
      <c r="P55" s="20" t="n">
        <v>0</v>
      </c>
      <c r="Q55" s="18" t="n">
        <v>0.27985642</v>
      </c>
      <c r="R55" s="20" t="n">
        <v>0.19747625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(5751.0/B61*100)</f>
        <v/>
      </c>
      <c r="D61" s="19" t="n">
        <v>774</v>
      </c>
      <c r="E61" s="18" t="n">
        <v>18.38419804</v>
      </c>
      <c r="F61" s="20" t="n">
        <v>1.52762755</v>
      </c>
      <c r="G61" s="18" t="n">
        <v>80.92162482000001</v>
      </c>
      <c r="H61" s="20" t="n">
        <v>1.60489021</v>
      </c>
      <c r="I61" s="18" t="n">
        <v>0</v>
      </c>
      <c r="J61" s="20" t="n">
        <v>0</v>
      </c>
      <c r="K61" s="18" t="n">
        <v>0.20765916</v>
      </c>
      <c r="L61" s="20" t="n">
        <v>0.1455857</v>
      </c>
      <c r="M61" s="18" t="n">
        <v>0</v>
      </c>
      <c r="N61" s="20" t="n">
        <v>0</v>
      </c>
      <c r="O61" s="18" t="n">
        <v>0</v>
      </c>
      <c r="P61" s="20" t="n">
        <v>0</v>
      </c>
      <c r="Q61" s="18" t="n">
        <v>0.48651798</v>
      </c>
      <c r="R61" s="20" t="n">
        <v>0.2798696</v>
      </c>
    </row>
    <row r="62" spans="1:18">
      <c r="A62" s="15" t="s">
        <v>486</v>
      </c>
      <c r="B62" s="17" t="n">
        <v>4476</v>
      </c>
      <c r="C62" s="18">
        <f>(3933.0/B62*100)</f>
        <v/>
      </c>
      <c r="D62" s="19" t="n">
        <v>543</v>
      </c>
      <c r="E62" s="18" t="n">
        <v>11.65128039</v>
      </c>
      <c r="F62" s="20" t="n">
        <v>1.52544314</v>
      </c>
      <c r="G62" s="18" t="n">
        <v>88.34871961</v>
      </c>
      <c r="H62" s="20" t="n">
        <v>1.52544314</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(4985.0/B67*100)</f>
        <v/>
      </c>
      <c r="D67" s="19" t="n">
        <v>680</v>
      </c>
      <c r="E67" s="18" t="n">
        <v>26.09821622</v>
      </c>
      <c r="F67" s="20" t="n">
        <v>1.85885962</v>
      </c>
      <c r="G67" s="18" t="n">
        <v>71.03751167999999</v>
      </c>
      <c r="H67" s="20" t="n">
        <v>1.90187778</v>
      </c>
      <c r="I67" s="18" t="n">
        <v>0</v>
      </c>
      <c r="J67" s="20" t="n">
        <v>0</v>
      </c>
      <c r="K67" s="18" t="n">
        <v>0.38386998</v>
      </c>
      <c r="L67" s="20" t="n">
        <v>0.22261404</v>
      </c>
      <c r="M67" s="18" t="n">
        <v>0</v>
      </c>
      <c r="N67" s="20" t="n">
        <v>0</v>
      </c>
      <c r="O67" s="18" t="n">
        <v>0</v>
      </c>
      <c r="P67" s="20" t="n">
        <v>0</v>
      </c>
      <c r="Q67" s="18" t="n">
        <v>2.48040212</v>
      </c>
      <c r="R67" s="20" t="n">
        <v>0.58221157</v>
      </c>
    </row>
    <row r="68" spans="1:18">
      <c r="A68" s="15" t="s">
        <v>492</v>
      </c>
      <c r="B68" s="17" t="n">
        <v>6971</v>
      </c>
      <c r="C68" s="18">
        <f>(6222.0/B68*100)</f>
        <v/>
      </c>
      <c r="D68" s="19" t="n">
        <v>749</v>
      </c>
      <c r="E68" s="18" t="n">
        <v>23.74498478</v>
      </c>
      <c r="F68" s="20" t="n">
        <v>1.79128595</v>
      </c>
      <c r="G68" s="18" t="n">
        <v>75.12652128000001</v>
      </c>
      <c r="H68" s="20" t="n">
        <v>1.84335668</v>
      </c>
      <c r="I68" s="18" t="n">
        <v>0</v>
      </c>
      <c r="J68" s="20" t="n">
        <v>0</v>
      </c>
      <c r="K68" s="18" t="n">
        <v>0.2396056</v>
      </c>
      <c r="L68" s="20" t="n">
        <v>0.17455822</v>
      </c>
      <c r="M68" s="18" t="n">
        <v>0</v>
      </c>
      <c r="N68" s="20" t="n">
        <v>0</v>
      </c>
      <c r="O68" s="18" t="n">
        <v>0</v>
      </c>
      <c r="P68" s="20" t="n">
        <v>0</v>
      </c>
      <c r="Q68" s="18" t="n">
        <v>0.8888883400000001</v>
      </c>
      <c r="R68" s="20" t="n">
        <v>0.31067867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(10072.0/B70*100)</f>
        <v/>
      </c>
      <c r="D70" s="19" t="n">
        <v>2011</v>
      </c>
      <c r="E70" s="18" t="n">
        <v>19.17752798</v>
      </c>
      <c r="F70" s="20" t="n">
        <v>0.91486585</v>
      </c>
      <c r="G70" s="18" t="n">
        <v>75.0363152</v>
      </c>
      <c r="H70" s="20" t="n">
        <v>0.91905295</v>
      </c>
      <c r="I70" s="18" t="n">
        <v>0</v>
      </c>
      <c r="J70" s="20" t="n">
        <v>0</v>
      </c>
      <c r="K70" s="18" t="n">
        <v>2.2907667</v>
      </c>
      <c r="L70" s="20" t="n">
        <v>0.36580976</v>
      </c>
      <c r="M70" s="18" t="n">
        <v>0</v>
      </c>
      <c r="N70" s="20" t="n">
        <v>0</v>
      </c>
      <c r="O70" s="18" t="n">
        <v>0</v>
      </c>
      <c r="P70" s="20" t="n">
        <v>0</v>
      </c>
      <c r="Q70" s="18" t="n">
        <v>3.49539012</v>
      </c>
      <c r="R70" s="20" t="n">
        <v>0.44959629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(5334.0/B72*100)</f>
        <v/>
      </c>
      <c r="D72" s="19" t="n">
        <v>702</v>
      </c>
      <c r="E72" s="18" t="n">
        <v>15.51974876</v>
      </c>
      <c r="F72" s="20" t="n">
        <v>1.52538937</v>
      </c>
      <c r="G72" s="18" t="n">
        <v>83.64021611</v>
      </c>
      <c r="H72" s="20" t="n">
        <v>1.54461981</v>
      </c>
      <c r="I72" s="18" t="n">
        <v>0</v>
      </c>
      <c r="J72" s="20" t="n">
        <v>0</v>
      </c>
      <c r="K72" s="18" t="n">
        <v>0.6456649800000001</v>
      </c>
      <c r="L72" s="20" t="n">
        <v>0.42365962</v>
      </c>
      <c r="M72" s="18" t="n">
        <v>0</v>
      </c>
      <c r="N72" s="20" t="n">
        <v>0</v>
      </c>
      <c r="O72" s="18" t="n">
        <v>0</v>
      </c>
      <c r="P72" s="20" t="n">
        <v>0</v>
      </c>
      <c r="Q72" s="18" t="n">
        <v>0.19437015</v>
      </c>
      <c r="R72" s="20" t="n">
        <v>0.13741836</v>
      </c>
    </row>
    <row r="73" spans="1:18">
      <c r="A73" s="15" t="s">
        <v>497</v>
      </c>
      <c r="B73" s="17" t="n">
        <v>6115</v>
      </c>
      <c r="C73" s="18">
        <f>(5374.0/B73*100)</f>
        <v/>
      </c>
      <c r="D73" s="19" t="n">
        <v>741</v>
      </c>
      <c r="E73" s="18" t="n">
        <v>8.860276349999999</v>
      </c>
      <c r="F73" s="20" t="n">
        <v>1.13439068</v>
      </c>
      <c r="G73" s="18" t="n">
        <v>91.01766714999999</v>
      </c>
      <c r="H73" s="20" t="n">
        <v>1.13894047</v>
      </c>
      <c r="I73" s="18" t="n">
        <v>0</v>
      </c>
      <c r="J73" s="20" t="n">
        <v>0</v>
      </c>
      <c r="K73" s="18" t="n">
        <v>0.1220565</v>
      </c>
      <c r="L73" s="20" t="n">
        <v>0.12209462</v>
      </c>
      <c r="M73" s="18" t="n">
        <v>0</v>
      </c>
      <c r="N73" s="20" t="n">
        <v>0</v>
      </c>
      <c r="O73" s="18" t="n">
        <v>0</v>
      </c>
      <c r="P73" s="20" t="n">
        <v>0</v>
      </c>
      <c r="Q73" s="18" t="n">
        <v>0</v>
      </c>
      <c r="R73" s="20" t="n">
        <v>0</v>
      </c>
    </row>
    <row r="74" spans="1:18">
      <c r="A74" s="15" t="s">
        <v>498</v>
      </c>
      <c r="B74" s="17" t="n">
        <v>7708</v>
      </c>
      <c r="C74" s="18">
        <f>(6758.0/B74*100)</f>
        <v/>
      </c>
      <c r="D74" s="19" t="n">
        <v>950</v>
      </c>
      <c r="E74" s="18" t="n">
        <v>12.7745282</v>
      </c>
      <c r="F74" s="20" t="n">
        <v>1.01249334</v>
      </c>
      <c r="G74" s="18" t="n">
        <v>86.89241371999999</v>
      </c>
      <c r="H74" s="20" t="n">
        <v>0.97845844</v>
      </c>
      <c r="I74" s="18" t="n">
        <v>0</v>
      </c>
      <c r="J74" s="20" t="n">
        <v>0</v>
      </c>
      <c r="K74" s="18" t="n">
        <v>0.07278522</v>
      </c>
      <c r="L74" s="20" t="n">
        <v>0.07479101</v>
      </c>
      <c r="M74" s="18" t="n">
        <v>0</v>
      </c>
      <c r="N74" s="20" t="n">
        <v>0</v>
      </c>
      <c r="O74" s="18" t="n">
        <v>0</v>
      </c>
      <c r="P74" s="20" t="n">
        <v>0</v>
      </c>
      <c r="Q74" s="18" t="n">
        <v>0.26027287</v>
      </c>
      <c r="R74" s="20" t="n">
        <v>0.17411392</v>
      </c>
    </row>
    <row r="75" spans="1:18">
      <c r="A75" s="15" t="s">
        <v>499</v>
      </c>
      <c r="B75" s="17" t="n">
        <v>8249</v>
      </c>
      <c r="C75" s="18">
        <f>(7279.0/B75*100)</f>
        <v/>
      </c>
      <c r="D75" s="19" t="n">
        <v>970</v>
      </c>
      <c r="E75" s="18" t="n">
        <v>13.31694898</v>
      </c>
      <c r="F75" s="20" t="n">
        <v>1.39516292</v>
      </c>
      <c r="G75" s="18" t="n">
        <v>86.13390305</v>
      </c>
      <c r="H75" s="20" t="n">
        <v>1.34493194</v>
      </c>
      <c r="I75" s="18" t="n">
        <v>0</v>
      </c>
      <c r="J75" s="20" t="n">
        <v>0</v>
      </c>
      <c r="K75" s="18" t="n">
        <v>0</v>
      </c>
      <c r="L75" s="20" t="n">
        <v>0</v>
      </c>
      <c r="M75" s="18" t="n">
        <v>0</v>
      </c>
      <c r="N75" s="20" t="n">
        <v>0</v>
      </c>
      <c r="O75" s="18" t="n">
        <v>0</v>
      </c>
      <c r="P75" s="20" t="n">
        <v>0</v>
      </c>
      <c r="Q75" s="18" t="n">
        <v>0.54914797</v>
      </c>
      <c r="R75" s="20" t="n">
        <v>0.35050948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(4805.0/B77*100)</f>
        <v/>
      </c>
      <c r="D77" s="19" t="n">
        <v>570</v>
      </c>
      <c r="E77" s="18" t="n">
        <v>34.01154701</v>
      </c>
      <c r="F77" s="20" t="n">
        <v>2.00053465</v>
      </c>
      <c r="G77" s="18" t="n">
        <v>57.59555247</v>
      </c>
      <c r="H77" s="20" t="n">
        <v>2.19679482</v>
      </c>
      <c r="I77" s="18" t="n">
        <v>0</v>
      </c>
      <c r="J77" s="20" t="n">
        <v>0</v>
      </c>
      <c r="K77" s="18" t="n">
        <v>4.68162621</v>
      </c>
      <c r="L77" s="20" t="n">
        <v>0.9285104199999999</v>
      </c>
      <c r="M77" s="18" t="n">
        <v>0</v>
      </c>
      <c r="N77" s="20" t="n">
        <v>0</v>
      </c>
      <c r="O77" s="18" t="n">
        <v>0</v>
      </c>
      <c r="P77" s="20" t="n">
        <v>0</v>
      </c>
      <c r="Q77" s="18" t="n">
        <v>3.71127431</v>
      </c>
      <c r="R77" s="20" t="n">
        <v>0.83856145</v>
      </c>
    </row>
    <row r="78" spans="1:18">
      <c r="A78" s="15" t="s">
        <v>502</v>
      </c>
      <c r="B78" s="17" t="n">
        <v>14167</v>
      </c>
      <c r="C78" s="18">
        <f>(12487.0/B78*100)</f>
        <v/>
      </c>
      <c r="D78" s="19" t="n">
        <v>1680</v>
      </c>
      <c r="E78" s="18" t="n">
        <v>16.19457729</v>
      </c>
      <c r="F78" s="20" t="n">
        <v>1.12911774</v>
      </c>
      <c r="G78" s="18" t="n">
        <v>80.61190831</v>
      </c>
      <c r="H78" s="20" t="n">
        <v>1.28580422</v>
      </c>
      <c r="I78" s="18" t="n">
        <v>0</v>
      </c>
      <c r="J78" s="20" t="n">
        <v>0</v>
      </c>
      <c r="K78" s="18" t="n">
        <v>1.10789172</v>
      </c>
      <c r="L78" s="20" t="n">
        <v>0.33878756</v>
      </c>
      <c r="M78" s="18" t="n">
        <v>0</v>
      </c>
      <c r="N78" s="20" t="n">
        <v>0</v>
      </c>
      <c r="O78" s="18" t="n">
        <v>0</v>
      </c>
      <c r="P78" s="20" t="n">
        <v>0</v>
      </c>
      <c r="Q78" s="18" t="n">
        <v>2.08562267</v>
      </c>
      <c r="R78" s="20" t="n">
        <v>0.52212991</v>
      </c>
    </row>
    <row r="79" spans="1:18">
      <c r="A79" s="15" t="s">
        <v>503</v>
      </c>
      <c r="B79" s="17" t="n">
        <v>6062</v>
      </c>
      <c r="C79" s="18">
        <f>(5351.0/B79*100)</f>
        <v/>
      </c>
      <c r="D79" s="19" t="n">
        <v>711</v>
      </c>
      <c r="E79" s="18" t="n">
        <v>27.61018911</v>
      </c>
      <c r="F79" s="20" t="n">
        <v>1.94718489</v>
      </c>
      <c r="G79" s="18" t="n">
        <v>70.08827970999999</v>
      </c>
      <c r="H79" s="20" t="n">
        <v>1.800662</v>
      </c>
      <c r="I79" s="18" t="n">
        <v>0</v>
      </c>
      <c r="J79" s="20" t="n">
        <v>0</v>
      </c>
      <c r="K79" s="18" t="n">
        <v>0.60745756</v>
      </c>
      <c r="L79" s="20" t="n">
        <v>0.29624929</v>
      </c>
      <c r="M79" s="18" t="n">
        <v>0</v>
      </c>
      <c r="N79" s="20" t="n">
        <v>0</v>
      </c>
      <c r="O79" s="18" t="n">
        <v>0</v>
      </c>
      <c r="P79" s="20" t="n">
        <v>0</v>
      </c>
      <c r="Q79" s="18" t="n">
        <v>1.69407363</v>
      </c>
      <c r="R79" s="20" t="n">
        <v>0.5352985099999999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(28357.0/B82*100)</f>
        <v/>
      </c>
      <c r="D82" s="19" t="n">
        <v>3973</v>
      </c>
      <c r="E82" s="18" t="n">
        <v>19.81332093</v>
      </c>
      <c r="F82" s="20" t="n">
        <v>0.92870112</v>
      </c>
      <c r="G82" s="18" t="n">
        <v>79.39367457</v>
      </c>
      <c r="H82" s="20" t="n">
        <v>0.9114614599999999</v>
      </c>
      <c r="I82" s="18" t="n">
        <v>0</v>
      </c>
      <c r="J82" s="20" t="n">
        <v>0</v>
      </c>
      <c r="K82" s="18" t="n">
        <v>0.15111722</v>
      </c>
      <c r="L82" s="20" t="n">
        <v>0.08230772</v>
      </c>
      <c r="M82" s="18" t="n">
        <v>0</v>
      </c>
      <c r="N82" s="20" t="n">
        <v>0</v>
      </c>
      <c r="O82" s="18" t="n">
        <v>0</v>
      </c>
      <c r="P82" s="20" t="n">
        <v>0</v>
      </c>
      <c r="Q82" s="18" t="n">
        <v>0.64188729</v>
      </c>
      <c r="R82" s="20" t="n">
        <v>0.20761603</v>
      </c>
    </row>
    <row r="83" spans="1:18">
      <c r="A83" s="15" t="s">
        <v>507</v>
      </c>
      <c r="B83" s="17" t="n">
        <v>1652</v>
      </c>
      <c r="C83" s="18">
        <f>(1462.0/B83*100)</f>
        <v/>
      </c>
      <c r="D83" s="19" t="n">
        <v>190</v>
      </c>
      <c r="E83" s="18" t="n">
        <v>7.20819659</v>
      </c>
      <c r="F83" s="20" t="n">
        <v>2.17085237</v>
      </c>
      <c r="G83" s="18" t="n">
        <v>92.79180341</v>
      </c>
      <c r="H83" s="20" t="n">
        <v>2.17085237</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(1663.0/B84*100)</f>
        <v/>
      </c>
      <c r="D84" s="19" t="n">
        <v>224</v>
      </c>
      <c r="E84" s="18" t="n">
        <v>4.30736872</v>
      </c>
      <c r="F84" s="20" t="n">
        <v>1.57716156</v>
      </c>
      <c r="G84" s="18" t="n">
        <v>95.23369837</v>
      </c>
      <c r="H84" s="20" t="n">
        <v>1.63198129</v>
      </c>
      <c r="I84" s="18" t="n">
        <v>0</v>
      </c>
      <c r="J84" s="20" t="n">
        <v>0</v>
      </c>
      <c r="K84" s="18" t="n">
        <v>0</v>
      </c>
      <c r="L84" s="20" t="n">
        <v>0</v>
      </c>
      <c r="M84" s="18" t="n">
        <v>0</v>
      </c>
      <c r="N84" s="20" t="n">
        <v>0</v>
      </c>
      <c r="O84" s="18" t="n">
        <v>0</v>
      </c>
      <c r="P84" s="20" t="n">
        <v>0</v>
      </c>
      <c r="Q84" s="18" t="n">
        <v>0.45893291</v>
      </c>
      <c r="R84" s="20" t="n">
        <v>0.44769025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(12778.0/B7*100)</f>
        <v/>
      </c>
      <c r="D7" s="19" t="n">
        <v>1752</v>
      </c>
      <c r="E7" s="18" t="n">
        <v>48.59981225</v>
      </c>
      <c r="F7" s="20" t="n">
        <v>1.18241111</v>
      </c>
      <c r="G7" s="18" t="n">
        <v>49.79274373</v>
      </c>
      <c r="H7" s="20" t="n">
        <v>1.20584293</v>
      </c>
      <c r="I7" s="18" t="n">
        <v>0</v>
      </c>
      <c r="J7" s="20" t="n">
        <v>0</v>
      </c>
      <c r="K7" s="18" t="n">
        <v>0.78736744</v>
      </c>
      <c r="L7" s="20" t="n">
        <v>0.22469077</v>
      </c>
      <c r="M7" s="18" t="n">
        <v>0</v>
      </c>
      <c r="N7" s="20" t="n">
        <v>0</v>
      </c>
      <c r="O7" s="18" t="n">
        <v>0</v>
      </c>
      <c r="P7" s="20" t="n">
        <v>0</v>
      </c>
      <c r="Q7" s="18" t="n">
        <v>0.82007657</v>
      </c>
      <c r="R7" s="20" t="n">
        <v>0.22844984</v>
      </c>
    </row>
    <row r="8" spans="1:18">
      <c r="A8" s="15" t="s">
        <v>430</v>
      </c>
      <c r="B8" s="17" t="n">
        <v>7007</v>
      </c>
      <c r="C8" s="18">
        <f>(6159.0/B8*100)</f>
        <v/>
      </c>
      <c r="D8" s="19" t="n">
        <v>848</v>
      </c>
      <c r="E8" s="18" t="n">
        <v>37.67467355</v>
      </c>
      <c r="F8" s="20" t="n">
        <v>1.76435304</v>
      </c>
      <c r="G8" s="18" t="n">
        <v>61.245521</v>
      </c>
      <c r="H8" s="20" t="n">
        <v>1.83536987</v>
      </c>
      <c r="I8" s="18" t="n">
        <v>0</v>
      </c>
      <c r="J8" s="20" t="n">
        <v>0</v>
      </c>
      <c r="K8" s="18" t="n">
        <v>0.15103377</v>
      </c>
      <c r="L8" s="20" t="n">
        <v>0.10833185</v>
      </c>
      <c r="M8" s="18" t="n">
        <v>0</v>
      </c>
      <c r="N8" s="20" t="n">
        <v>0</v>
      </c>
      <c r="O8" s="18" t="n">
        <v>0</v>
      </c>
      <c r="P8" s="20" t="n">
        <v>0</v>
      </c>
      <c r="Q8" s="18" t="n">
        <v>0.92877168</v>
      </c>
      <c r="R8" s="20" t="n">
        <v>0.36434434</v>
      </c>
    </row>
    <row r="9" spans="1:18">
      <c r="A9" s="15" t="s">
        <v>431</v>
      </c>
      <c r="B9" s="17" t="n">
        <v>9651</v>
      </c>
      <c r="C9" s="18">
        <f>(8515.0/B9*100)</f>
        <v/>
      </c>
      <c r="D9" s="19" t="n">
        <v>1136</v>
      </c>
      <c r="E9" s="18" t="n">
        <v>34.21051057</v>
      </c>
      <c r="F9" s="20" t="n">
        <v>1.51305561</v>
      </c>
      <c r="G9" s="18" t="n">
        <v>64.64452967</v>
      </c>
      <c r="H9" s="20" t="n">
        <v>1.61748022</v>
      </c>
      <c r="I9" s="18" t="n">
        <v>0</v>
      </c>
      <c r="J9" s="20" t="n">
        <v>0</v>
      </c>
      <c r="K9" s="18" t="n">
        <v>0.20381202</v>
      </c>
      <c r="L9" s="20" t="n">
        <v>0.14793743</v>
      </c>
      <c r="M9" s="18" t="n">
        <v>0</v>
      </c>
      <c r="N9" s="20" t="n">
        <v>0</v>
      </c>
      <c r="O9" s="18" t="n">
        <v>0</v>
      </c>
      <c r="P9" s="20" t="n">
        <v>0</v>
      </c>
      <c r="Q9" s="18" t="n">
        <v>0.94114774</v>
      </c>
      <c r="R9" s="20" t="n">
        <v>0.27933515</v>
      </c>
    </row>
    <row r="10" spans="1:18">
      <c r="A10" s="15" t="s">
        <v>432</v>
      </c>
      <c r="B10" s="17" t="n">
        <v>20058</v>
      </c>
      <c r="C10" s="18">
        <f>(17623.0/B10*100)</f>
        <v/>
      </c>
      <c r="D10" s="19" t="n">
        <v>2435</v>
      </c>
      <c r="E10" s="18" t="n">
        <v>38.73514539</v>
      </c>
      <c r="F10" s="20" t="n">
        <v>1.67614747</v>
      </c>
      <c r="G10" s="18" t="n">
        <v>60.29609359</v>
      </c>
      <c r="H10" s="20" t="n">
        <v>1.76134678</v>
      </c>
      <c r="I10" s="18" t="n">
        <v>0</v>
      </c>
      <c r="J10" s="20" t="n">
        <v>0</v>
      </c>
      <c r="K10" s="18" t="n">
        <v>0.36753315</v>
      </c>
      <c r="L10" s="20" t="n">
        <v>0.16052032</v>
      </c>
      <c r="M10" s="18" t="n">
        <v>0</v>
      </c>
      <c r="N10" s="20" t="n">
        <v>0</v>
      </c>
      <c r="O10" s="18" t="n">
        <v>0</v>
      </c>
      <c r="P10" s="20" t="n">
        <v>0</v>
      </c>
      <c r="Q10" s="18" t="n">
        <v>0.60122787</v>
      </c>
      <c r="R10" s="20" t="n">
        <v>0.16137735</v>
      </c>
    </row>
    <row r="11" spans="1:18">
      <c r="A11" s="15" t="s">
        <v>433</v>
      </c>
      <c r="B11" s="17" t="n">
        <v>7053</v>
      </c>
      <c r="C11" s="18">
        <f>(6225.0/B11*100)</f>
        <v/>
      </c>
      <c r="D11" s="19" t="n">
        <v>828</v>
      </c>
      <c r="E11" s="18" t="n">
        <v>55.38046637</v>
      </c>
      <c r="F11" s="20" t="n">
        <v>2.03691117</v>
      </c>
      <c r="G11" s="18" t="n">
        <v>42.21959225</v>
      </c>
      <c r="H11" s="20" t="n">
        <v>2.07502706</v>
      </c>
      <c r="I11" s="18" t="n">
        <v>0</v>
      </c>
      <c r="J11" s="20" t="n">
        <v>0</v>
      </c>
      <c r="K11" s="18" t="n">
        <v>1.19698921</v>
      </c>
      <c r="L11" s="20" t="n">
        <v>0.44936193</v>
      </c>
      <c r="M11" s="18" t="n">
        <v>0</v>
      </c>
      <c r="N11" s="20" t="n">
        <v>0</v>
      </c>
      <c r="O11" s="18" t="n">
        <v>0</v>
      </c>
      <c r="P11" s="20" t="n">
        <v>0</v>
      </c>
      <c r="Q11" s="18" t="n">
        <v>1.20295217</v>
      </c>
      <c r="R11" s="20" t="n">
        <v>0.39756341</v>
      </c>
    </row>
    <row r="12" spans="1:18">
      <c r="A12" s="15" t="s">
        <v>434</v>
      </c>
      <c r="B12" s="17" t="n">
        <v>6894</v>
      </c>
      <c r="C12" s="18">
        <f>(6140.0/B12*100)</f>
        <v/>
      </c>
      <c r="D12" s="19" t="n">
        <v>754</v>
      </c>
      <c r="E12" s="18" t="n">
        <v>46.07517398</v>
      </c>
      <c r="F12" s="20" t="n">
        <v>2.11832179</v>
      </c>
      <c r="G12" s="18" t="n">
        <v>53.28418</v>
      </c>
      <c r="H12" s="20" t="n">
        <v>2.15622327</v>
      </c>
      <c r="I12" s="18" t="n">
        <v>0</v>
      </c>
      <c r="J12" s="20" t="n">
        <v>0</v>
      </c>
      <c r="K12" s="18" t="n">
        <v>0.39526084</v>
      </c>
      <c r="L12" s="20" t="n">
        <v>0.42675312</v>
      </c>
      <c r="M12" s="18" t="n">
        <v>0</v>
      </c>
      <c r="N12" s="20" t="n">
        <v>0</v>
      </c>
      <c r="O12" s="18" t="n">
        <v>0</v>
      </c>
      <c r="P12" s="20" t="n">
        <v>0</v>
      </c>
      <c r="Q12" s="18" t="n">
        <v>0.24538518</v>
      </c>
      <c r="R12" s="20" t="n">
        <v>0.17243948</v>
      </c>
    </row>
    <row r="13" spans="1:18">
      <c r="A13" s="15" t="s">
        <v>435</v>
      </c>
      <c r="B13" s="17" t="n">
        <v>7161</v>
      </c>
      <c r="C13" s="18">
        <f>(6315.0/B13*100)</f>
        <v/>
      </c>
      <c r="D13" s="19" t="n">
        <v>846</v>
      </c>
      <c r="E13" s="18" t="n">
        <v>34.01436296</v>
      </c>
      <c r="F13" s="20" t="n">
        <v>2.13760882</v>
      </c>
      <c r="G13" s="18" t="n">
        <v>65.54294326999999</v>
      </c>
      <c r="H13" s="20" t="n">
        <v>2.16414521</v>
      </c>
      <c r="I13" s="18" t="n">
        <v>0</v>
      </c>
      <c r="J13" s="20" t="n">
        <v>0</v>
      </c>
      <c r="K13" s="18" t="n">
        <v>0.13005044</v>
      </c>
      <c r="L13" s="20" t="n">
        <v>0.13408655</v>
      </c>
      <c r="M13" s="18" t="n">
        <v>0</v>
      </c>
      <c r="N13" s="20" t="n">
        <v>0</v>
      </c>
      <c r="O13" s="18" t="n">
        <v>0</v>
      </c>
      <c r="P13" s="20" t="n">
        <v>0</v>
      </c>
      <c r="Q13" s="18" t="n">
        <v>0.31264333</v>
      </c>
      <c r="R13" s="20" t="n">
        <v>0.25742313</v>
      </c>
    </row>
    <row r="14" spans="1:18">
      <c r="A14" s="15" t="s">
        <v>436</v>
      </c>
      <c r="B14" s="17" t="n">
        <v>5587</v>
      </c>
      <c r="C14" s="18">
        <f>(4893.0/B14*100)</f>
        <v/>
      </c>
      <c r="D14" s="19" t="n">
        <v>694</v>
      </c>
      <c r="E14" s="18" t="n">
        <v>34.31465229</v>
      </c>
      <c r="F14" s="20" t="n">
        <v>2.19583084</v>
      </c>
      <c r="G14" s="18" t="n">
        <v>64.81680271</v>
      </c>
      <c r="H14" s="20" t="n">
        <v>2.19599158</v>
      </c>
      <c r="I14" s="18" t="n">
        <v>0</v>
      </c>
      <c r="J14" s="20" t="n">
        <v>0</v>
      </c>
      <c r="K14" s="18" t="n">
        <v>0.40275767</v>
      </c>
      <c r="L14" s="20" t="n">
        <v>0.23885875</v>
      </c>
      <c r="M14" s="18" t="n">
        <v>0</v>
      </c>
      <c r="N14" s="20" t="n">
        <v>0</v>
      </c>
      <c r="O14" s="18" t="n">
        <v>0</v>
      </c>
      <c r="P14" s="20" t="n">
        <v>0</v>
      </c>
      <c r="Q14" s="18" t="n">
        <v>0.46578734</v>
      </c>
      <c r="R14" s="20" t="n">
        <v>0.23118009</v>
      </c>
    </row>
    <row r="15" spans="1:18">
      <c r="A15" s="15" t="s">
        <v>437</v>
      </c>
      <c r="B15" s="17" t="n">
        <v>5882</v>
      </c>
      <c r="C15" s="18">
        <f>(5158.0/B15*100)</f>
        <v/>
      </c>
      <c r="D15" s="19" t="n">
        <v>724</v>
      </c>
      <c r="E15" s="18" t="n">
        <v>31.11048393</v>
      </c>
      <c r="F15" s="20" t="n">
        <v>1.7789791</v>
      </c>
      <c r="G15" s="18" t="n">
        <v>68.25783674</v>
      </c>
      <c r="H15" s="20" t="n">
        <v>1.77156676</v>
      </c>
      <c r="I15" s="18" t="n">
        <v>0</v>
      </c>
      <c r="J15" s="20" t="n">
        <v>0</v>
      </c>
      <c r="K15" s="18" t="n">
        <v>0.23580006</v>
      </c>
      <c r="L15" s="20" t="n">
        <v>0.23582166</v>
      </c>
      <c r="M15" s="18" t="n">
        <v>0</v>
      </c>
      <c r="N15" s="20" t="n">
        <v>0</v>
      </c>
      <c r="O15" s="18" t="n">
        <v>0</v>
      </c>
      <c r="P15" s="20" t="n">
        <v>0</v>
      </c>
      <c r="Q15" s="18" t="n">
        <v>0.39587927</v>
      </c>
      <c r="R15" s="20" t="n">
        <v>0.22807414</v>
      </c>
    </row>
    <row r="16" spans="1:18">
      <c r="A16" s="15" t="s">
        <v>438</v>
      </c>
      <c r="B16" s="17" t="n">
        <v>6108</v>
      </c>
      <c r="C16" s="18">
        <f>(5374.0/B16*100)</f>
        <v/>
      </c>
      <c r="D16" s="19" t="n">
        <v>734</v>
      </c>
      <c r="E16" s="18" t="n">
        <v>33.94972879</v>
      </c>
      <c r="F16" s="20" t="n">
        <v>1.64978284</v>
      </c>
      <c r="G16" s="18" t="n">
        <v>63.93535701</v>
      </c>
      <c r="H16" s="20" t="n">
        <v>1.68489864</v>
      </c>
      <c r="I16" s="18" t="n">
        <v>0</v>
      </c>
      <c r="J16" s="20" t="n">
        <v>0</v>
      </c>
      <c r="K16" s="18" t="n">
        <v>0.76963232</v>
      </c>
      <c r="L16" s="20" t="n">
        <v>0.35395534</v>
      </c>
      <c r="M16" s="18" t="n">
        <v>0</v>
      </c>
      <c r="N16" s="20" t="n">
        <v>0</v>
      </c>
      <c r="O16" s="18" t="n">
        <v>0</v>
      </c>
      <c r="P16" s="20" t="n">
        <v>0</v>
      </c>
      <c r="Q16" s="18" t="n">
        <v>1.34528189</v>
      </c>
      <c r="R16" s="20" t="n">
        <v>0.42192318</v>
      </c>
    </row>
    <row r="17" spans="1:18">
      <c r="A17" s="15" t="s">
        <v>439</v>
      </c>
      <c r="B17" s="17" t="n">
        <v>6504</v>
      </c>
      <c r="C17" s="18">
        <f>(5721.0/B17*100)</f>
        <v/>
      </c>
      <c r="D17" s="19" t="n">
        <v>783</v>
      </c>
      <c r="E17" s="18" t="n">
        <v>34.49905055</v>
      </c>
      <c r="F17" s="20" t="n">
        <v>1.72438483</v>
      </c>
      <c r="G17" s="18" t="n">
        <v>64.46534592</v>
      </c>
      <c r="H17" s="20" t="n">
        <v>1.71977756</v>
      </c>
      <c r="I17" s="18" t="n">
        <v>0</v>
      </c>
      <c r="J17" s="20" t="n">
        <v>0</v>
      </c>
      <c r="K17" s="18" t="n">
        <v>0.60872008</v>
      </c>
      <c r="L17" s="20" t="n">
        <v>0.27710061</v>
      </c>
      <c r="M17" s="18" t="n">
        <v>0</v>
      </c>
      <c r="N17" s="20" t="n">
        <v>0</v>
      </c>
      <c r="O17" s="18" t="n">
        <v>0</v>
      </c>
      <c r="P17" s="20" t="n">
        <v>0</v>
      </c>
      <c r="Q17" s="18" t="n">
        <v>0.42688345</v>
      </c>
      <c r="R17" s="20" t="n">
        <v>0.21144386</v>
      </c>
    </row>
    <row r="18" spans="1:18">
      <c r="A18" s="15" t="s">
        <v>440</v>
      </c>
      <c r="B18" s="17" t="n">
        <v>5532</v>
      </c>
      <c r="C18" s="18">
        <f>(4851.0/B18*100)</f>
        <v/>
      </c>
      <c r="D18" s="19" t="n">
        <v>681</v>
      </c>
      <c r="E18" s="18" t="n">
        <v>38.67273334</v>
      </c>
      <c r="F18" s="20" t="n">
        <v>2.23827497</v>
      </c>
      <c r="G18" s="18" t="n">
        <v>59.3755061</v>
      </c>
      <c r="H18" s="20" t="n">
        <v>2.16374464</v>
      </c>
      <c r="I18" s="18" t="n">
        <v>0</v>
      </c>
      <c r="J18" s="20" t="n">
        <v>0</v>
      </c>
      <c r="K18" s="18" t="n">
        <v>0.79856847</v>
      </c>
      <c r="L18" s="20" t="n">
        <v>0.33121557</v>
      </c>
      <c r="M18" s="18" t="n">
        <v>0</v>
      </c>
      <c r="N18" s="20" t="n">
        <v>0</v>
      </c>
      <c r="O18" s="18" t="n">
        <v>0</v>
      </c>
      <c r="P18" s="20" t="n">
        <v>0</v>
      </c>
      <c r="Q18" s="18" t="n">
        <v>1.15319209</v>
      </c>
      <c r="R18" s="20" t="n">
        <v>0.40520493</v>
      </c>
    </row>
    <row r="19" spans="1:18">
      <c r="A19" s="15" t="s">
        <v>441</v>
      </c>
      <c r="B19" s="17" t="n">
        <v>5658</v>
      </c>
      <c r="C19" s="18">
        <f>(4960.0/B19*100)</f>
        <v/>
      </c>
      <c r="D19" s="19" t="n">
        <v>698</v>
      </c>
      <c r="E19" s="18" t="n">
        <v>47.96849353</v>
      </c>
      <c r="F19" s="20" t="n">
        <v>1.89429498</v>
      </c>
      <c r="G19" s="18" t="n">
        <v>51.39656398</v>
      </c>
      <c r="H19" s="20" t="n">
        <v>1.90420803</v>
      </c>
      <c r="I19" s="18" t="n">
        <v>0</v>
      </c>
      <c r="J19" s="20" t="n">
        <v>0</v>
      </c>
      <c r="K19" s="18" t="n">
        <v>0</v>
      </c>
      <c r="L19" s="20" t="n">
        <v>0</v>
      </c>
      <c r="M19" s="18" t="n">
        <v>0</v>
      </c>
      <c r="N19" s="20" t="n">
        <v>0</v>
      </c>
      <c r="O19" s="18" t="n">
        <v>0</v>
      </c>
      <c r="P19" s="20" t="n">
        <v>0</v>
      </c>
      <c r="Q19" s="18" t="n">
        <v>0.63494249</v>
      </c>
      <c r="R19" s="20" t="n">
        <v>0.32217409</v>
      </c>
    </row>
    <row r="20" spans="1:18">
      <c r="A20" s="15" t="s">
        <v>442</v>
      </c>
      <c r="B20" s="17" t="n">
        <v>3371</v>
      </c>
      <c r="C20" s="18">
        <f>(2971.0/B20*100)</f>
        <v/>
      </c>
      <c r="D20" s="19" t="n">
        <v>400</v>
      </c>
      <c r="E20" s="18" t="n">
        <v>42.52104567</v>
      </c>
      <c r="F20" s="20" t="n">
        <v>2.51379269</v>
      </c>
      <c r="G20" s="18" t="n">
        <v>56.28558402</v>
      </c>
      <c r="H20" s="20" t="n">
        <v>2.50011021</v>
      </c>
      <c r="I20" s="18" t="n">
        <v>0</v>
      </c>
      <c r="J20" s="20" t="n">
        <v>0</v>
      </c>
      <c r="K20" s="18" t="n">
        <v>0.67252067</v>
      </c>
      <c r="L20" s="20" t="n">
        <v>0.38611935</v>
      </c>
      <c r="M20" s="18" t="n">
        <v>0</v>
      </c>
      <c r="N20" s="20" t="n">
        <v>0</v>
      </c>
      <c r="O20" s="18" t="n">
        <v>0</v>
      </c>
      <c r="P20" s="20" t="n">
        <v>0</v>
      </c>
      <c r="Q20" s="18" t="n">
        <v>0.52084963</v>
      </c>
      <c r="R20" s="20" t="n">
        <v>0.36955255</v>
      </c>
    </row>
    <row r="21" spans="1:18">
      <c r="A21" s="15" t="s">
        <v>443</v>
      </c>
      <c r="B21" s="17" t="n">
        <v>5741</v>
      </c>
      <c r="C21" s="18">
        <f>(4791.0/B21*100)</f>
        <v/>
      </c>
      <c r="D21" s="19" t="n">
        <v>950</v>
      </c>
      <c r="E21" s="18" t="n">
        <v>40.93172709</v>
      </c>
      <c r="F21" s="20" t="n">
        <v>2.0372391</v>
      </c>
      <c r="G21" s="18" t="n">
        <v>58.52971076</v>
      </c>
      <c r="H21" s="20" t="n">
        <v>1.96337888</v>
      </c>
      <c r="I21" s="18" t="n">
        <v>0</v>
      </c>
      <c r="J21" s="20" t="n">
        <v>0</v>
      </c>
      <c r="K21" s="18" t="n">
        <v>0.08788427</v>
      </c>
      <c r="L21" s="20" t="n">
        <v>0.06211537</v>
      </c>
      <c r="M21" s="18" t="n">
        <v>0</v>
      </c>
      <c r="N21" s="20" t="n">
        <v>0</v>
      </c>
      <c r="O21" s="18" t="n">
        <v>0</v>
      </c>
      <c r="P21" s="20" t="n">
        <v>0</v>
      </c>
      <c r="Q21" s="18" t="n">
        <v>0.45067789</v>
      </c>
      <c r="R21" s="20" t="n">
        <v>0.22529147</v>
      </c>
    </row>
    <row r="22" spans="1:18">
      <c r="A22" s="15" t="s">
        <v>444</v>
      </c>
      <c r="B22" s="17" t="n">
        <v>6598</v>
      </c>
      <c r="C22" s="18">
        <f>(5788.0/B22*100)</f>
        <v/>
      </c>
      <c r="D22" s="19" t="n">
        <v>810</v>
      </c>
      <c r="E22" s="18" t="n">
        <v>32.19186416</v>
      </c>
      <c r="F22" s="20" t="n">
        <v>1.90229738</v>
      </c>
      <c r="G22" s="18" t="n">
        <v>64.8469865</v>
      </c>
      <c r="H22" s="20" t="n">
        <v>1.95967659</v>
      </c>
      <c r="I22" s="18" t="n">
        <v>0</v>
      </c>
      <c r="J22" s="20" t="n">
        <v>0</v>
      </c>
      <c r="K22" s="18" t="n">
        <v>0.42651802</v>
      </c>
      <c r="L22" s="20" t="n">
        <v>0.2132473</v>
      </c>
      <c r="M22" s="18" t="n">
        <v>0</v>
      </c>
      <c r="N22" s="20" t="n">
        <v>0</v>
      </c>
      <c r="O22" s="18" t="n">
        <v>0</v>
      </c>
      <c r="P22" s="20" t="n">
        <v>0</v>
      </c>
      <c r="Q22" s="18" t="n">
        <v>2.53463132</v>
      </c>
      <c r="R22" s="20" t="n">
        <v>0.63952432</v>
      </c>
    </row>
    <row r="23" spans="1:18">
      <c r="A23" s="15" t="s">
        <v>445</v>
      </c>
      <c r="B23" s="17" t="n">
        <v>11583</v>
      </c>
      <c r="C23" s="18">
        <f>(10148.0/B23*100)</f>
        <v/>
      </c>
      <c r="D23" s="19" t="n">
        <v>1435</v>
      </c>
      <c r="E23" s="18" t="n">
        <v>40.03134229</v>
      </c>
      <c r="F23" s="20" t="n">
        <v>1.66716907</v>
      </c>
      <c r="G23" s="18" t="n">
        <v>58.68824722</v>
      </c>
      <c r="H23" s="20" t="n">
        <v>1.68949573</v>
      </c>
      <c r="I23" s="18" t="n">
        <v>0</v>
      </c>
      <c r="J23" s="20" t="n">
        <v>0</v>
      </c>
      <c r="K23" s="18" t="n">
        <v>0.35681064</v>
      </c>
      <c r="L23" s="20" t="n">
        <v>0.39703019</v>
      </c>
      <c r="M23" s="18" t="n">
        <v>0</v>
      </c>
      <c r="N23" s="20" t="n">
        <v>0</v>
      </c>
      <c r="O23" s="18" t="n">
        <v>0</v>
      </c>
      <c r="P23" s="20" t="n">
        <v>0</v>
      </c>
      <c r="Q23" s="18" t="n">
        <v>0.92359985</v>
      </c>
      <c r="R23" s="20" t="n">
        <v>0.4140889</v>
      </c>
    </row>
    <row r="24" spans="1:18">
      <c r="A24" s="15" t="s">
        <v>446</v>
      </c>
      <c r="B24" s="17" t="n">
        <v>6647</v>
      </c>
      <c r="C24" s="18">
        <f>(5850.0/B24*100)</f>
        <v/>
      </c>
      <c r="D24" s="19" t="n">
        <v>797</v>
      </c>
      <c r="E24" s="18" t="n">
        <v>56.87147541</v>
      </c>
      <c r="F24" s="20" t="n">
        <v>1.69391809</v>
      </c>
      <c r="G24" s="18" t="n">
        <v>41.7726452</v>
      </c>
      <c r="H24" s="20" t="n">
        <v>1.72686619</v>
      </c>
      <c r="I24" s="18" t="n">
        <v>0</v>
      </c>
      <c r="J24" s="20" t="n">
        <v>0</v>
      </c>
      <c r="K24" s="18" t="n">
        <v>0.6211409</v>
      </c>
      <c r="L24" s="20" t="n">
        <v>0.27729974</v>
      </c>
      <c r="M24" s="18" t="n">
        <v>0</v>
      </c>
      <c r="N24" s="20" t="n">
        <v>0</v>
      </c>
      <c r="O24" s="18" t="n">
        <v>0</v>
      </c>
      <c r="P24" s="20" t="n">
        <v>0</v>
      </c>
      <c r="Q24" s="18" t="n">
        <v>0.73473849</v>
      </c>
      <c r="R24" s="20" t="n">
        <v>0.34666032</v>
      </c>
    </row>
    <row r="25" spans="1:18">
      <c r="A25" s="15" t="s">
        <v>447</v>
      </c>
      <c r="B25" s="17" t="n">
        <v>5581</v>
      </c>
      <c r="C25" s="18">
        <f>(4908.0/B25*100)</f>
        <v/>
      </c>
      <c r="D25" s="19" t="n">
        <v>673</v>
      </c>
      <c r="E25" s="18" t="n">
        <v>46.41129565</v>
      </c>
      <c r="F25" s="20" t="n">
        <v>2.11063607</v>
      </c>
      <c r="G25" s="18" t="n">
        <v>52.70161708</v>
      </c>
      <c r="H25" s="20" t="n">
        <v>2.09387867</v>
      </c>
      <c r="I25" s="18" t="n">
        <v>0</v>
      </c>
      <c r="J25" s="20" t="n">
        <v>0</v>
      </c>
      <c r="K25" s="18" t="n">
        <v>0.13582714</v>
      </c>
      <c r="L25" s="20" t="n">
        <v>0.13589188</v>
      </c>
      <c r="M25" s="18" t="n">
        <v>0</v>
      </c>
      <c r="N25" s="20" t="n">
        <v>0</v>
      </c>
      <c r="O25" s="18" t="n">
        <v>0</v>
      </c>
      <c r="P25" s="20" t="n">
        <v>0</v>
      </c>
      <c r="Q25" s="18" t="n">
        <v>0.75126012</v>
      </c>
      <c r="R25" s="20" t="n">
        <v>0.34060128</v>
      </c>
    </row>
    <row r="26" spans="1:18">
      <c r="A26" s="15" t="s">
        <v>448</v>
      </c>
      <c r="B26" s="17" t="n">
        <v>4869</v>
      </c>
      <c r="C26" s="18">
        <f>(4276.0/B26*100)</f>
        <v/>
      </c>
      <c r="D26" s="19" t="n">
        <v>593</v>
      </c>
      <c r="E26" s="18" t="n">
        <v>51.68734135</v>
      </c>
      <c r="F26" s="20" t="n">
        <v>2.12348544</v>
      </c>
      <c r="G26" s="18" t="n">
        <v>47.87647716</v>
      </c>
      <c r="H26" s="20" t="n">
        <v>2.08281544</v>
      </c>
      <c r="I26" s="18" t="n">
        <v>0</v>
      </c>
      <c r="J26" s="20" t="n">
        <v>0</v>
      </c>
      <c r="K26" s="18" t="n">
        <v>0</v>
      </c>
      <c r="L26" s="20" t="n">
        <v>0</v>
      </c>
      <c r="M26" s="18" t="n">
        <v>0</v>
      </c>
      <c r="N26" s="20" t="n">
        <v>0</v>
      </c>
      <c r="O26" s="18" t="n">
        <v>0</v>
      </c>
      <c r="P26" s="20" t="n">
        <v>0</v>
      </c>
      <c r="Q26" s="18" t="n">
        <v>0.43618149</v>
      </c>
      <c r="R26" s="20" t="n">
        <v>0.30654688</v>
      </c>
    </row>
    <row r="27" spans="1:18">
      <c r="A27" s="15" t="s">
        <v>449</v>
      </c>
      <c r="B27" s="17" t="n">
        <v>5299</v>
      </c>
      <c r="C27" s="18">
        <f>(4669.0/B27*100)</f>
        <v/>
      </c>
      <c r="D27" s="19" t="n">
        <v>630</v>
      </c>
      <c r="E27" s="18" t="n">
        <v>39.05650712</v>
      </c>
      <c r="F27" s="20" t="n">
        <v>1.82004321</v>
      </c>
      <c r="G27" s="18" t="n">
        <v>59.83838657</v>
      </c>
      <c r="H27" s="20" t="n">
        <v>1.83929338</v>
      </c>
      <c r="I27" s="18" t="n">
        <v>0</v>
      </c>
      <c r="J27" s="20" t="n">
        <v>0</v>
      </c>
      <c r="K27" s="18" t="n">
        <v>0.63985036</v>
      </c>
      <c r="L27" s="20" t="n">
        <v>0.32176808</v>
      </c>
      <c r="M27" s="18" t="n">
        <v>0</v>
      </c>
      <c r="N27" s="20" t="n">
        <v>0</v>
      </c>
      <c r="O27" s="18" t="n">
        <v>0</v>
      </c>
      <c r="P27" s="20" t="n">
        <v>0</v>
      </c>
      <c r="Q27" s="18" t="n">
        <v>0.46525595</v>
      </c>
      <c r="R27" s="20" t="n">
        <v>0.2686306</v>
      </c>
    </row>
    <row r="28" spans="1:18">
      <c r="A28" s="15" t="s">
        <v>450</v>
      </c>
      <c r="B28" s="17" t="n">
        <v>7568</v>
      </c>
      <c r="C28" s="18">
        <f>(6678.0/B28*100)</f>
        <v/>
      </c>
      <c r="D28" s="19" t="n">
        <v>890</v>
      </c>
      <c r="E28" s="18" t="n">
        <v>54.80785102</v>
      </c>
      <c r="F28" s="20" t="n">
        <v>1.73563311</v>
      </c>
      <c r="G28" s="18" t="n">
        <v>43.13421438</v>
      </c>
      <c r="H28" s="20" t="n">
        <v>1.79381536</v>
      </c>
      <c r="I28" s="18" t="n">
        <v>0</v>
      </c>
      <c r="J28" s="20" t="n">
        <v>0</v>
      </c>
      <c r="K28" s="18" t="n">
        <v>1.14102651</v>
      </c>
      <c r="L28" s="20" t="n">
        <v>0.42653126</v>
      </c>
      <c r="M28" s="18" t="n">
        <v>0</v>
      </c>
      <c r="N28" s="20" t="n">
        <v>0</v>
      </c>
      <c r="O28" s="18" t="n">
        <v>0</v>
      </c>
      <c r="P28" s="20" t="n">
        <v>0</v>
      </c>
      <c r="Q28" s="18" t="n">
        <v>0.9169081</v>
      </c>
      <c r="R28" s="20" t="n">
        <v>0.39076581</v>
      </c>
    </row>
    <row r="29" spans="1:18">
      <c r="A29" s="15" t="s">
        <v>451</v>
      </c>
      <c r="B29" s="17" t="n">
        <v>5385</v>
      </c>
      <c r="C29" s="18">
        <f>(4739.0/B29*100)</f>
        <v/>
      </c>
      <c r="D29" s="19" t="n">
        <v>646</v>
      </c>
      <c r="E29" s="18" t="n">
        <v>34.22010614</v>
      </c>
      <c r="F29" s="20" t="n">
        <v>1.87023088</v>
      </c>
      <c r="G29" s="18" t="n">
        <v>65.39933239</v>
      </c>
      <c r="H29" s="20" t="n">
        <v>1.88070486</v>
      </c>
      <c r="I29" s="18" t="n">
        <v>0</v>
      </c>
      <c r="J29" s="20" t="n">
        <v>0</v>
      </c>
      <c r="K29" s="18" t="n">
        <v>0.18627625</v>
      </c>
      <c r="L29" s="20" t="n">
        <v>0.13323819</v>
      </c>
      <c r="M29" s="18" t="n">
        <v>0</v>
      </c>
      <c r="N29" s="20" t="n">
        <v>0</v>
      </c>
      <c r="O29" s="18" t="n">
        <v>0</v>
      </c>
      <c r="P29" s="20" t="n">
        <v>0</v>
      </c>
      <c r="Q29" s="18" t="n">
        <v>0.19428522</v>
      </c>
      <c r="R29" s="20" t="n">
        <v>0.18950977</v>
      </c>
    </row>
    <row r="30" spans="1:18">
      <c r="A30" s="15" t="s">
        <v>452</v>
      </c>
      <c r="B30" s="17" t="n">
        <v>4520</v>
      </c>
      <c r="C30" s="18">
        <f>(3982.0/B30*100)</f>
        <v/>
      </c>
      <c r="D30" s="19" t="n">
        <v>538</v>
      </c>
      <c r="E30" s="18" t="n">
        <v>47.20950577</v>
      </c>
      <c r="F30" s="20" t="n">
        <v>2.22328237</v>
      </c>
      <c r="G30" s="18" t="n">
        <v>51.32498942</v>
      </c>
      <c r="H30" s="20" t="n">
        <v>2.24102019</v>
      </c>
      <c r="I30" s="18" t="n">
        <v>0</v>
      </c>
      <c r="J30" s="20" t="n">
        <v>0</v>
      </c>
      <c r="K30" s="18" t="n">
        <v>1.13123903</v>
      </c>
      <c r="L30" s="20" t="n">
        <v>0.55908874</v>
      </c>
      <c r="M30" s="18" t="n">
        <v>0</v>
      </c>
      <c r="N30" s="20" t="n">
        <v>0</v>
      </c>
      <c r="O30" s="18" t="n">
        <v>0</v>
      </c>
      <c r="P30" s="20" t="n">
        <v>0</v>
      </c>
      <c r="Q30" s="18" t="n">
        <v>0.33426578</v>
      </c>
      <c r="R30" s="20" t="n">
        <v>0.23819703</v>
      </c>
    </row>
    <row r="31" spans="1:18">
      <c r="A31" s="15" t="s">
        <v>453</v>
      </c>
      <c r="B31" s="17" t="n">
        <v>5456</v>
      </c>
      <c r="C31" s="18">
        <f>(4799.0/B31*100)</f>
        <v/>
      </c>
      <c r="D31" s="19" t="n">
        <v>657</v>
      </c>
      <c r="E31" s="18" t="n">
        <v>35.09072292</v>
      </c>
      <c r="F31" s="20" t="n">
        <v>1.84571379</v>
      </c>
      <c r="G31" s="18" t="n">
        <v>63.00129281</v>
      </c>
      <c r="H31" s="20" t="n">
        <v>1.76295935</v>
      </c>
      <c r="I31" s="18" t="n">
        <v>0</v>
      </c>
      <c r="J31" s="20" t="n">
        <v>0</v>
      </c>
      <c r="K31" s="18" t="n">
        <v>0.72301255</v>
      </c>
      <c r="L31" s="20" t="n">
        <v>0.31244426</v>
      </c>
      <c r="M31" s="18" t="n">
        <v>0</v>
      </c>
      <c r="N31" s="20" t="n">
        <v>0</v>
      </c>
      <c r="O31" s="18" t="n">
        <v>0</v>
      </c>
      <c r="P31" s="20" t="n">
        <v>0</v>
      </c>
      <c r="Q31" s="18" t="n">
        <v>1.18497172</v>
      </c>
      <c r="R31" s="20" t="n">
        <v>0.45156476</v>
      </c>
    </row>
    <row r="32" spans="1:18">
      <c r="A32" s="15" t="s">
        <v>454</v>
      </c>
      <c r="B32" s="17" t="n">
        <v>4478</v>
      </c>
      <c r="C32" s="18">
        <f>(3748.0/B32*100)</f>
        <v/>
      </c>
      <c r="D32" s="19" t="n">
        <v>730</v>
      </c>
      <c r="E32" s="18" t="n">
        <v>35.5427705</v>
      </c>
      <c r="F32" s="20" t="n">
        <v>1.82069344</v>
      </c>
      <c r="G32" s="18" t="n">
        <v>64.31158805</v>
      </c>
      <c r="H32" s="20" t="n">
        <v>1.83555178</v>
      </c>
      <c r="I32" s="18" t="n">
        <v>0</v>
      </c>
      <c r="J32" s="20" t="n">
        <v>0</v>
      </c>
      <c r="K32" s="18" t="n">
        <v>0</v>
      </c>
      <c r="L32" s="20" t="n">
        <v>0</v>
      </c>
      <c r="M32" s="18" t="n">
        <v>0</v>
      </c>
      <c r="N32" s="20" t="n">
        <v>0</v>
      </c>
      <c r="O32" s="18" t="n">
        <v>0</v>
      </c>
      <c r="P32" s="20" t="n">
        <v>0</v>
      </c>
      <c r="Q32" s="18" t="n">
        <v>0.14564145</v>
      </c>
      <c r="R32" s="20" t="n">
        <v>0.139458</v>
      </c>
    </row>
    <row r="33" spans="1:18">
      <c r="A33" s="15" t="s">
        <v>455</v>
      </c>
      <c r="B33" s="17" t="n">
        <v>7325</v>
      </c>
      <c r="C33" s="18">
        <f>(6452.0/B33*100)</f>
        <v/>
      </c>
      <c r="D33" s="19" t="n">
        <v>873</v>
      </c>
      <c r="E33" s="18" t="n">
        <v>43.01304028</v>
      </c>
      <c r="F33" s="20" t="n">
        <v>1.94695584</v>
      </c>
      <c r="G33" s="18" t="n">
        <v>56.40453542</v>
      </c>
      <c r="H33" s="20" t="n">
        <v>1.97753655</v>
      </c>
      <c r="I33" s="18" t="n">
        <v>0</v>
      </c>
      <c r="J33" s="20" t="n">
        <v>0</v>
      </c>
      <c r="K33" s="18" t="n">
        <v>0.32724761</v>
      </c>
      <c r="L33" s="20" t="n">
        <v>0.2161306</v>
      </c>
      <c r="M33" s="18" t="n">
        <v>0</v>
      </c>
      <c r="N33" s="20" t="n">
        <v>0</v>
      </c>
      <c r="O33" s="18" t="n">
        <v>0</v>
      </c>
      <c r="P33" s="20" t="n">
        <v>0</v>
      </c>
      <c r="Q33" s="18" t="n">
        <v>0.25517669</v>
      </c>
      <c r="R33" s="20" t="n">
        <v>0.16718382</v>
      </c>
    </row>
    <row r="34" spans="1:18">
      <c r="A34" s="15" t="s">
        <v>456</v>
      </c>
      <c r="B34" s="17" t="n">
        <v>6350</v>
      </c>
      <c r="C34" s="18">
        <f>(5606.0/B34*100)</f>
        <v/>
      </c>
      <c r="D34" s="19" t="n">
        <v>744</v>
      </c>
      <c r="E34" s="18" t="n">
        <v>51.31601967</v>
      </c>
      <c r="F34" s="20" t="n">
        <v>1.81772063</v>
      </c>
      <c r="G34" s="18" t="n">
        <v>47.90195064</v>
      </c>
      <c r="H34" s="20" t="n">
        <v>1.77668987</v>
      </c>
      <c r="I34" s="18" t="n">
        <v>0</v>
      </c>
      <c r="J34" s="20" t="n">
        <v>0</v>
      </c>
      <c r="K34" s="18" t="n">
        <v>0.32342941</v>
      </c>
      <c r="L34" s="20" t="n">
        <v>0.23844796</v>
      </c>
      <c r="M34" s="18" t="n">
        <v>0</v>
      </c>
      <c r="N34" s="20" t="n">
        <v>0</v>
      </c>
      <c r="O34" s="18" t="n">
        <v>0</v>
      </c>
      <c r="P34" s="20" t="n">
        <v>0</v>
      </c>
      <c r="Q34" s="18" t="n">
        <v>0.45860028</v>
      </c>
      <c r="R34" s="20" t="n">
        <v>0.20152282</v>
      </c>
    </row>
    <row r="35" spans="1:18">
      <c r="A35" s="15" t="s">
        <v>457</v>
      </c>
      <c r="B35" s="17" t="n">
        <v>6406</v>
      </c>
      <c r="C35" s="18">
        <f>(5636.0/B35*100)</f>
        <v/>
      </c>
      <c r="D35" s="19" t="n">
        <v>770</v>
      </c>
      <c r="E35" s="18" t="n">
        <v>36.38633899</v>
      </c>
      <c r="F35" s="20" t="n">
        <v>1.94895622</v>
      </c>
      <c r="G35" s="18" t="n">
        <v>63.40080793</v>
      </c>
      <c r="H35" s="20" t="n">
        <v>1.9641313</v>
      </c>
      <c r="I35" s="18" t="n">
        <v>0</v>
      </c>
      <c r="J35" s="20" t="n">
        <v>0</v>
      </c>
      <c r="K35" s="18" t="n">
        <v>0</v>
      </c>
      <c r="L35" s="20" t="n">
        <v>0</v>
      </c>
      <c r="M35" s="18" t="n">
        <v>0</v>
      </c>
      <c r="N35" s="20" t="n">
        <v>0</v>
      </c>
      <c r="O35" s="18" t="n">
        <v>0</v>
      </c>
      <c r="P35" s="20" t="n">
        <v>0</v>
      </c>
      <c r="Q35" s="18" t="n">
        <v>0.21285309</v>
      </c>
      <c r="R35" s="20" t="n">
        <v>0.1682598</v>
      </c>
    </row>
    <row r="36" spans="1:18">
      <c r="A36" s="15" t="s">
        <v>458</v>
      </c>
      <c r="B36" s="17" t="n">
        <v>6736</v>
      </c>
      <c r="C36" s="18">
        <f>(5935.0/B36*100)</f>
        <v/>
      </c>
      <c r="D36" s="19" t="n">
        <v>801</v>
      </c>
      <c r="E36" s="18" t="n">
        <v>41.08863363</v>
      </c>
      <c r="F36" s="20" t="n">
        <v>1.85106774</v>
      </c>
      <c r="G36" s="18" t="n">
        <v>57.91548917</v>
      </c>
      <c r="H36" s="20" t="n">
        <v>1.89279056</v>
      </c>
      <c r="I36" s="18" t="n">
        <v>0</v>
      </c>
      <c r="J36" s="20" t="n">
        <v>0</v>
      </c>
      <c r="K36" s="18" t="n">
        <v>0.47048595</v>
      </c>
      <c r="L36" s="20" t="n">
        <v>0.27495587</v>
      </c>
      <c r="M36" s="18" t="n">
        <v>0</v>
      </c>
      <c r="N36" s="20" t="n">
        <v>0</v>
      </c>
      <c r="O36" s="18" t="n">
        <v>0</v>
      </c>
      <c r="P36" s="20" t="n">
        <v>0</v>
      </c>
      <c r="Q36" s="18" t="n">
        <v>0.52539125</v>
      </c>
      <c r="R36" s="20" t="n">
        <v>0.22743015</v>
      </c>
    </row>
    <row r="37" spans="1:18">
      <c r="A37" s="15" t="s">
        <v>459</v>
      </c>
      <c r="B37" s="17" t="n">
        <v>5458</v>
      </c>
      <c r="C37" s="18">
        <f>(4778.0/B37*100)</f>
        <v/>
      </c>
      <c r="D37" s="19" t="n">
        <v>680</v>
      </c>
      <c r="E37" s="18" t="n">
        <v>34.28979174</v>
      </c>
      <c r="F37" s="20" t="n">
        <v>2.07206989</v>
      </c>
      <c r="G37" s="18" t="n">
        <v>63.6251904</v>
      </c>
      <c r="H37" s="20" t="n">
        <v>2.1646203</v>
      </c>
      <c r="I37" s="18" t="n">
        <v>0</v>
      </c>
      <c r="J37" s="20" t="n">
        <v>0</v>
      </c>
      <c r="K37" s="18" t="n">
        <v>0.92677947</v>
      </c>
      <c r="L37" s="20" t="n">
        <v>0.35623331</v>
      </c>
      <c r="M37" s="18" t="n">
        <v>0</v>
      </c>
      <c r="N37" s="20" t="n">
        <v>0</v>
      </c>
      <c r="O37" s="18" t="n">
        <v>0</v>
      </c>
      <c r="P37" s="20" t="n">
        <v>0</v>
      </c>
      <c r="Q37" s="18" t="n">
        <v>1.15823838</v>
      </c>
      <c r="R37" s="20" t="n">
        <v>0.40704305</v>
      </c>
    </row>
    <row r="38" spans="1:18">
      <c r="A38" s="15" t="s">
        <v>460</v>
      </c>
      <c r="B38" s="17" t="n">
        <v>5860</v>
      </c>
      <c r="C38" s="18">
        <f>(4905.0/B38*100)</f>
        <v/>
      </c>
      <c r="D38" s="19" t="n">
        <v>955</v>
      </c>
      <c r="E38" s="18" t="n">
        <v>35.69365457</v>
      </c>
      <c r="F38" s="20" t="n">
        <v>1.92859286</v>
      </c>
      <c r="G38" s="18" t="n">
        <v>62.91477577</v>
      </c>
      <c r="H38" s="20" t="n">
        <v>1.90112245</v>
      </c>
      <c r="I38" s="18" t="n">
        <v>0</v>
      </c>
      <c r="J38" s="20" t="n">
        <v>0</v>
      </c>
      <c r="K38" s="18" t="n">
        <v>0.46383508</v>
      </c>
      <c r="L38" s="20" t="n">
        <v>0.30357952</v>
      </c>
      <c r="M38" s="18" t="n">
        <v>0</v>
      </c>
      <c r="N38" s="20" t="n">
        <v>0</v>
      </c>
      <c r="O38" s="18" t="n">
        <v>0</v>
      </c>
      <c r="P38" s="20" t="n">
        <v>0</v>
      </c>
      <c r="Q38" s="18" t="n">
        <v>0.92773457</v>
      </c>
      <c r="R38" s="20" t="n">
        <v>0.29770512</v>
      </c>
    </row>
    <row r="39" spans="1:18">
      <c r="A39" s="15" t="s">
        <v>461</v>
      </c>
      <c r="B39" s="17" t="n">
        <v>5895</v>
      </c>
      <c r="C39" s="18">
        <f>(5176.0/B39*100)</f>
        <v/>
      </c>
      <c r="D39" s="19" t="n">
        <v>719</v>
      </c>
      <c r="E39" s="18" t="n">
        <v>51.5244084</v>
      </c>
      <c r="F39" s="20" t="n">
        <v>1.83139196</v>
      </c>
      <c r="G39" s="18" t="n">
        <v>47.79948759</v>
      </c>
      <c r="H39" s="20" t="n">
        <v>1.79136793</v>
      </c>
      <c r="I39" s="18" t="n">
        <v>0</v>
      </c>
      <c r="J39" s="20" t="n">
        <v>0</v>
      </c>
      <c r="K39" s="18" t="n">
        <v>0.22510678</v>
      </c>
      <c r="L39" s="20" t="n">
        <v>0.19903006</v>
      </c>
      <c r="M39" s="18" t="n">
        <v>0</v>
      </c>
      <c r="N39" s="20" t="n">
        <v>0</v>
      </c>
      <c r="O39" s="18" t="n">
        <v>0</v>
      </c>
      <c r="P39" s="20" t="n">
        <v>0</v>
      </c>
      <c r="Q39" s="18" t="n">
        <v>0.45099723</v>
      </c>
      <c r="R39" s="20" t="n">
        <v>0.20667104</v>
      </c>
    </row>
    <row r="40" spans="1:18">
      <c r="A40" s="15" t="s">
        <v>462</v>
      </c>
      <c r="B40" s="17" t="n">
        <v>14157</v>
      </c>
      <c r="C40" s="18">
        <f>(12445.0/B40*100)</f>
        <v/>
      </c>
      <c r="D40" s="19" t="n">
        <v>1712</v>
      </c>
      <c r="E40" s="18" t="n">
        <v>45.03984509</v>
      </c>
      <c r="F40" s="20" t="n">
        <v>2.13803084</v>
      </c>
      <c r="G40" s="18" t="n">
        <v>53.20978648</v>
      </c>
      <c r="H40" s="20" t="n">
        <v>2.11056083</v>
      </c>
      <c r="I40" s="18" t="n">
        <v>0</v>
      </c>
      <c r="J40" s="20" t="n">
        <v>0</v>
      </c>
      <c r="K40" s="18" t="n">
        <v>0.26276369</v>
      </c>
      <c r="L40" s="20" t="n">
        <v>0.18809877</v>
      </c>
      <c r="M40" s="18" t="n">
        <v>0</v>
      </c>
      <c r="N40" s="20" t="n">
        <v>0</v>
      </c>
      <c r="O40" s="18" t="n">
        <v>0</v>
      </c>
      <c r="P40" s="20" t="n">
        <v>0</v>
      </c>
      <c r="Q40" s="18" t="n">
        <v>1.48760475</v>
      </c>
      <c r="R40" s="20" t="n">
        <v>0.46414449</v>
      </c>
    </row>
    <row r="41" spans="1:18">
      <c r="A41" s="15" t="s">
        <v>463</v>
      </c>
      <c r="B41" s="17" t="n">
        <v>5712</v>
      </c>
      <c r="C41" s="18">
        <f>(5015.0/B41*100)</f>
        <v/>
      </c>
      <c r="D41" s="19" t="n">
        <v>697</v>
      </c>
      <c r="E41" s="18" t="n">
        <v>50.69581477</v>
      </c>
      <c r="F41" s="20" t="n">
        <v>1.89197718</v>
      </c>
      <c r="G41" s="18" t="n">
        <v>48.46802484</v>
      </c>
      <c r="H41" s="20" t="n">
        <v>1.88804445</v>
      </c>
      <c r="I41" s="18" t="n">
        <v>0</v>
      </c>
      <c r="J41" s="20" t="n">
        <v>0</v>
      </c>
      <c r="K41" s="18" t="n">
        <v>0.31546085</v>
      </c>
      <c r="L41" s="20" t="n">
        <v>0.26612446</v>
      </c>
      <c r="M41" s="18" t="n">
        <v>0</v>
      </c>
      <c r="N41" s="20" t="n">
        <v>0</v>
      </c>
      <c r="O41" s="18" t="n">
        <v>0</v>
      </c>
      <c r="P41" s="20" t="n">
        <v>0</v>
      </c>
      <c r="Q41" s="18" t="n">
        <v>0.52069954</v>
      </c>
      <c r="R41" s="20" t="n">
        <v>0.23873853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(20871.0/B46*100)</f>
        <v/>
      </c>
      <c r="D46" s="19" t="n">
        <v>2270</v>
      </c>
      <c r="E46" s="18" t="n">
        <v>55.32232461</v>
      </c>
      <c r="F46" s="20" t="n">
        <v>1.58936335</v>
      </c>
      <c r="G46" s="18" t="n">
        <v>41.81529792</v>
      </c>
      <c r="H46" s="20" t="n">
        <v>1.51138049</v>
      </c>
      <c r="I46" s="18" t="n">
        <v>0</v>
      </c>
      <c r="J46" s="20" t="n">
        <v>0</v>
      </c>
      <c r="K46" s="18" t="n">
        <v>1.39801351</v>
      </c>
      <c r="L46" s="20" t="n">
        <v>0.35569822</v>
      </c>
      <c r="M46" s="18" t="n">
        <v>0</v>
      </c>
      <c r="N46" s="20" t="n">
        <v>0</v>
      </c>
      <c r="O46" s="18" t="n">
        <v>0</v>
      </c>
      <c r="P46" s="20" t="n">
        <v>0</v>
      </c>
      <c r="Q46" s="18" t="n">
        <v>1.46436397</v>
      </c>
      <c r="R46" s="20" t="n">
        <v>0.38437162</v>
      </c>
    </row>
    <row r="47" spans="1:18">
      <c r="A47" s="15" t="s">
        <v>470</v>
      </c>
      <c r="B47" s="17" t="n">
        <v>5928</v>
      </c>
      <c r="C47" s="18">
        <f>(5190.0/B47*100)</f>
        <v/>
      </c>
      <c r="D47" s="19" t="n">
        <v>738</v>
      </c>
      <c r="E47" s="18" t="n">
        <v>55.36471723</v>
      </c>
      <c r="F47" s="20" t="n">
        <v>2.08919347</v>
      </c>
      <c r="G47" s="18" t="n">
        <v>43.41401901</v>
      </c>
      <c r="H47" s="20" t="n">
        <v>2.18184662</v>
      </c>
      <c r="I47" s="18" t="n">
        <v>0</v>
      </c>
      <c r="J47" s="20" t="n">
        <v>0</v>
      </c>
      <c r="K47" s="18" t="n">
        <v>0.26293423</v>
      </c>
      <c r="L47" s="20" t="n">
        <v>0.18204416</v>
      </c>
      <c r="M47" s="18" t="n">
        <v>0</v>
      </c>
      <c r="N47" s="20" t="n">
        <v>0</v>
      </c>
      <c r="O47" s="18" t="n">
        <v>0</v>
      </c>
      <c r="P47" s="20" t="n">
        <v>0</v>
      </c>
      <c r="Q47" s="18" t="n">
        <v>0.95832953</v>
      </c>
      <c r="R47" s="20" t="n">
        <v>0.45066858</v>
      </c>
    </row>
    <row r="48" spans="1:18">
      <c r="A48" s="15" t="s">
        <v>471</v>
      </c>
      <c r="B48" s="17" t="n">
        <v>9841</v>
      </c>
      <c r="C48" s="18">
        <f>(8634.0/B48*100)</f>
        <v/>
      </c>
      <c r="D48" s="19" t="n">
        <v>1207</v>
      </c>
      <c r="E48" s="18" t="n">
        <v>40.68478269</v>
      </c>
      <c r="F48" s="20" t="n">
        <v>1.74202713</v>
      </c>
      <c r="G48" s="18" t="n">
        <v>58.17754696</v>
      </c>
      <c r="H48" s="20" t="n">
        <v>1.71249277</v>
      </c>
      <c r="I48" s="18" t="n">
        <v>0</v>
      </c>
      <c r="J48" s="20" t="n">
        <v>0</v>
      </c>
      <c r="K48" s="18" t="n">
        <v>0.49701624</v>
      </c>
      <c r="L48" s="20" t="n">
        <v>0.28838085</v>
      </c>
      <c r="M48" s="18" t="n">
        <v>0</v>
      </c>
      <c r="N48" s="20" t="n">
        <v>0</v>
      </c>
      <c r="O48" s="18" t="n">
        <v>0</v>
      </c>
      <c r="P48" s="20" t="n">
        <v>0</v>
      </c>
      <c r="Q48" s="18" t="n">
        <v>0.6406541100000001</v>
      </c>
      <c r="R48" s="20" t="n">
        <v>0.35065634</v>
      </c>
    </row>
    <row r="49" spans="1:18">
      <c r="A49" s="15" t="s">
        <v>472</v>
      </c>
      <c r="B49" s="17" t="n">
        <v>11795</v>
      </c>
      <c r="C49" s="18">
        <f>(10408.0/B49*100)</f>
        <v/>
      </c>
      <c r="D49" s="19" t="n">
        <v>1387</v>
      </c>
      <c r="E49" s="18" t="n">
        <v>61.93582133</v>
      </c>
      <c r="F49" s="20" t="n">
        <v>1.50106152</v>
      </c>
      <c r="G49" s="18" t="n">
        <v>33.98905503</v>
      </c>
      <c r="H49" s="20" t="n">
        <v>1.5398099</v>
      </c>
      <c r="I49" s="18" t="n">
        <v>0</v>
      </c>
      <c r="J49" s="20" t="n">
        <v>0</v>
      </c>
      <c r="K49" s="18" t="n">
        <v>2.2066135</v>
      </c>
      <c r="L49" s="20" t="n">
        <v>0.55700553</v>
      </c>
      <c r="M49" s="18" t="n">
        <v>0</v>
      </c>
      <c r="N49" s="20" t="n">
        <v>0</v>
      </c>
      <c r="O49" s="18" t="n">
        <v>0</v>
      </c>
      <c r="P49" s="20" t="n">
        <v>0</v>
      </c>
      <c r="Q49" s="18" t="n">
        <v>1.86851014</v>
      </c>
      <c r="R49" s="20" t="n">
        <v>0.69576664</v>
      </c>
    </row>
    <row r="50" spans="1:18">
      <c r="A50" s="15" t="s">
        <v>473</v>
      </c>
      <c r="B50" s="17" t="n">
        <v>6866</v>
      </c>
      <c r="C50" s="18">
        <f>(6147.0/B50*100)</f>
        <v/>
      </c>
      <c r="D50" s="19" t="n">
        <v>719</v>
      </c>
      <c r="E50" s="18" t="n">
        <v>60.13285969</v>
      </c>
      <c r="F50" s="20" t="n">
        <v>2.02131989</v>
      </c>
      <c r="G50" s="18" t="n">
        <v>37.68806768</v>
      </c>
      <c r="H50" s="20" t="n">
        <v>1.83884241</v>
      </c>
      <c r="I50" s="18" t="n">
        <v>0</v>
      </c>
      <c r="J50" s="20" t="n">
        <v>0</v>
      </c>
      <c r="K50" s="18" t="n">
        <v>0.7646149800000001</v>
      </c>
      <c r="L50" s="20" t="n">
        <v>0.33627241</v>
      </c>
      <c r="M50" s="18" t="n">
        <v>0</v>
      </c>
      <c r="N50" s="20" t="n">
        <v>0</v>
      </c>
      <c r="O50" s="18" t="n">
        <v>0</v>
      </c>
      <c r="P50" s="20" t="n">
        <v>0</v>
      </c>
      <c r="Q50" s="18" t="n">
        <v>1.41445765</v>
      </c>
      <c r="R50" s="20" t="n">
        <v>0.63238233</v>
      </c>
    </row>
    <row r="51" spans="1:18">
      <c r="A51" s="15" t="s">
        <v>474</v>
      </c>
      <c r="B51" s="17" t="n">
        <v>5809</v>
      </c>
      <c r="C51" s="18">
        <f>(5083.0/B51*100)</f>
        <v/>
      </c>
      <c r="D51" s="19" t="n">
        <v>726</v>
      </c>
      <c r="E51" s="18" t="n">
        <v>40.59657437</v>
      </c>
      <c r="F51" s="20" t="n">
        <v>2.12683398</v>
      </c>
      <c r="G51" s="18" t="n">
        <v>58.06701344</v>
      </c>
      <c r="H51" s="20" t="n">
        <v>2.13811138</v>
      </c>
      <c r="I51" s="18" t="n">
        <v>0</v>
      </c>
      <c r="J51" s="20" t="n">
        <v>0</v>
      </c>
      <c r="K51" s="18" t="n">
        <v>0.14783423</v>
      </c>
      <c r="L51" s="20" t="n">
        <v>0.14762239</v>
      </c>
      <c r="M51" s="18" t="n">
        <v>0</v>
      </c>
      <c r="N51" s="20" t="n">
        <v>0</v>
      </c>
      <c r="O51" s="18" t="n">
        <v>0</v>
      </c>
      <c r="P51" s="20" t="n">
        <v>0</v>
      </c>
      <c r="Q51" s="18" t="n">
        <v>1.18857796</v>
      </c>
      <c r="R51" s="20" t="n">
        <v>0.42568786</v>
      </c>
    </row>
    <row r="52" spans="1:18">
      <c r="A52" s="15" t="s">
        <v>475</v>
      </c>
      <c r="B52" s="17" t="n">
        <v>5571</v>
      </c>
      <c r="C52" s="18">
        <f>(4911.0/B52*100)</f>
        <v/>
      </c>
      <c r="D52" s="19" t="n">
        <v>660</v>
      </c>
      <c r="E52" s="18" t="n">
        <v>40.57688916</v>
      </c>
      <c r="F52" s="20" t="n">
        <v>1.99373975</v>
      </c>
      <c r="G52" s="18" t="n">
        <v>57.65220951</v>
      </c>
      <c r="H52" s="20" t="n">
        <v>2.1602931</v>
      </c>
      <c r="I52" s="18" t="n">
        <v>0</v>
      </c>
      <c r="J52" s="20" t="n">
        <v>0</v>
      </c>
      <c r="K52" s="18" t="n">
        <v>0.42853539</v>
      </c>
      <c r="L52" s="20" t="n">
        <v>0.24484862</v>
      </c>
      <c r="M52" s="18" t="n">
        <v>0</v>
      </c>
      <c r="N52" s="20" t="n">
        <v>0</v>
      </c>
      <c r="O52" s="18" t="n">
        <v>0</v>
      </c>
      <c r="P52" s="20" t="n">
        <v>0</v>
      </c>
      <c r="Q52" s="18" t="n">
        <v>1.34236594</v>
      </c>
      <c r="R52" s="20" t="n">
        <v>0.41269254</v>
      </c>
    </row>
    <row r="53" spans="1:18">
      <c r="A53" s="15" t="s">
        <v>476</v>
      </c>
      <c r="B53" s="17" t="n">
        <v>4740</v>
      </c>
      <c r="C53" s="18">
        <f>(3978.0/B53*100)</f>
        <v/>
      </c>
      <c r="D53" s="19" t="n">
        <v>762</v>
      </c>
      <c r="E53" s="18" t="n">
        <v>59.94683812</v>
      </c>
      <c r="F53" s="20" t="n">
        <v>2.04664515</v>
      </c>
      <c r="G53" s="18" t="n">
        <v>20.62467788</v>
      </c>
      <c r="H53" s="20" t="n">
        <v>1.74089189</v>
      </c>
      <c r="I53" s="18" t="n">
        <v>0</v>
      </c>
      <c r="J53" s="20" t="n">
        <v>0</v>
      </c>
      <c r="K53" s="18" t="n">
        <v>16.04796737</v>
      </c>
      <c r="L53" s="20" t="n">
        <v>1.4223934</v>
      </c>
      <c r="M53" s="18" t="n">
        <v>0</v>
      </c>
      <c r="N53" s="20" t="n">
        <v>0</v>
      </c>
      <c r="O53" s="18" t="n">
        <v>0</v>
      </c>
      <c r="P53" s="20" t="n">
        <v>0</v>
      </c>
      <c r="Q53" s="18" t="n">
        <v>3.38051662</v>
      </c>
      <c r="R53" s="20" t="n">
        <v>0.80624692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(4711.0/B55*100)</f>
        <v/>
      </c>
      <c r="D55" s="19" t="n">
        <v>648</v>
      </c>
      <c r="E55" s="18" t="n">
        <v>35.61296968</v>
      </c>
      <c r="F55" s="20" t="n">
        <v>1.95284489</v>
      </c>
      <c r="G55" s="18" t="n">
        <v>63.59047739</v>
      </c>
      <c r="H55" s="20" t="n">
        <v>2.04756911</v>
      </c>
      <c r="I55" s="18" t="n">
        <v>0</v>
      </c>
      <c r="J55" s="20" t="n">
        <v>0</v>
      </c>
      <c r="K55" s="18" t="n">
        <v>0.35048416</v>
      </c>
      <c r="L55" s="20" t="n">
        <v>0.26249685</v>
      </c>
      <c r="M55" s="18" t="n">
        <v>0</v>
      </c>
      <c r="N55" s="20" t="n">
        <v>0</v>
      </c>
      <c r="O55" s="18" t="n">
        <v>0</v>
      </c>
      <c r="P55" s="20" t="n">
        <v>0</v>
      </c>
      <c r="Q55" s="18" t="n">
        <v>0.44606877</v>
      </c>
      <c r="R55" s="20" t="n">
        <v>0.26185979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(5752.0/B61*100)</f>
        <v/>
      </c>
      <c r="D61" s="19" t="n">
        <v>773</v>
      </c>
      <c r="E61" s="18" t="n">
        <v>51.06330457</v>
      </c>
      <c r="F61" s="20" t="n">
        <v>2.27540544</v>
      </c>
      <c r="G61" s="18" t="n">
        <v>48.33647725</v>
      </c>
      <c r="H61" s="20" t="n">
        <v>2.26287412</v>
      </c>
      <c r="I61" s="18" t="n">
        <v>0</v>
      </c>
      <c r="J61" s="20" t="n">
        <v>0</v>
      </c>
      <c r="K61" s="18" t="n">
        <v>0.20803337</v>
      </c>
      <c r="L61" s="20" t="n">
        <v>0.14586989</v>
      </c>
      <c r="M61" s="18" t="n">
        <v>0</v>
      </c>
      <c r="N61" s="20" t="n">
        <v>0</v>
      </c>
      <c r="O61" s="18" t="n">
        <v>0</v>
      </c>
      <c r="P61" s="20" t="n">
        <v>0</v>
      </c>
      <c r="Q61" s="18" t="n">
        <v>0.39218481</v>
      </c>
      <c r="R61" s="20" t="n">
        <v>0.23087333</v>
      </c>
    </row>
    <row r="62" spans="1:18">
      <c r="A62" s="15" t="s">
        <v>486</v>
      </c>
      <c r="B62" s="17" t="n">
        <v>4476</v>
      </c>
      <c r="C62" s="18">
        <f>(3933.0/B62*100)</f>
        <v/>
      </c>
      <c r="D62" s="19" t="n">
        <v>543</v>
      </c>
      <c r="E62" s="18" t="n">
        <v>41.57254367</v>
      </c>
      <c r="F62" s="20" t="n">
        <v>1.90704019</v>
      </c>
      <c r="G62" s="18" t="n">
        <v>58.42745633</v>
      </c>
      <c r="H62" s="20" t="n">
        <v>1.90704019</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(4987.0/B67*100)</f>
        <v/>
      </c>
      <c r="D67" s="19" t="n">
        <v>678</v>
      </c>
      <c r="E67" s="18" t="n">
        <v>46.05972944</v>
      </c>
      <c r="F67" s="20" t="n">
        <v>1.77103109</v>
      </c>
      <c r="G67" s="18" t="n">
        <v>51.84556212</v>
      </c>
      <c r="H67" s="20" t="n">
        <v>1.75848704</v>
      </c>
      <c r="I67" s="18" t="n">
        <v>0</v>
      </c>
      <c r="J67" s="20" t="n">
        <v>0</v>
      </c>
      <c r="K67" s="18" t="n">
        <v>0.63554177</v>
      </c>
      <c r="L67" s="20" t="n">
        <v>0.28510571</v>
      </c>
      <c r="M67" s="18" t="n">
        <v>0</v>
      </c>
      <c r="N67" s="20" t="n">
        <v>0</v>
      </c>
      <c r="O67" s="18" t="n">
        <v>0</v>
      </c>
      <c r="P67" s="20" t="n">
        <v>0</v>
      </c>
      <c r="Q67" s="18" t="n">
        <v>1.45916666</v>
      </c>
      <c r="R67" s="20" t="n">
        <v>0.47009135</v>
      </c>
    </row>
    <row r="68" spans="1:18">
      <c r="A68" s="15" t="s">
        <v>492</v>
      </c>
      <c r="B68" s="17" t="n">
        <v>6971</v>
      </c>
      <c r="C68" s="18">
        <f>(6231.0/B68*100)</f>
        <v/>
      </c>
      <c r="D68" s="19" t="n">
        <v>740</v>
      </c>
      <c r="E68" s="18" t="n">
        <v>52.18009161</v>
      </c>
      <c r="F68" s="20" t="n">
        <v>2.12347187</v>
      </c>
      <c r="G68" s="18" t="n">
        <v>46.64061416</v>
      </c>
      <c r="H68" s="20" t="n">
        <v>2.08673614</v>
      </c>
      <c r="I68" s="18" t="n">
        <v>0</v>
      </c>
      <c r="J68" s="20" t="n">
        <v>0</v>
      </c>
      <c r="K68" s="18" t="n">
        <v>0.37190622</v>
      </c>
      <c r="L68" s="20" t="n">
        <v>0.21603833</v>
      </c>
      <c r="M68" s="18" t="n">
        <v>0</v>
      </c>
      <c r="N68" s="20" t="n">
        <v>0</v>
      </c>
      <c r="O68" s="18" t="n">
        <v>0</v>
      </c>
      <c r="P68" s="20" t="n">
        <v>0</v>
      </c>
      <c r="Q68" s="18" t="n">
        <v>0.80738801</v>
      </c>
      <c r="R68" s="20" t="n">
        <v>0.34067747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(10073.0/B70*100)</f>
        <v/>
      </c>
      <c r="D70" s="19" t="n">
        <v>2010</v>
      </c>
      <c r="E70" s="18" t="n">
        <v>54.18863874</v>
      </c>
      <c r="F70" s="20" t="n">
        <v>1.03657024</v>
      </c>
      <c r="G70" s="18" t="n">
        <v>40.04534512</v>
      </c>
      <c r="H70" s="20" t="n">
        <v>1.07833605</v>
      </c>
      <c r="I70" s="18" t="n">
        <v>0</v>
      </c>
      <c r="J70" s="20" t="n">
        <v>0</v>
      </c>
      <c r="K70" s="18" t="n">
        <v>2.79412988</v>
      </c>
      <c r="L70" s="20" t="n">
        <v>0.40216962</v>
      </c>
      <c r="M70" s="18" t="n">
        <v>0</v>
      </c>
      <c r="N70" s="20" t="n">
        <v>0</v>
      </c>
      <c r="O70" s="18" t="n">
        <v>0</v>
      </c>
      <c r="P70" s="20" t="n">
        <v>0</v>
      </c>
      <c r="Q70" s="18" t="n">
        <v>2.97188627</v>
      </c>
      <c r="R70" s="20" t="n">
        <v>0.39630897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(5337.0/B72*100)</f>
        <v/>
      </c>
      <c r="D72" s="19" t="n">
        <v>699</v>
      </c>
      <c r="E72" s="18" t="n">
        <v>44.14709078</v>
      </c>
      <c r="F72" s="20" t="n">
        <v>2.61277296</v>
      </c>
      <c r="G72" s="18" t="n">
        <v>54.79652101</v>
      </c>
      <c r="H72" s="20" t="n">
        <v>2.64954226</v>
      </c>
      <c r="I72" s="18" t="n">
        <v>0</v>
      </c>
      <c r="J72" s="20" t="n">
        <v>0</v>
      </c>
      <c r="K72" s="18" t="n">
        <v>0.64749957</v>
      </c>
      <c r="L72" s="20" t="n">
        <v>0.42477168</v>
      </c>
      <c r="M72" s="18" t="n">
        <v>0</v>
      </c>
      <c r="N72" s="20" t="n">
        <v>0</v>
      </c>
      <c r="O72" s="18" t="n">
        <v>0</v>
      </c>
      <c r="P72" s="20" t="n">
        <v>0</v>
      </c>
      <c r="Q72" s="18" t="n">
        <v>0.40888864</v>
      </c>
      <c r="R72" s="20" t="n">
        <v>0.18418398</v>
      </c>
    </row>
    <row r="73" spans="1:18">
      <c r="A73" s="15" t="s">
        <v>497</v>
      </c>
      <c r="B73" s="17" t="n">
        <v>6115</v>
      </c>
      <c r="C73" s="18">
        <f>(5375.0/B73*100)</f>
        <v/>
      </c>
      <c r="D73" s="19" t="n">
        <v>740</v>
      </c>
      <c r="E73" s="18" t="n">
        <v>45.19891159</v>
      </c>
      <c r="F73" s="20" t="n">
        <v>2.11833728</v>
      </c>
      <c r="G73" s="18" t="n">
        <v>54.50969275</v>
      </c>
      <c r="H73" s="20" t="n">
        <v>2.16679653</v>
      </c>
      <c r="I73" s="18" t="n">
        <v>0</v>
      </c>
      <c r="J73" s="20" t="n">
        <v>0</v>
      </c>
      <c r="K73" s="18" t="n">
        <v>0.12244988</v>
      </c>
      <c r="L73" s="20" t="n">
        <v>0.12245992</v>
      </c>
      <c r="M73" s="18" t="n">
        <v>0</v>
      </c>
      <c r="N73" s="20" t="n">
        <v>0</v>
      </c>
      <c r="O73" s="18" t="n">
        <v>0</v>
      </c>
      <c r="P73" s="20" t="n">
        <v>0</v>
      </c>
      <c r="Q73" s="18" t="n">
        <v>0.16894577</v>
      </c>
      <c r="R73" s="20" t="n">
        <v>0.12273325</v>
      </c>
    </row>
    <row r="74" spans="1:18">
      <c r="A74" s="15" t="s">
        <v>498</v>
      </c>
      <c r="B74" s="17" t="n">
        <v>7708</v>
      </c>
      <c r="C74" s="18">
        <f>(6758.0/B74*100)</f>
        <v/>
      </c>
      <c r="D74" s="19" t="n">
        <v>950</v>
      </c>
      <c r="E74" s="18" t="n">
        <v>43.46289957</v>
      </c>
      <c r="F74" s="20" t="n">
        <v>1.85551776</v>
      </c>
      <c r="G74" s="18" t="n">
        <v>56.10586661</v>
      </c>
      <c r="H74" s="20" t="n">
        <v>1.83427599</v>
      </c>
      <c r="I74" s="18" t="n">
        <v>0</v>
      </c>
      <c r="J74" s="20" t="n">
        <v>0</v>
      </c>
      <c r="K74" s="18" t="n">
        <v>0.07278522</v>
      </c>
      <c r="L74" s="20" t="n">
        <v>0.07479101</v>
      </c>
      <c r="M74" s="18" t="n">
        <v>0</v>
      </c>
      <c r="N74" s="20" t="n">
        <v>0</v>
      </c>
      <c r="O74" s="18" t="n">
        <v>0</v>
      </c>
      <c r="P74" s="20" t="n">
        <v>0</v>
      </c>
      <c r="Q74" s="18" t="n">
        <v>0.35844861</v>
      </c>
      <c r="R74" s="20" t="n">
        <v>0.19409</v>
      </c>
    </row>
    <row r="75" spans="1:18">
      <c r="A75" s="15" t="s">
        <v>499</v>
      </c>
      <c r="B75" s="17" t="n">
        <v>8249</v>
      </c>
      <c r="C75" s="18">
        <f>(7283.0/B75*100)</f>
        <v/>
      </c>
      <c r="D75" s="19" t="n">
        <v>966</v>
      </c>
      <c r="E75" s="18" t="n">
        <v>57.92065022</v>
      </c>
      <c r="F75" s="20" t="n">
        <v>2.07473462</v>
      </c>
      <c r="G75" s="18" t="n">
        <v>41.57508374</v>
      </c>
      <c r="H75" s="20" t="n">
        <v>2.10515259</v>
      </c>
      <c r="I75" s="18" t="n">
        <v>0</v>
      </c>
      <c r="J75" s="20" t="n">
        <v>0</v>
      </c>
      <c r="K75" s="18" t="n">
        <v>0</v>
      </c>
      <c r="L75" s="20" t="n">
        <v>0</v>
      </c>
      <c r="M75" s="18" t="n">
        <v>0</v>
      </c>
      <c r="N75" s="20" t="n">
        <v>0</v>
      </c>
      <c r="O75" s="18" t="n">
        <v>0</v>
      </c>
      <c r="P75" s="20" t="n">
        <v>0</v>
      </c>
      <c r="Q75" s="18" t="n">
        <v>0.50426604</v>
      </c>
      <c r="R75" s="20" t="n">
        <v>0.35247537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(4808.0/B77*100)</f>
        <v/>
      </c>
      <c r="D77" s="19" t="n">
        <v>567</v>
      </c>
      <c r="E77" s="18" t="n">
        <v>49.82315455</v>
      </c>
      <c r="F77" s="20" t="n">
        <v>2.37851689</v>
      </c>
      <c r="G77" s="18" t="n">
        <v>42.94779823</v>
      </c>
      <c r="H77" s="20" t="n">
        <v>2.2057942</v>
      </c>
      <c r="I77" s="18" t="n">
        <v>0</v>
      </c>
      <c r="J77" s="20" t="n">
        <v>0</v>
      </c>
      <c r="K77" s="18" t="n">
        <v>5.02311924</v>
      </c>
      <c r="L77" s="20" t="n">
        <v>0.94924341</v>
      </c>
      <c r="M77" s="18" t="n">
        <v>0</v>
      </c>
      <c r="N77" s="20" t="n">
        <v>0</v>
      </c>
      <c r="O77" s="18" t="n">
        <v>0</v>
      </c>
      <c r="P77" s="20" t="n">
        <v>0</v>
      </c>
      <c r="Q77" s="18" t="n">
        <v>2.20592798</v>
      </c>
      <c r="R77" s="20" t="n">
        <v>0.64282186</v>
      </c>
    </row>
    <row r="78" spans="1:18">
      <c r="A78" s="15" t="s">
        <v>502</v>
      </c>
      <c r="B78" s="17" t="n">
        <v>14167</v>
      </c>
      <c r="C78" s="18">
        <f>(12489.0/B78*100)</f>
        <v/>
      </c>
      <c r="D78" s="19" t="n">
        <v>1678</v>
      </c>
      <c r="E78" s="18" t="n">
        <v>48.98911786</v>
      </c>
      <c r="F78" s="20" t="n">
        <v>1.68614754</v>
      </c>
      <c r="G78" s="18" t="n">
        <v>48.3123878</v>
      </c>
      <c r="H78" s="20" t="n">
        <v>1.65444985</v>
      </c>
      <c r="I78" s="18" t="n">
        <v>0</v>
      </c>
      <c r="J78" s="20" t="n">
        <v>0</v>
      </c>
      <c r="K78" s="18" t="n">
        <v>1.10904328</v>
      </c>
      <c r="L78" s="20" t="n">
        <v>0.33913048</v>
      </c>
      <c r="M78" s="18" t="n">
        <v>0</v>
      </c>
      <c r="N78" s="20" t="n">
        <v>0</v>
      </c>
      <c r="O78" s="18" t="n">
        <v>0</v>
      </c>
      <c r="P78" s="20" t="n">
        <v>0</v>
      </c>
      <c r="Q78" s="18" t="n">
        <v>1.58945106</v>
      </c>
      <c r="R78" s="20" t="n">
        <v>0.39612892</v>
      </c>
    </row>
    <row r="79" spans="1:18">
      <c r="A79" s="15" t="s">
        <v>503</v>
      </c>
      <c r="B79" s="17" t="n">
        <v>6062</v>
      </c>
      <c r="C79" s="18">
        <f>(5353.0/B79*100)</f>
        <v/>
      </c>
      <c r="D79" s="19" t="n">
        <v>709</v>
      </c>
      <c r="E79" s="18" t="n">
        <v>60.30596394</v>
      </c>
      <c r="F79" s="20" t="n">
        <v>2.1053854</v>
      </c>
      <c r="G79" s="18" t="n">
        <v>37.3085021</v>
      </c>
      <c r="H79" s="20" t="n">
        <v>2.16941717</v>
      </c>
      <c r="I79" s="18" t="n">
        <v>0</v>
      </c>
      <c r="J79" s="20" t="n">
        <v>0</v>
      </c>
      <c r="K79" s="18" t="n">
        <v>0.81481799</v>
      </c>
      <c r="L79" s="20" t="n">
        <v>0.32872975</v>
      </c>
      <c r="M79" s="18" t="n">
        <v>0</v>
      </c>
      <c r="N79" s="20" t="n">
        <v>0</v>
      </c>
      <c r="O79" s="18" t="n">
        <v>0</v>
      </c>
      <c r="P79" s="20" t="n">
        <v>0</v>
      </c>
      <c r="Q79" s="18" t="n">
        <v>1.57071597</v>
      </c>
      <c r="R79" s="20" t="n">
        <v>0.51856871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(28363.0/B82*100)</f>
        <v/>
      </c>
      <c r="D82" s="19" t="n">
        <v>3967</v>
      </c>
      <c r="E82" s="18" t="n">
        <v>41.26296871</v>
      </c>
      <c r="F82" s="20" t="n">
        <v>1.30943769</v>
      </c>
      <c r="G82" s="18" t="n">
        <v>57.84859666</v>
      </c>
      <c r="H82" s="20" t="n">
        <v>1.31333795</v>
      </c>
      <c r="I82" s="18" t="n">
        <v>0</v>
      </c>
      <c r="J82" s="20" t="n">
        <v>0</v>
      </c>
      <c r="K82" s="18" t="n">
        <v>0.2584794</v>
      </c>
      <c r="L82" s="20" t="n">
        <v>0.12369718</v>
      </c>
      <c r="M82" s="18" t="n">
        <v>0</v>
      </c>
      <c r="N82" s="20" t="n">
        <v>0</v>
      </c>
      <c r="O82" s="18" t="n">
        <v>0</v>
      </c>
      <c r="P82" s="20" t="n">
        <v>0</v>
      </c>
      <c r="Q82" s="18" t="n">
        <v>0.62995523</v>
      </c>
      <c r="R82" s="20" t="n">
        <v>0.18142301</v>
      </c>
    </row>
    <row r="83" spans="1:18">
      <c r="A83" s="15" t="s">
        <v>507</v>
      </c>
      <c r="B83" s="17" t="n">
        <v>1652</v>
      </c>
      <c r="C83" s="18">
        <f>(1462.0/B83*100)</f>
        <v/>
      </c>
      <c r="D83" s="19" t="n">
        <v>190</v>
      </c>
      <c r="E83" s="18" t="n">
        <v>39.88462935</v>
      </c>
      <c r="F83" s="20" t="n">
        <v>3.51869199</v>
      </c>
      <c r="G83" s="18" t="n">
        <v>59.25047534</v>
      </c>
      <c r="H83" s="20" t="n">
        <v>3.5081149</v>
      </c>
      <c r="I83" s="18" t="n">
        <v>0</v>
      </c>
      <c r="J83" s="20" t="n">
        <v>0</v>
      </c>
      <c r="K83" s="18" t="n">
        <v>0</v>
      </c>
      <c r="L83" s="20" t="n">
        <v>0</v>
      </c>
      <c r="M83" s="18" t="n">
        <v>0</v>
      </c>
      <c r="N83" s="20" t="n">
        <v>0</v>
      </c>
      <c r="O83" s="18" t="n">
        <v>0</v>
      </c>
      <c r="P83" s="20" t="n">
        <v>0</v>
      </c>
      <c r="Q83" s="18" t="n">
        <v>0.8648953</v>
      </c>
      <c r="R83" s="20" t="n">
        <v>0.59403863</v>
      </c>
    </row>
    <row r="84" spans="1:18">
      <c r="A84" s="23" t="s">
        <v>508</v>
      </c>
      <c r="B84" s="24" t="n">
        <v>1887</v>
      </c>
      <c r="C84" s="25">
        <f>(1664.0/B84*100)</f>
        <v/>
      </c>
      <c r="D84" s="19" t="n">
        <v>223</v>
      </c>
      <c r="E84" s="18" t="n">
        <v>52.8443413</v>
      </c>
      <c r="F84" s="20" t="n">
        <v>4.31390572</v>
      </c>
      <c r="G84" s="18" t="n">
        <v>46.19868873</v>
      </c>
      <c r="H84" s="20" t="n">
        <v>4.3743446</v>
      </c>
      <c r="I84" s="18" t="n">
        <v>0</v>
      </c>
      <c r="J84" s="20" t="n">
        <v>0</v>
      </c>
      <c r="K84" s="18" t="n">
        <v>0</v>
      </c>
      <c r="L84" s="20" t="n">
        <v>0</v>
      </c>
      <c r="M84" s="18" t="n">
        <v>0</v>
      </c>
      <c r="N84" s="20" t="n">
        <v>0</v>
      </c>
      <c r="O84" s="18" t="n">
        <v>0</v>
      </c>
      <c r="P84" s="20" t="n">
        <v>0</v>
      </c>
      <c r="Q84" s="18" t="n">
        <v>0.95696998</v>
      </c>
      <c r="R84" s="20" t="n">
        <v>0.6697442300000001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(12791.0/B7*100)</f>
        <v/>
      </c>
      <c r="D7" s="19" t="n">
        <v>1739</v>
      </c>
      <c r="E7" s="18" t="n">
        <v>39.35634732</v>
      </c>
      <c r="F7" s="20" t="n">
        <v>1.36278878</v>
      </c>
      <c r="G7" s="18" t="n">
        <v>42.74954978</v>
      </c>
      <c r="H7" s="20" t="n">
        <v>1.42905885</v>
      </c>
      <c r="I7" s="18" t="n">
        <v>0</v>
      </c>
      <c r="J7" s="20" t="n">
        <v>0</v>
      </c>
      <c r="K7" s="18" t="n">
        <v>1.13094582</v>
      </c>
      <c r="L7" s="20" t="n">
        <v>0.28152035</v>
      </c>
      <c r="M7" s="18" t="n">
        <v>0.12745553</v>
      </c>
      <c r="N7" s="20" t="n">
        <v>0.10392305</v>
      </c>
      <c r="O7" s="18" t="n">
        <v>0</v>
      </c>
      <c r="P7" s="20" t="n">
        <v>0</v>
      </c>
      <c r="Q7" s="18" t="n">
        <v>16.63570155</v>
      </c>
      <c r="R7" s="20" t="n">
        <v>1.12183886</v>
      </c>
    </row>
    <row r="8" spans="1:18">
      <c r="A8" s="15" t="s">
        <v>430</v>
      </c>
      <c r="B8" s="17" t="n">
        <v>7007</v>
      </c>
      <c r="C8" s="18">
        <f>(6165.0/B8*100)</f>
        <v/>
      </c>
      <c r="D8" s="19" t="n">
        <v>842</v>
      </c>
      <c r="E8" s="18" t="n">
        <v>34.31747568</v>
      </c>
      <c r="F8" s="20" t="n">
        <v>1.88506263</v>
      </c>
      <c r="G8" s="18" t="n">
        <v>33.81978756</v>
      </c>
      <c r="H8" s="20" t="n">
        <v>1.72713475</v>
      </c>
      <c r="I8" s="18" t="n">
        <v>0</v>
      </c>
      <c r="J8" s="20" t="n">
        <v>0</v>
      </c>
      <c r="K8" s="18" t="n">
        <v>0.31073953</v>
      </c>
      <c r="L8" s="20" t="n">
        <v>0.22892719</v>
      </c>
      <c r="M8" s="18" t="n">
        <v>0</v>
      </c>
      <c r="N8" s="20" t="n">
        <v>0</v>
      </c>
      <c r="O8" s="18" t="n">
        <v>0</v>
      </c>
      <c r="P8" s="20" t="n">
        <v>0</v>
      </c>
      <c r="Q8" s="18" t="n">
        <v>31.55199723</v>
      </c>
      <c r="R8" s="20" t="n">
        <v>1.80969465</v>
      </c>
    </row>
    <row r="9" spans="1:18">
      <c r="A9" s="15" t="s">
        <v>431</v>
      </c>
      <c r="B9" s="17" t="n">
        <v>9651</v>
      </c>
      <c r="C9" s="18">
        <f>(8528.0/B9*100)</f>
        <v/>
      </c>
      <c r="D9" s="19" t="n">
        <v>1123</v>
      </c>
      <c r="E9" s="18" t="n">
        <v>41.65481461</v>
      </c>
      <c r="F9" s="20" t="n">
        <v>1.58033674</v>
      </c>
      <c r="G9" s="18" t="n">
        <v>36.48927179</v>
      </c>
      <c r="H9" s="20" t="n">
        <v>1.69882167</v>
      </c>
      <c r="I9" s="18" t="n">
        <v>0</v>
      </c>
      <c r="J9" s="20" t="n">
        <v>0</v>
      </c>
      <c r="K9" s="18" t="n">
        <v>0.3102125</v>
      </c>
      <c r="L9" s="20" t="n">
        <v>0.18188305</v>
      </c>
      <c r="M9" s="18" t="n">
        <v>0.06426522</v>
      </c>
      <c r="N9" s="20" t="n">
        <v>0.06561989999999999</v>
      </c>
      <c r="O9" s="18" t="n">
        <v>0</v>
      </c>
      <c r="P9" s="20" t="n">
        <v>0</v>
      </c>
      <c r="Q9" s="18" t="n">
        <v>21.48143588</v>
      </c>
      <c r="R9" s="20" t="n">
        <v>1.16020252</v>
      </c>
    </row>
    <row r="10" spans="1:18">
      <c r="A10" s="15" t="s">
        <v>432</v>
      </c>
      <c r="B10" s="17" t="n">
        <v>20058</v>
      </c>
      <c r="C10" s="18">
        <f>(17627.0/B10*100)</f>
        <v/>
      </c>
      <c r="D10" s="19" t="n">
        <v>2431</v>
      </c>
      <c r="E10" s="18" t="n">
        <v>39.4876061</v>
      </c>
      <c r="F10" s="20" t="n">
        <v>1.27963596</v>
      </c>
      <c r="G10" s="18" t="n">
        <v>48.83334356</v>
      </c>
      <c r="H10" s="20" t="n">
        <v>1.43419128</v>
      </c>
      <c r="I10" s="18" t="n">
        <v>0</v>
      </c>
      <c r="J10" s="20" t="n">
        <v>0</v>
      </c>
      <c r="K10" s="18" t="n">
        <v>0.57975818</v>
      </c>
      <c r="L10" s="20" t="n">
        <v>0.19122008</v>
      </c>
      <c r="M10" s="18" t="n">
        <v>0</v>
      </c>
      <c r="N10" s="20" t="n">
        <v>0</v>
      </c>
      <c r="O10" s="18" t="n">
        <v>0</v>
      </c>
      <c r="P10" s="20" t="n">
        <v>0</v>
      </c>
      <c r="Q10" s="18" t="n">
        <v>11.09929216</v>
      </c>
      <c r="R10" s="20" t="n">
        <v>0.96871318</v>
      </c>
    </row>
    <row r="11" spans="1:18">
      <c r="A11" s="15" t="s">
        <v>433</v>
      </c>
      <c r="B11" s="17" t="n">
        <v>7053</v>
      </c>
      <c r="C11" s="18">
        <f>(6237.0/B11*100)</f>
        <v/>
      </c>
      <c r="D11" s="19" t="n">
        <v>816</v>
      </c>
      <c r="E11" s="18" t="n">
        <v>35.00701596</v>
      </c>
      <c r="F11" s="20" t="n">
        <v>1.92416891</v>
      </c>
      <c r="G11" s="18" t="n">
        <v>31.2805318</v>
      </c>
      <c r="H11" s="20" t="n">
        <v>1.76258329</v>
      </c>
      <c r="I11" s="18" t="n">
        <v>0</v>
      </c>
      <c r="J11" s="20" t="n">
        <v>0</v>
      </c>
      <c r="K11" s="18" t="n">
        <v>1.74445435</v>
      </c>
      <c r="L11" s="20" t="n">
        <v>0.6196769600000001</v>
      </c>
      <c r="M11" s="18" t="n">
        <v>0.11897306</v>
      </c>
      <c r="N11" s="20" t="n">
        <v>0.10789815</v>
      </c>
      <c r="O11" s="18" t="n">
        <v>0</v>
      </c>
      <c r="P11" s="20" t="n">
        <v>0</v>
      </c>
      <c r="Q11" s="18" t="n">
        <v>31.84902482</v>
      </c>
      <c r="R11" s="20" t="n">
        <v>1.80168721</v>
      </c>
    </row>
    <row r="12" spans="1:18">
      <c r="A12" s="15" t="s">
        <v>434</v>
      </c>
      <c r="B12" s="17" t="n">
        <v>6894</v>
      </c>
      <c r="C12" s="18">
        <f>(6145.0/B12*100)</f>
        <v/>
      </c>
      <c r="D12" s="19" t="n">
        <v>749</v>
      </c>
      <c r="E12" s="18" t="n">
        <v>35.28283569</v>
      </c>
      <c r="F12" s="20" t="n">
        <v>1.73439049</v>
      </c>
      <c r="G12" s="18" t="n">
        <v>41.38906896</v>
      </c>
      <c r="H12" s="20" t="n">
        <v>1.99688048</v>
      </c>
      <c r="I12" s="18" t="n">
        <v>0</v>
      </c>
      <c r="J12" s="20" t="n">
        <v>0</v>
      </c>
      <c r="K12" s="18" t="n">
        <v>0.39872577</v>
      </c>
      <c r="L12" s="20" t="n">
        <v>0.430323</v>
      </c>
      <c r="M12" s="18" t="n">
        <v>0</v>
      </c>
      <c r="N12" s="20" t="n">
        <v>0</v>
      </c>
      <c r="O12" s="18" t="n">
        <v>0</v>
      </c>
      <c r="P12" s="20" t="n">
        <v>0</v>
      </c>
      <c r="Q12" s="18" t="n">
        <v>22.92936958</v>
      </c>
      <c r="R12" s="20" t="n">
        <v>1.66312543</v>
      </c>
    </row>
    <row r="13" spans="1:18">
      <c r="A13" s="15" t="s">
        <v>435</v>
      </c>
      <c r="B13" s="17" t="n">
        <v>7161</v>
      </c>
      <c r="C13" s="18">
        <f>(6319.0/B13*100)</f>
        <v/>
      </c>
      <c r="D13" s="19" t="n">
        <v>842</v>
      </c>
      <c r="E13" s="18" t="n">
        <v>42.44214709</v>
      </c>
      <c r="F13" s="20" t="n">
        <v>2.28927139</v>
      </c>
      <c r="G13" s="18" t="n">
        <v>38.91474834</v>
      </c>
      <c r="H13" s="20" t="n">
        <v>1.9423277</v>
      </c>
      <c r="I13" s="18" t="n">
        <v>0</v>
      </c>
      <c r="J13" s="20" t="n">
        <v>0</v>
      </c>
      <c r="K13" s="18" t="n">
        <v>0.15107846</v>
      </c>
      <c r="L13" s="20" t="n">
        <v>0.13613928</v>
      </c>
      <c r="M13" s="18" t="n">
        <v>0.03602263</v>
      </c>
      <c r="N13" s="20" t="n">
        <v>0.03619137</v>
      </c>
      <c r="O13" s="18" t="n">
        <v>0</v>
      </c>
      <c r="P13" s="20" t="n">
        <v>0</v>
      </c>
      <c r="Q13" s="18" t="n">
        <v>18.45600347</v>
      </c>
      <c r="R13" s="20" t="n">
        <v>1.36684191</v>
      </c>
    </row>
    <row r="14" spans="1:18">
      <c r="A14" s="15" t="s">
        <v>436</v>
      </c>
      <c r="B14" s="17" t="n">
        <v>5587</v>
      </c>
      <c r="C14" s="18">
        <f>(4898.0/B14*100)</f>
        <v/>
      </c>
      <c r="D14" s="19" t="n">
        <v>689</v>
      </c>
      <c r="E14" s="18" t="n">
        <v>32.65060173</v>
      </c>
      <c r="F14" s="20" t="n">
        <v>1.88992923</v>
      </c>
      <c r="G14" s="18" t="n">
        <v>51.60265894</v>
      </c>
      <c r="H14" s="20" t="n">
        <v>1.90238479</v>
      </c>
      <c r="I14" s="18" t="n">
        <v>0</v>
      </c>
      <c r="J14" s="20" t="n">
        <v>0</v>
      </c>
      <c r="K14" s="18" t="n">
        <v>0.40507087</v>
      </c>
      <c r="L14" s="20" t="n">
        <v>0.24022796</v>
      </c>
      <c r="M14" s="18" t="n">
        <v>0</v>
      </c>
      <c r="N14" s="20" t="n">
        <v>0</v>
      </c>
      <c r="O14" s="18" t="n">
        <v>0</v>
      </c>
      <c r="P14" s="20" t="n">
        <v>0</v>
      </c>
      <c r="Q14" s="18" t="n">
        <v>15.34166846</v>
      </c>
      <c r="R14" s="20" t="n">
        <v>1.50577804</v>
      </c>
    </row>
    <row r="15" spans="1:18">
      <c r="A15" s="15" t="s">
        <v>437</v>
      </c>
      <c r="B15" s="17" t="n">
        <v>5882</v>
      </c>
      <c r="C15" s="18">
        <f>(5164.0/B15*100)</f>
        <v/>
      </c>
      <c r="D15" s="19" t="n">
        <v>718</v>
      </c>
      <c r="E15" s="18" t="n">
        <v>25.84808179</v>
      </c>
      <c r="F15" s="20" t="n">
        <v>1.96480573</v>
      </c>
      <c r="G15" s="18" t="n">
        <v>60.5280893</v>
      </c>
      <c r="H15" s="20" t="n">
        <v>2.03867897</v>
      </c>
      <c r="I15" s="18" t="n">
        <v>0</v>
      </c>
      <c r="J15" s="20" t="n">
        <v>0</v>
      </c>
      <c r="K15" s="18" t="n">
        <v>0.37486883</v>
      </c>
      <c r="L15" s="20" t="n">
        <v>0.27450852</v>
      </c>
      <c r="M15" s="18" t="n">
        <v>0</v>
      </c>
      <c r="N15" s="20" t="n">
        <v>0</v>
      </c>
      <c r="O15" s="18" t="n">
        <v>0</v>
      </c>
      <c r="P15" s="20" t="n">
        <v>0</v>
      </c>
      <c r="Q15" s="18" t="n">
        <v>13.24896009</v>
      </c>
      <c r="R15" s="20" t="n">
        <v>1.45233558</v>
      </c>
    </row>
    <row r="16" spans="1:18">
      <c r="A16" s="15" t="s">
        <v>438</v>
      </c>
      <c r="B16" s="17" t="n">
        <v>6108</v>
      </c>
      <c r="C16" s="18">
        <f>(5378.0/B16*100)</f>
        <v/>
      </c>
      <c r="D16" s="19" t="n">
        <v>730</v>
      </c>
      <c r="E16" s="18" t="n">
        <v>29.09689915</v>
      </c>
      <c r="F16" s="20" t="n">
        <v>1.76244281</v>
      </c>
      <c r="G16" s="18" t="n">
        <v>39.80830791</v>
      </c>
      <c r="H16" s="20" t="n">
        <v>1.83754603</v>
      </c>
      <c r="I16" s="18" t="n">
        <v>0</v>
      </c>
      <c r="J16" s="20" t="n">
        <v>0</v>
      </c>
      <c r="K16" s="18" t="n">
        <v>0.96022303</v>
      </c>
      <c r="L16" s="20" t="n">
        <v>0.43623578</v>
      </c>
      <c r="M16" s="18" t="n">
        <v>0</v>
      </c>
      <c r="N16" s="20" t="n">
        <v>0</v>
      </c>
      <c r="O16" s="18" t="n">
        <v>0</v>
      </c>
      <c r="P16" s="20" t="n">
        <v>0</v>
      </c>
      <c r="Q16" s="18" t="n">
        <v>30.13456991</v>
      </c>
      <c r="R16" s="20" t="n">
        <v>1.69420577</v>
      </c>
    </row>
    <row r="17" spans="1:18">
      <c r="A17" s="15" t="s">
        <v>439</v>
      </c>
      <c r="B17" s="17" t="n">
        <v>6504</v>
      </c>
      <c r="C17" s="18">
        <f>(5728.0/B17*100)</f>
        <v/>
      </c>
      <c r="D17" s="19" t="n">
        <v>776</v>
      </c>
      <c r="E17" s="18" t="n">
        <v>38.2478658</v>
      </c>
      <c r="F17" s="20" t="n">
        <v>1.96409747</v>
      </c>
      <c r="G17" s="18" t="n">
        <v>31.89866619</v>
      </c>
      <c r="H17" s="20" t="n">
        <v>1.77991684</v>
      </c>
      <c r="I17" s="18" t="n">
        <v>0</v>
      </c>
      <c r="J17" s="20" t="n">
        <v>0</v>
      </c>
      <c r="K17" s="18" t="n">
        <v>0.85585396</v>
      </c>
      <c r="L17" s="20" t="n">
        <v>0.32870889</v>
      </c>
      <c r="M17" s="18" t="n">
        <v>0</v>
      </c>
      <c r="N17" s="20" t="n">
        <v>0</v>
      </c>
      <c r="O17" s="18" t="n">
        <v>0</v>
      </c>
      <c r="P17" s="20" t="n">
        <v>0</v>
      </c>
      <c r="Q17" s="18" t="n">
        <v>28.99761405</v>
      </c>
      <c r="R17" s="20" t="n">
        <v>1.61894653</v>
      </c>
    </row>
    <row r="18" spans="1:18">
      <c r="A18" s="15" t="s">
        <v>440</v>
      </c>
      <c r="B18" s="17" t="n">
        <v>5532</v>
      </c>
      <c r="C18" s="18">
        <f>(4855.0/B18*100)</f>
        <v/>
      </c>
      <c r="D18" s="19" t="n">
        <v>677</v>
      </c>
      <c r="E18" s="18" t="n">
        <v>46.85415748</v>
      </c>
      <c r="F18" s="20" t="n">
        <v>2.19617272</v>
      </c>
      <c r="G18" s="18" t="n">
        <v>26.43284426</v>
      </c>
      <c r="H18" s="20" t="n">
        <v>1.94014531</v>
      </c>
      <c r="I18" s="18" t="n">
        <v>0</v>
      </c>
      <c r="J18" s="20" t="n">
        <v>0</v>
      </c>
      <c r="K18" s="18" t="n">
        <v>1.08979963</v>
      </c>
      <c r="L18" s="20" t="n">
        <v>0.43373451</v>
      </c>
      <c r="M18" s="18" t="n">
        <v>0</v>
      </c>
      <c r="N18" s="20" t="n">
        <v>0</v>
      </c>
      <c r="O18" s="18" t="n">
        <v>0</v>
      </c>
      <c r="P18" s="20" t="n">
        <v>0</v>
      </c>
      <c r="Q18" s="18" t="n">
        <v>25.62319864</v>
      </c>
      <c r="R18" s="20" t="n">
        <v>1.69807141</v>
      </c>
    </row>
    <row r="19" spans="1:18">
      <c r="A19" s="15" t="s">
        <v>441</v>
      </c>
      <c r="B19" s="17" t="n">
        <v>5658</v>
      </c>
      <c r="C19" s="18">
        <f>(4964.0/B19*100)</f>
        <v/>
      </c>
      <c r="D19" s="19" t="n">
        <v>694</v>
      </c>
      <c r="E19" s="18" t="n">
        <v>28.02207354</v>
      </c>
      <c r="F19" s="20" t="n">
        <v>1.69918906</v>
      </c>
      <c r="G19" s="18" t="n">
        <v>44.56232085</v>
      </c>
      <c r="H19" s="20" t="n">
        <v>1.99501204</v>
      </c>
      <c r="I19" s="18" t="n">
        <v>0</v>
      </c>
      <c r="J19" s="20" t="n">
        <v>0</v>
      </c>
      <c r="K19" s="18" t="n">
        <v>0</v>
      </c>
      <c r="L19" s="20" t="n">
        <v>0</v>
      </c>
      <c r="M19" s="18" t="n">
        <v>0</v>
      </c>
      <c r="N19" s="20" t="n">
        <v>0</v>
      </c>
      <c r="O19" s="18" t="n">
        <v>0</v>
      </c>
      <c r="P19" s="20" t="n">
        <v>0</v>
      </c>
      <c r="Q19" s="18" t="n">
        <v>27.41560561</v>
      </c>
      <c r="R19" s="20" t="n">
        <v>1.7128521</v>
      </c>
    </row>
    <row r="20" spans="1:18">
      <c r="A20" s="15" t="s">
        <v>442</v>
      </c>
      <c r="B20" s="17" t="n">
        <v>3371</v>
      </c>
      <c r="C20" s="18">
        <f>(2972.0/B20*100)</f>
        <v/>
      </c>
      <c r="D20" s="19" t="n">
        <v>399</v>
      </c>
      <c r="E20" s="18" t="n">
        <v>48.98316626</v>
      </c>
      <c r="F20" s="20" t="n">
        <v>2.30957178</v>
      </c>
      <c r="G20" s="18" t="n">
        <v>22.62700048</v>
      </c>
      <c r="H20" s="20" t="n">
        <v>2.33834088</v>
      </c>
      <c r="I20" s="18" t="n">
        <v>0</v>
      </c>
      <c r="J20" s="20" t="n">
        <v>0</v>
      </c>
      <c r="K20" s="18" t="n">
        <v>0.67412644</v>
      </c>
      <c r="L20" s="20" t="n">
        <v>0.38705885</v>
      </c>
      <c r="M20" s="18" t="n">
        <v>0.38572706</v>
      </c>
      <c r="N20" s="20" t="n">
        <v>0.3698412</v>
      </c>
      <c r="O20" s="18" t="n">
        <v>0</v>
      </c>
      <c r="P20" s="20" t="n">
        <v>0</v>
      </c>
      <c r="Q20" s="18" t="n">
        <v>27.32997977</v>
      </c>
      <c r="R20" s="20" t="n">
        <v>2.14741977</v>
      </c>
    </row>
    <row r="21" spans="1:18">
      <c r="A21" s="15" t="s">
        <v>443</v>
      </c>
      <c r="B21" s="17" t="n">
        <v>5741</v>
      </c>
      <c r="C21" s="18">
        <f>(4797.0/B21*100)</f>
        <v/>
      </c>
      <c r="D21" s="19" t="n">
        <v>944</v>
      </c>
      <c r="E21" s="18" t="n">
        <v>39.36215807</v>
      </c>
      <c r="F21" s="20" t="n">
        <v>1.61455216</v>
      </c>
      <c r="G21" s="18" t="n">
        <v>43.61715156</v>
      </c>
      <c r="H21" s="20" t="n">
        <v>1.81329513</v>
      </c>
      <c r="I21" s="18" t="n">
        <v>0</v>
      </c>
      <c r="J21" s="20" t="n">
        <v>0</v>
      </c>
      <c r="K21" s="18" t="n">
        <v>0.28369763</v>
      </c>
      <c r="L21" s="20" t="n">
        <v>0.15105659</v>
      </c>
      <c r="M21" s="18" t="n">
        <v>0</v>
      </c>
      <c r="N21" s="20" t="n">
        <v>0</v>
      </c>
      <c r="O21" s="18" t="n">
        <v>0</v>
      </c>
      <c r="P21" s="20" t="n">
        <v>0</v>
      </c>
      <c r="Q21" s="18" t="n">
        <v>16.73699273</v>
      </c>
      <c r="R21" s="20" t="n">
        <v>1.09626397</v>
      </c>
    </row>
    <row r="22" spans="1:18">
      <c r="A22" s="15" t="s">
        <v>444</v>
      </c>
      <c r="B22" s="17" t="n">
        <v>6598</v>
      </c>
      <c r="C22" s="18">
        <f>(5791.0/B22*100)</f>
        <v/>
      </c>
      <c r="D22" s="19" t="n">
        <v>807</v>
      </c>
      <c r="E22" s="18" t="n">
        <v>34.48563301</v>
      </c>
      <c r="F22" s="20" t="n">
        <v>1.75629499</v>
      </c>
      <c r="G22" s="18" t="n">
        <v>42.93946958</v>
      </c>
      <c r="H22" s="20" t="n">
        <v>2.1588127</v>
      </c>
      <c r="I22" s="18" t="n">
        <v>0</v>
      </c>
      <c r="J22" s="20" t="n">
        <v>0</v>
      </c>
      <c r="K22" s="18" t="n">
        <v>0.65461844</v>
      </c>
      <c r="L22" s="20" t="n">
        <v>0.30611402</v>
      </c>
      <c r="M22" s="18" t="n">
        <v>0</v>
      </c>
      <c r="N22" s="20" t="n">
        <v>0</v>
      </c>
      <c r="O22" s="18" t="n">
        <v>0</v>
      </c>
      <c r="P22" s="20" t="n">
        <v>0</v>
      </c>
      <c r="Q22" s="18" t="n">
        <v>21.92027897</v>
      </c>
      <c r="R22" s="20" t="n">
        <v>1.7390846</v>
      </c>
    </row>
    <row r="23" spans="1:18">
      <c r="A23" s="15" t="s">
        <v>445</v>
      </c>
      <c r="B23" s="17" t="n">
        <v>11583</v>
      </c>
      <c r="C23" s="18">
        <f>(10155.0/B23*100)</f>
        <v/>
      </c>
      <c r="D23" s="19" t="n">
        <v>1428</v>
      </c>
      <c r="E23" s="18" t="n">
        <v>35.42770161</v>
      </c>
      <c r="F23" s="20" t="n">
        <v>2.29984</v>
      </c>
      <c r="G23" s="18" t="n">
        <v>31.41056661</v>
      </c>
      <c r="H23" s="20" t="n">
        <v>1.99633753</v>
      </c>
      <c r="I23" s="18" t="n">
        <v>0</v>
      </c>
      <c r="J23" s="20" t="n">
        <v>0</v>
      </c>
      <c r="K23" s="18" t="n">
        <v>0.68134988</v>
      </c>
      <c r="L23" s="20" t="n">
        <v>0.46105344</v>
      </c>
      <c r="M23" s="18" t="n">
        <v>0.66343346</v>
      </c>
      <c r="N23" s="20" t="n">
        <v>0.23753065</v>
      </c>
      <c r="O23" s="18" t="n">
        <v>0</v>
      </c>
      <c r="P23" s="20" t="n">
        <v>0</v>
      </c>
      <c r="Q23" s="18" t="n">
        <v>31.81694844</v>
      </c>
      <c r="R23" s="20" t="n">
        <v>2.09296381</v>
      </c>
    </row>
    <row r="24" spans="1:18">
      <c r="A24" s="15" t="s">
        <v>446</v>
      </c>
      <c r="B24" s="17" t="n">
        <v>6647</v>
      </c>
      <c r="C24" s="18">
        <f>(5859.0/B24*100)</f>
        <v/>
      </c>
      <c r="D24" s="19" t="n">
        <v>788</v>
      </c>
      <c r="E24" s="18" t="n">
        <v>30.54196944</v>
      </c>
      <c r="F24" s="20" t="n">
        <v>1.55147089</v>
      </c>
      <c r="G24" s="18" t="n">
        <v>41.25860862</v>
      </c>
      <c r="H24" s="20" t="n">
        <v>1.88912831</v>
      </c>
      <c r="I24" s="18" t="n">
        <v>0</v>
      </c>
      <c r="J24" s="20" t="n">
        <v>0</v>
      </c>
      <c r="K24" s="18" t="n">
        <v>0.6284432</v>
      </c>
      <c r="L24" s="20" t="n">
        <v>0.28080303</v>
      </c>
      <c r="M24" s="18" t="n">
        <v>0</v>
      </c>
      <c r="N24" s="20" t="n">
        <v>0</v>
      </c>
      <c r="O24" s="18" t="n">
        <v>0</v>
      </c>
      <c r="P24" s="20" t="n">
        <v>0</v>
      </c>
      <c r="Q24" s="18" t="n">
        <v>27.57097874</v>
      </c>
      <c r="R24" s="20" t="n">
        <v>1.85543103</v>
      </c>
    </row>
    <row r="25" spans="1:18">
      <c r="A25" s="15" t="s">
        <v>447</v>
      </c>
      <c r="B25" s="17" t="n">
        <v>5581</v>
      </c>
      <c r="C25" s="18">
        <f>(4907.0/B25*100)</f>
        <v/>
      </c>
      <c r="D25" s="19" t="n">
        <v>674</v>
      </c>
      <c r="E25" s="18" t="n">
        <v>37.70555472</v>
      </c>
      <c r="F25" s="20" t="n">
        <v>1.94536348</v>
      </c>
      <c r="G25" s="18" t="n">
        <v>45.81842344</v>
      </c>
      <c r="H25" s="20" t="n">
        <v>2.10475387</v>
      </c>
      <c r="I25" s="18" t="n">
        <v>0</v>
      </c>
      <c r="J25" s="20" t="n">
        <v>0</v>
      </c>
      <c r="K25" s="18" t="n">
        <v>0.13561561</v>
      </c>
      <c r="L25" s="20" t="n">
        <v>0.13568086</v>
      </c>
      <c r="M25" s="18" t="n">
        <v>0</v>
      </c>
      <c r="N25" s="20" t="n">
        <v>0</v>
      </c>
      <c r="O25" s="18" t="n">
        <v>0</v>
      </c>
      <c r="P25" s="20" t="n">
        <v>0</v>
      </c>
      <c r="Q25" s="18" t="n">
        <v>16.34040623</v>
      </c>
      <c r="R25" s="20" t="n">
        <v>1.5762317</v>
      </c>
    </row>
    <row r="26" spans="1:18">
      <c r="A26" s="15" t="s">
        <v>448</v>
      </c>
      <c r="B26" s="17" t="n">
        <v>4869</v>
      </c>
      <c r="C26" s="18">
        <f>(4278.0/B26*100)</f>
        <v/>
      </c>
      <c r="D26" s="19" t="n">
        <v>591</v>
      </c>
      <c r="E26" s="18" t="n">
        <v>40.9039723</v>
      </c>
      <c r="F26" s="20" t="n">
        <v>2.29847909</v>
      </c>
      <c r="G26" s="18" t="n">
        <v>38.33315453</v>
      </c>
      <c r="H26" s="20" t="n">
        <v>2.14611464</v>
      </c>
      <c r="I26" s="18" t="n">
        <v>0</v>
      </c>
      <c r="J26" s="20" t="n">
        <v>0</v>
      </c>
      <c r="K26" s="18" t="n">
        <v>0</v>
      </c>
      <c r="L26" s="20" t="n">
        <v>0</v>
      </c>
      <c r="M26" s="18" t="n">
        <v>0.49817433</v>
      </c>
      <c r="N26" s="20" t="n">
        <v>0.3758986</v>
      </c>
      <c r="O26" s="18" t="n">
        <v>0</v>
      </c>
      <c r="P26" s="20" t="n">
        <v>0</v>
      </c>
      <c r="Q26" s="18" t="n">
        <v>20.26469884</v>
      </c>
      <c r="R26" s="20" t="n">
        <v>1.81349071</v>
      </c>
    </row>
    <row r="27" spans="1:18">
      <c r="A27" s="15" t="s">
        <v>449</v>
      </c>
      <c r="B27" s="17" t="n">
        <v>5299</v>
      </c>
      <c r="C27" s="18">
        <f>(4674.0/B27*100)</f>
        <v/>
      </c>
      <c r="D27" s="19" t="n">
        <v>625</v>
      </c>
      <c r="E27" s="18" t="n">
        <v>35.02996543</v>
      </c>
      <c r="F27" s="20" t="n">
        <v>2.09063035</v>
      </c>
      <c r="G27" s="18" t="n">
        <v>29.03322593</v>
      </c>
      <c r="H27" s="20" t="n">
        <v>1.79950154</v>
      </c>
      <c r="I27" s="18" t="n">
        <v>0</v>
      </c>
      <c r="J27" s="20" t="n">
        <v>0</v>
      </c>
      <c r="K27" s="18" t="n">
        <v>0.79802111</v>
      </c>
      <c r="L27" s="20" t="n">
        <v>0.35848485</v>
      </c>
      <c r="M27" s="18" t="n">
        <v>0</v>
      </c>
      <c r="N27" s="20" t="n">
        <v>0</v>
      </c>
      <c r="O27" s="18" t="n">
        <v>0</v>
      </c>
      <c r="P27" s="20" t="n">
        <v>0</v>
      </c>
      <c r="Q27" s="18" t="n">
        <v>35.13878753</v>
      </c>
      <c r="R27" s="20" t="n">
        <v>2.18253338</v>
      </c>
    </row>
    <row r="28" spans="1:18">
      <c r="A28" s="15" t="s">
        <v>450</v>
      </c>
      <c r="B28" s="17" t="n">
        <v>7568</v>
      </c>
      <c r="C28" s="18">
        <f>(6695.0/B28*100)</f>
        <v/>
      </c>
      <c r="D28" s="19" t="n">
        <v>873</v>
      </c>
      <c r="E28" s="18" t="n">
        <v>64.28940627999999</v>
      </c>
      <c r="F28" s="20" t="n">
        <v>1.88075255</v>
      </c>
      <c r="G28" s="18" t="n">
        <v>22.68751275</v>
      </c>
      <c r="H28" s="20" t="n">
        <v>1.56023151</v>
      </c>
      <c r="I28" s="18" t="n">
        <v>0</v>
      </c>
      <c r="J28" s="20" t="n">
        <v>0</v>
      </c>
      <c r="K28" s="18" t="n">
        <v>1.279882</v>
      </c>
      <c r="L28" s="20" t="n">
        <v>0.44665322</v>
      </c>
      <c r="M28" s="18" t="n">
        <v>0</v>
      </c>
      <c r="N28" s="20" t="n">
        <v>0</v>
      </c>
      <c r="O28" s="18" t="n">
        <v>0</v>
      </c>
      <c r="P28" s="20" t="n">
        <v>0</v>
      </c>
      <c r="Q28" s="18" t="n">
        <v>11.74319897</v>
      </c>
      <c r="R28" s="20" t="n">
        <v>1.28425485</v>
      </c>
    </row>
    <row r="29" spans="1:18">
      <c r="A29" s="15" t="s">
        <v>451</v>
      </c>
      <c r="B29" s="17" t="n">
        <v>5385</v>
      </c>
      <c r="C29" s="18">
        <f>(4739.0/B29*100)</f>
        <v/>
      </c>
      <c r="D29" s="19" t="n">
        <v>646</v>
      </c>
      <c r="E29" s="18" t="n">
        <v>50.61510745</v>
      </c>
      <c r="F29" s="20" t="n">
        <v>1.98901094</v>
      </c>
      <c r="G29" s="18" t="n">
        <v>44.43018676</v>
      </c>
      <c r="H29" s="20" t="n">
        <v>1.97411098</v>
      </c>
      <c r="I29" s="18" t="n">
        <v>0</v>
      </c>
      <c r="J29" s="20" t="n">
        <v>0</v>
      </c>
      <c r="K29" s="18" t="n">
        <v>0.18627625</v>
      </c>
      <c r="L29" s="20" t="n">
        <v>0.13323819</v>
      </c>
      <c r="M29" s="18" t="n">
        <v>0</v>
      </c>
      <c r="N29" s="20" t="n">
        <v>0</v>
      </c>
      <c r="O29" s="18" t="n">
        <v>0</v>
      </c>
      <c r="P29" s="20" t="n">
        <v>0</v>
      </c>
      <c r="Q29" s="18" t="n">
        <v>4.76842954</v>
      </c>
      <c r="R29" s="20" t="n">
        <v>0.95898644</v>
      </c>
    </row>
    <row r="30" spans="1:18">
      <c r="A30" s="15" t="s">
        <v>452</v>
      </c>
      <c r="B30" s="17" t="n">
        <v>4520</v>
      </c>
      <c r="C30" s="18">
        <f>(3989.0/B30*100)</f>
        <v/>
      </c>
      <c r="D30" s="19" t="n">
        <v>531</v>
      </c>
      <c r="E30" s="18" t="n">
        <v>36.8945113</v>
      </c>
      <c r="F30" s="20" t="n">
        <v>2.28622894</v>
      </c>
      <c r="G30" s="18" t="n">
        <v>40.10361734</v>
      </c>
      <c r="H30" s="20" t="n">
        <v>1.83331859</v>
      </c>
      <c r="I30" s="18" t="n">
        <v>0</v>
      </c>
      <c r="J30" s="20" t="n">
        <v>0</v>
      </c>
      <c r="K30" s="18" t="n">
        <v>1.56153791</v>
      </c>
      <c r="L30" s="20" t="n">
        <v>0.64491471</v>
      </c>
      <c r="M30" s="18" t="n">
        <v>0.42483886</v>
      </c>
      <c r="N30" s="20" t="n">
        <v>0.30673366</v>
      </c>
      <c r="O30" s="18" t="n">
        <v>0</v>
      </c>
      <c r="P30" s="20" t="n">
        <v>0</v>
      </c>
      <c r="Q30" s="18" t="n">
        <v>21.01549458</v>
      </c>
      <c r="R30" s="20" t="n">
        <v>1.65410481</v>
      </c>
    </row>
    <row r="31" spans="1:18">
      <c r="A31" s="15" t="s">
        <v>453</v>
      </c>
      <c r="B31" s="17" t="n">
        <v>5456</v>
      </c>
      <c r="C31" s="18">
        <f>(4805.0/B31*100)</f>
        <v/>
      </c>
      <c r="D31" s="19" t="n">
        <v>651</v>
      </c>
      <c r="E31" s="18" t="n">
        <v>36.07938841</v>
      </c>
      <c r="F31" s="20" t="n">
        <v>1.72121717</v>
      </c>
      <c r="G31" s="18" t="n">
        <v>35.22281134</v>
      </c>
      <c r="H31" s="20" t="n">
        <v>1.84960663</v>
      </c>
      <c r="I31" s="18" t="n">
        <v>0</v>
      </c>
      <c r="J31" s="20" t="n">
        <v>0</v>
      </c>
      <c r="K31" s="18" t="n">
        <v>0.72976483</v>
      </c>
      <c r="L31" s="20" t="n">
        <v>0.31553187</v>
      </c>
      <c r="M31" s="18" t="n">
        <v>0</v>
      </c>
      <c r="N31" s="20" t="n">
        <v>0</v>
      </c>
      <c r="O31" s="18" t="n">
        <v>0</v>
      </c>
      <c r="P31" s="20" t="n">
        <v>0</v>
      </c>
      <c r="Q31" s="18" t="n">
        <v>27.96803542</v>
      </c>
      <c r="R31" s="20" t="n">
        <v>1.5655001</v>
      </c>
    </row>
    <row r="32" spans="1:18">
      <c r="A32" s="15" t="s">
        <v>454</v>
      </c>
      <c r="B32" s="17" t="n">
        <v>4478</v>
      </c>
      <c r="C32" s="18">
        <f>(3751.0/B32*100)</f>
        <v/>
      </c>
      <c r="D32" s="19" t="n">
        <v>727</v>
      </c>
      <c r="E32" s="18" t="n">
        <v>33.83656165</v>
      </c>
      <c r="F32" s="20" t="n">
        <v>1.70003825</v>
      </c>
      <c r="G32" s="18" t="n">
        <v>43.18373442</v>
      </c>
      <c r="H32" s="20" t="n">
        <v>2.14824921</v>
      </c>
      <c r="I32" s="18" t="n">
        <v>0</v>
      </c>
      <c r="J32" s="20" t="n">
        <v>0</v>
      </c>
      <c r="K32" s="18" t="n">
        <v>0</v>
      </c>
      <c r="L32" s="20" t="n">
        <v>0</v>
      </c>
      <c r="M32" s="18" t="n">
        <v>0</v>
      </c>
      <c r="N32" s="20" t="n">
        <v>0</v>
      </c>
      <c r="O32" s="18" t="n">
        <v>0</v>
      </c>
      <c r="P32" s="20" t="n">
        <v>0</v>
      </c>
      <c r="Q32" s="18" t="n">
        <v>22.97970393</v>
      </c>
      <c r="R32" s="20" t="n">
        <v>1.51541009</v>
      </c>
    </row>
    <row r="33" spans="1:18">
      <c r="A33" s="15" t="s">
        <v>455</v>
      </c>
      <c r="B33" s="17" t="n">
        <v>7325</v>
      </c>
      <c r="C33" s="18">
        <f>(6465.0/B33*100)</f>
        <v/>
      </c>
      <c r="D33" s="19" t="n">
        <v>860</v>
      </c>
      <c r="E33" s="18" t="n">
        <v>34.24975028</v>
      </c>
      <c r="F33" s="20" t="n">
        <v>2.01833619</v>
      </c>
      <c r="G33" s="18" t="n">
        <v>39.96507803</v>
      </c>
      <c r="H33" s="20" t="n">
        <v>1.81728307</v>
      </c>
      <c r="I33" s="18" t="n">
        <v>0</v>
      </c>
      <c r="J33" s="20" t="n">
        <v>0</v>
      </c>
      <c r="K33" s="18" t="n">
        <v>0.33385639</v>
      </c>
      <c r="L33" s="20" t="n">
        <v>0.22054766</v>
      </c>
      <c r="M33" s="18" t="n">
        <v>0.12682753</v>
      </c>
      <c r="N33" s="20" t="n">
        <v>0.08873495000000001</v>
      </c>
      <c r="O33" s="18" t="n">
        <v>0</v>
      </c>
      <c r="P33" s="20" t="n">
        <v>0</v>
      </c>
      <c r="Q33" s="18" t="n">
        <v>25.32448778</v>
      </c>
      <c r="R33" s="20" t="n">
        <v>1.83213624</v>
      </c>
    </row>
    <row r="34" spans="1:18">
      <c r="A34" s="15" t="s">
        <v>456</v>
      </c>
      <c r="B34" s="17" t="n">
        <v>6350</v>
      </c>
      <c r="C34" s="18">
        <f>(5610.0/B34*100)</f>
        <v/>
      </c>
      <c r="D34" s="19" t="n">
        <v>740</v>
      </c>
      <c r="E34" s="18" t="n">
        <v>45.4244517</v>
      </c>
      <c r="F34" s="20" t="n">
        <v>1.95979254</v>
      </c>
      <c r="G34" s="18" t="n">
        <v>29.31438562</v>
      </c>
      <c r="H34" s="20" t="n">
        <v>1.61730019</v>
      </c>
      <c r="I34" s="18" t="n">
        <v>0</v>
      </c>
      <c r="J34" s="20" t="n">
        <v>0</v>
      </c>
      <c r="K34" s="18" t="n">
        <v>0.32565063</v>
      </c>
      <c r="L34" s="20" t="n">
        <v>0.24010599</v>
      </c>
      <c r="M34" s="18" t="n">
        <v>0</v>
      </c>
      <c r="N34" s="20" t="n">
        <v>0</v>
      </c>
      <c r="O34" s="18" t="n">
        <v>0</v>
      </c>
      <c r="P34" s="20" t="n">
        <v>0</v>
      </c>
      <c r="Q34" s="18" t="n">
        <v>24.93551206</v>
      </c>
      <c r="R34" s="20" t="n">
        <v>1.57608593</v>
      </c>
    </row>
    <row r="35" spans="1:18">
      <c r="A35" s="15" t="s">
        <v>457</v>
      </c>
      <c r="B35" s="17" t="n">
        <v>6406</v>
      </c>
      <c r="C35" s="18">
        <f>(5637.0/B35*100)</f>
        <v/>
      </c>
      <c r="D35" s="19" t="n">
        <v>769</v>
      </c>
      <c r="E35" s="18" t="n">
        <v>46.74716537</v>
      </c>
      <c r="F35" s="20" t="n">
        <v>2.28346997</v>
      </c>
      <c r="G35" s="18" t="n">
        <v>24.39818659</v>
      </c>
      <c r="H35" s="20" t="n">
        <v>2.26255427</v>
      </c>
      <c r="I35" s="18" t="n">
        <v>0</v>
      </c>
      <c r="J35" s="20" t="n">
        <v>0</v>
      </c>
      <c r="K35" s="18" t="n">
        <v>0.08506337</v>
      </c>
      <c r="L35" s="20" t="n">
        <v>0.08496581</v>
      </c>
      <c r="M35" s="18" t="n">
        <v>0.22142592</v>
      </c>
      <c r="N35" s="20" t="n">
        <v>0.22101222</v>
      </c>
      <c r="O35" s="18" t="n">
        <v>0</v>
      </c>
      <c r="P35" s="20" t="n">
        <v>0</v>
      </c>
      <c r="Q35" s="18" t="n">
        <v>28.54815876</v>
      </c>
      <c r="R35" s="20" t="n">
        <v>2.16707041</v>
      </c>
    </row>
    <row r="36" spans="1:18">
      <c r="A36" s="15" t="s">
        <v>458</v>
      </c>
      <c r="B36" s="17" t="n">
        <v>6736</v>
      </c>
      <c r="C36" s="18">
        <f>(5945.0/B36*100)</f>
        <v/>
      </c>
      <c r="D36" s="19" t="n">
        <v>791</v>
      </c>
      <c r="E36" s="18" t="n">
        <v>33.9424981</v>
      </c>
      <c r="F36" s="20" t="n">
        <v>2.00380838</v>
      </c>
      <c r="G36" s="18" t="n">
        <v>45.07866478</v>
      </c>
      <c r="H36" s="20" t="n">
        <v>2.0744444</v>
      </c>
      <c r="I36" s="18" t="n">
        <v>0</v>
      </c>
      <c r="J36" s="20" t="n">
        <v>0</v>
      </c>
      <c r="K36" s="18" t="n">
        <v>0.47700021</v>
      </c>
      <c r="L36" s="20" t="n">
        <v>0.27825971</v>
      </c>
      <c r="M36" s="18" t="n">
        <v>0</v>
      </c>
      <c r="N36" s="20" t="n">
        <v>0</v>
      </c>
      <c r="O36" s="18" t="n">
        <v>0</v>
      </c>
      <c r="P36" s="20" t="n">
        <v>0</v>
      </c>
      <c r="Q36" s="18" t="n">
        <v>20.50183691</v>
      </c>
      <c r="R36" s="20" t="n">
        <v>1.63691324</v>
      </c>
    </row>
    <row r="37" spans="1:18">
      <c r="A37" s="15" t="s">
        <v>459</v>
      </c>
      <c r="B37" s="17" t="n">
        <v>5458</v>
      </c>
      <c r="C37" s="18">
        <f>(4784.0/B37*100)</f>
        <v/>
      </c>
      <c r="D37" s="19" t="n">
        <v>674</v>
      </c>
      <c r="E37" s="18" t="n">
        <v>29.00489823</v>
      </c>
      <c r="F37" s="20" t="n">
        <v>1.94408381</v>
      </c>
      <c r="G37" s="18" t="n">
        <v>38.9009608</v>
      </c>
      <c r="H37" s="20" t="n">
        <v>1.9984469</v>
      </c>
      <c r="I37" s="18" t="n">
        <v>0</v>
      </c>
      <c r="J37" s="20" t="n">
        <v>0</v>
      </c>
      <c r="K37" s="18" t="n">
        <v>1.71492342</v>
      </c>
      <c r="L37" s="20" t="n">
        <v>0.47792852</v>
      </c>
      <c r="M37" s="18" t="n">
        <v>0</v>
      </c>
      <c r="N37" s="20" t="n">
        <v>0</v>
      </c>
      <c r="O37" s="18" t="n">
        <v>0</v>
      </c>
      <c r="P37" s="20" t="n">
        <v>0</v>
      </c>
      <c r="Q37" s="18" t="n">
        <v>30.37921755</v>
      </c>
      <c r="R37" s="20" t="n">
        <v>1.66273805</v>
      </c>
    </row>
    <row r="38" spans="1:18">
      <c r="A38" s="15" t="s">
        <v>460</v>
      </c>
      <c r="B38" s="17" t="n">
        <v>5860</v>
      </c>
      <c r="C38" s="18">
        <f>(4908.0/B38*100)</f>
        <v/>
      </c>
      <c r="D38" s="19" t="n">
        <v>952</v>
      </c>
      <c r="E38" s="18" t="n">
        <v>37.6524588</v>
      </c>
      <c r="F38" s="20" t="n">
        <v>1.69322593</v>
      </c>
      <c r="G38" s="18" t="n">
        <v>34.21973459</v>
      </c>
      <c r="H38" s="20" t="n">
        <v>1.87335021</v>
      </c>
      <c r="I38" s="18" t="n">
        <v>0</v>
      </c>
      <c r="J38" s="20" t="n">
        <v>0</v>
      </c>
      <c r="K38" s="18" t="n">
        <v>0.7069651300000001</v>
      </c>
      <c r="L38" s="20" t="n">
        <v>0.3485094</v>
      </c>
      <c r="M38" s="18" t="n">
        <v>0.35749624</v>
      </c>
      <c r="N38" s="20" t="n">
        <v>0.21010164</v>
      </c>
      <c r="O38" s="18" t="n">
        <v>0</v>
      </c>
      <c r="P38" s="20" t="n">
        <v>0</v>
      </c>
      <c r="Q38" s="18" t="n">
        <v>27.06334524</v>
      </c>
      <c r="R38" s="20" t="n">
        <v>1.45381912</v>
      </c>
    </row>
    <row r="39" spans="1:18">
      <c r="A39" s="15" t="s">
        <v>461</v>
      </c>
      <c r="B39" s="17" t="n">
        <v>5895</v>
      </c>
      <c r="C39" s="18">
        <f>(5176.0/B39*100)</f>
        <v/>
      </c>
      <c r="D39" s="19" t="n">
        <v>719</v>
      </c>
      <c r="E39" s="18" t="n">
        <v>50.34606168</v>
      </c>
      <c r="F39" s="20" t="n">
        <v>2.42280583</v>
      </c>
      <c r="G39" s="18" t="n">
        <v>30.97260707</v>
      </c>
      <c r="H39" s="20" t="n">
        <v>2.0336363</v>
      </c>
      <c r="I39" s="18" t="n">
        <v>0</v>
      </c>
      <c r="J39" s="20" t="n">
        <v>0</v>
      </c>
      <c r="K39" s="18" t="n">
        <v>0.22510678</v>
      </c>
      <c r="L39" s="20" t="n">
        <v>0.19903006</v>
      </c>
      <c r="M39" s="18" t="n">
        <v>0</v>
      </c>
      <c r="N39" s="20" t="n">
        <v>0</v>
      </c>
      <c r="O39" s="18" t="n">
        <v>0</v>
      </c>
      <c r="P39" s="20" t="n">
        <v>0</v>
      </c>
      <c r="Q39" s="18" t="n">
        <v>18.45622447</v>
      </c>
      <c r="R39" s="20" t="n">
        <v>1.73767125</v>
      </c>
    </row>
    <row r="40" spans="1:18">
      <c r="A40" s="15" t="s">
        <v>462</v>
      </c>
      <c r="B40" s="17" t="n">
        <v>14157</v>
      </c>
      <c r="C40" s="18">
        <f>(12448.0/B40*100)</f>
        <v/>
      </c>
      <c r="D40" s="19" t="n">
        <v>1709</v>
      </c>
      <c r="E40" s="18" t="n">
        <v>37.22942504</v>
      </c>
      <c r="F40" s="20" t="n">
        <v>1.90429933</v>
      </c>
      <c r="G40" s="18" t="n">
        <v>42.43903212</v>
      </c>
      <c r="H40" s="20" t="n">
        <v>1.97160628</v>
      </c>
      <c r="I40" s="18" t="n">
        <v>0</v>
      </c>
      <c r="J40" s="20" t="n">
        <v>0</v>
      </c>
      <c r="K40" s="18" t="n">
        <v>0.41077478</v>
      </c>
      <c r="L40" s="20" t="n">
        <v>0.23028335</v>
      </c>
      <c r="M40" s="18" t="n">
        <v>0.44197736</v>
      </c>
      <c r="N40" s="20" t="n">
        <v>0.28440746</v>
      </c>
      <c r="O40" s="18" t="n">
        <v>0</v>
      </c>
      <c r="P40" s="20" t="n">
        <v>0</v>
      </c>
      <c r="Q40" s="18" t="n">
        <v>19.4787907</v>
      </c>
      <c r="R40" s="20" t="n">
        <v>1.40393512</v>
      </c>
    </row>
    <row r="41" spans="1:18">
      <c r="A41" s="15" t="s">
        <v>463</v>
      </c>
      <c r="B41" s="17" t="n">
        <v>5712</v>
      </c>
      <c r="C41" s="18">
        <f>(5028.0/B41*100)</f>
        <v/>
      </c>
      <c r="D41" s="19" t="n">
        <v>684</v>
      </c>
      <c r="E41" s="18" t="n">
        <v>51.20898919</v>
      </c>
      <c r="F41" s="20" t="n">
        <v>2.0472993</v>
      </c>
      <c r="G41" s="18" t="n">
        <v>41.70572721</v>
      </c>
      <c r="H41" s="20" t="n">
        <v>2.08365366</v>
      </c>
      <c r="I41" s="18" t="n">
        <v>0</v>
      </c>
      <c r="J41" s="20" t="n">
        <v>0</v>
      </c>
      <c r="K41" s="18" t="n">
        <v>0.60054808</v>
      </c>
      <c r="L41" s="20" t="n">
        <v>0.32021948</v>
      </c>
      <c r="M41" s="18" t="n">
        <v>0</v>
      </c>
      <c r="N41" s="20" t="n">
        <v>0</v>
      </c>
      <c r="O41" s="18" t="n">
        <v>0</v>
      </c>
      <c r="P41" s="20" t="n">
        <v>0</v>
      </c>
      <c r="Q41" s="18" t="n">
        <v>6.48473551</v>
      </c>
      <c r="R41" s="20" t="n">
        <v>1.1279574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(20974.0/B46*100)</f>
        <v/>
      </c>
      <c r="D46" s="19" t="n">
        <v>2167</v>
      </c>
      <c r="E46" s="18" t="n">
        <v>50.00838561</v>
      </c>
      <c r="F46" s="20" t="n">
        <v>1.19553415</v>
      </c>
      <c r="G46" s="18" t="n">
        <v>19.98481062</v>
      </c>
      <c r="H46" s="20" t="n">
        <v>1.02662865</v>
      </c>
      <c r="I46" s="18" t="n">
        <v>0</v>
      </c>
      <c r="J46" s="20" t="n">
        <v>0</v>
      </c>
      <c r="K46" s="18" t="n">
        <v>1.5299764</v>
      </c>
      <c r="L46" s="20" t="n">
        <v>0.37072614</v>
      </c>
      <c r="M46" s="18" t="n">
        <v>0.43404125</v>
      </c>
      <c r="N46" s="20" t="n">
        <v>0.18302896</v>
      </c>
      <c r="O46" s="18" t="n">
        <v>0</v>
      </c>
      <c r="P46" s="20" t="n">
        <v>0</v>
      </c>
      <c r="Q46" s="18" t="n">
        <v>28.04278613</v>
      </c>
      <c r="R46" s="20" t="n">
        <v>1.24900473</v>
      </c>
    </row>
    <row r="47" spans="1:18">
      <c r="A47" s="15" t="s">
        <v>470</v>
      </c>
      <c r="B47" s="17" t="n">
        <v>5928</v>
      </c>
      <c r="C47" s="18">
        <f>(5199.0/B47*100)</f>
        <v/>
      </c>
      <c r="D47" s="19" t="n">
        <v>729</v>
      </c>
      <c r="E47" s="18" t="n">
        <v>26.87131899</v>
      </c>
      <c r="F47" s="20" t="n">
        <v>1.78688331</v>
      </c>
      <c r="G47" s="18" t="n">
        <v>29.58280977</v>
      </c>
      <c r="H47" s="20" t="n">
        <v>2.02386009</v>
      </c>
      <c r="I47" s="18" t="n">
        <v>0</v>
      </c>
      <c r="J47" s="20" t="n">
        <v>0</v>
      </c>
      <c r="K47" s="18" t="n">
        <v>0.26600047</v>
      </c>
      <c r="L47" s="20" t="n">
        <v>0.18416089</v>
      </c>
      <c r="M47" s="18" t="n">
        <v>0</v>
      </c>
      <c r="N47" s="20" t="n">
        <v>0</v>
      </c>
      <c r="O47" s="18" t="n">
        <v>0</v>
      </c>
      <c r="P47" s="20" t="n">
        <v>0</v>
      </c>
      <c r="Q47" s="18" t="n">
        <v>43.27987076</v>
      </c>
      <c r="R47" s="20" t="n">
        <v>2.18881931</v>
      </c>
    </row>
    <row r="48" spans="1:18">
      <c r="A48" s="15" t="s">
        <v>471</v>
      </c>
      <c r="B48" s="17" t="n">
        <v>9841</v>
      </c>
      <c r="C48" s="18">
        <f>(8636.0/B48*100)</f>
        <v/>
      </c>
      <c r="D48" s="19" t="n">
        <v>1205</v>
      </c>
      <c r="E48" s="18" t="n">
        <v>34.99099207</v>
      </c>
      <c r="F48" s="20" t="n">
        <v>2.01457296</v>
      </c>
      <c r="G48" s="18" t="n">
        <v>51.31192718</v>
      </c>
      <c r="H48" s="20" t="n">
        <v>2.03557869</v>
      </c>
      <c r="I48" s="18" t="n">
        <v>0</v>
      </c>
      <c r="J48" s="20" t="n">
        <v>0</v>
      </c>
      <c r="K48" s="18" t="n">
        <v>0.49830928</v>
      </c>
      <c r="L48" s="20" t="n">
        <v>0.28915989</v>
      </c>
      <c r="M48" s="18" t="n">
        <v>0.12681893</v>
      </c>
      <c r="N48" s="20" t="n">
        <v>0.12995646</v>
      </c>
      <c r="O48" s="18" t="n">
        <v>0</v>
      </c>
      <c r="P48" s="20" t="n">
        <v>0</v>
      </c>
      <c r="Q48" s="18" t="n">
        <v>13.07195254</v>
      </c>
      <c r="R48" s="20" t="n">
        <v>1.38874563</v>
      </c>
    </row>
    <row r="49" spans="1:18">
      <c r="A49" s="15" t="s">
        <v>472</v>
      </c>
      <c r="B49" s="17" t="n">
        <v>11795</v>
      </c>
      <c r="C49" s="18">
        <f>(10412.0/B49*100)</f>
        <v/>
      </c>
      <c r="D49" s="19" t="n">
        <v>1383</v>
      </c>
      <c r="E49" s="18" t="n">
        <v>63.0983209</v>
      </c>
      <c r="F49" s="20" t="n">
        <v>1.71018329</v>
      </c>
      <c r="G49" s="18" t="n">
        <v>22.18874876</v>
      </c>
      <c r="H49" s="20" t="n">
        <v>1.51987316</v>
      </c>
      <c r="I49" s="18" t="n">
        <v>0</v>
      </c>
      <c r="J49" s="20" t="n">
        <v>0</v>
      </c>
      <c r="K49" s="18" t="n">
        <v>2.45999615</v>
      </c>
      <c r="L49" s="20" t="n">
        <v>0.58084751</v>
      </c>
      <c r="M49" s="18" t="n">
        <v>0.00388206</v>
      </c>
      <c r="N49" s="20" t="n">
        <v>0.00391063</v>
      </c>
      <c r="O49" s="18" t="n">
        <v>0</v>
      </c>
      <c r="P49" s="20" t="n">
        <v>0</v>
      </c>
      <c r="Q49" s="18" t="n">
        <v>12.24905213</v>
      </c>
      <c r="R49" s="20" t="n">
        <v>1.33231984</v>
      </c>
    </row>
    <row r="50" spans="1:18">
      <c r="A50" s="15" t="s">
        <v>473</v>
      </c>
      <c r="B50" s="17" t="n">
        <v>6866</v>
      </c>
      <c r="C50" s="18">
        <f>(6159.0/B50*100)</f>
        <v/>
      </c>
      <c r="D50" s="19" t="n">
        <v>707</v>
      </c>
      <c r="E50" s="18" t="n">
        <v>52.53400707</v>
      </c>
      <c r="F50" s="20" t="n">
        <v>2.20767866</v>
      </c>
      <c r="G50" s="18" t="n">
        <v>28.14907801</v>
      </c>
      <c r="H50" s="20" t="n">
        <v>1.80370343</v>
      </c>
      <c r="I50" s="18" t="n">
        <v>0</v>
      </c>
      <c r="J50" s="20" t="n">
        <v>0</v>
      </c>
      <c r="K50" s="18" t="n">
        <v>0.7794769</v>
      </c>
      <c r="L50" s="20" t="n">
        <v>0.34233364</v>
      </c>
      <c r="M50" s="18" t="n">
        <v>0</v>
      </c>
      <c r="N50" s="20" t="n">
        <v>0</v>
      </c>
      <c r="O50" s="18" t="n">
        <v>0</v>
      </c>
      <c r="P50" s="20" t="n">
        <v>0</v>
      </c>
      <c r="Q50" s="18" t="n">
        <v>18.53743801</v>
      </c>
      <c r="R50" s="20" t="n">
        <v>1.5573863</v>
      </c>
    </row>
    <row r="51" spans="1:18">
      <c r="A51" s="15" t="s">
        <v>474</v>
      </c>
      <c r="B51" s="17" t="n">
        <v>5809</v>
      </c>
      <c r="C51" s="18">
        <f>(5083.0/B51*100)</f>
        <v/>
      </c>
      <c r="D51" s="19" t="n">
        <v>726</v>
      </c>
      <c r="E51" s="18" t="n">
        <v>37.76510152</v>
      </c>
      <c r="F51" s="20" t="n">
        <v>1.74595678</v>
      </c>
      <c r="G51" s="18" t="n">
        <v>27.13540998</v>
      </c>
      <c r="H51" s="20" t="n">
        <v>1.52227069</v>
      </c>
      <c r="I51" s="18" t="n">
        <v>0</v>
      </c>
      <c r="J51" s="20" t="n">
        <v>0</v>
      </c>
      <c r="K51" s="18" t="n">
        <v>0.25224141</v>
      </c>
      <c r="L51" s="20" t="n">
        <v>0.17899002</v>
      </c>
      <c r="M51" s="18" t="n">
        <v>0</v>
      </c>
      <c r="N51" s="20" t="n">
        <v>0</v>
      </c>
      <c r="O51" s="18" t="n">
        <v>0</v>
      </c>
      <c r="P51" s="20" t="n">
        <v>0</v>
      </c>
      <c r="Q51" s="18" t="n">
        <v>34.8472471</v>
      </c>
      <c r="R51" s="20" t="n">
        <v>2.12791526</v>
      </c>
    </row>
    <row r="52" spans="1:18">
      <c r="A52" s="15" t="s">
        <v>475</v>
      </c>
      <c r="B52" s="17" t="n">
        <v>5571</v>
      </c>
      <c r="C52" s="18">
        <f>(4916.0/B52*100)</f>
        <v/>
      </c>
      <c r="D52" s="19" t="n">
        <v>655</v>
      </c>
      <c r="E52" s="18" t="n">
        <v>46.11339647</v>
      </c>
      <c r="F52" s="20" t="n">
        <v>2.21626176</v>
      </c>
      <c r="G52" s="18" t="n">
        <v>25.07253753</v>
      </c>
      <c r="H52" s="20" t="n">
        <v>1.60420825</v>
      </c>
      <c r="I52" s="18" t="n">
        <v>0</v>
      </c>
      <c r="J52" s="20" t="n">
        <v>0</v>
      </c>
      <c r="K52" s="18" t="n">
        <v>0.43173405</v>
      </c>
      <c r="L52" s="20" t="n">
        <v>0.24668949</v>
      </c>
      <c r="M52" s="18" t="n">
        <v>0.13452367</v>
      </c>
      <c r="N52" s="20" t="n">
        <v>0.13453878</v>
      </c>
      <c r="O52" s="18" t="n">
        <v>0</v>
      </c>
      <c r="P52" s="20" t="n">
        <v>0</v>
      </c>
      <c r="Q52" s="18" t="n">
        <v>28.24780828</v>
      </c>
      <c r="R52" s="20" t="n">
        <v>2.17081839</v>
      </c>
    </row>
    <row r="53" spans="1:18">
      <c r="A53" s="15" t="s">
        <v>476</v>
      </c>
      <c r="B53" s="17" t="n">
        <v>4740</v>
      </c>
      <c r="C53" s="18">
        <f>(3980.0/B53*100)</f>
        <v/>
      </c>
      <c r="D53" s="19" t="n">
        <v>760</v>
      </c>
      <c r="E53" s="18" t="n">
        <v>28.77019294</v>
      </c>
      <c r="F53" s="20" t="n">
        <v>1.93700531</v>
      </c>
      <c r="G53" s="18" t="n">
        <v>25.7632895</v>
      </c>
      <c r="H53" s="20" t="n">
        <v>1.87696863</v>
      </c>
      <c r="I53" s="18" t="n">
        <v>0</v>
      </c>
      <c r="J53" s="20" t="n">
        <v>0</v>
      </c>
      <c r="K53" s="18" t="n">
        <v>17.50291945</v>
      </c>
      <c r="L53" s="20" t="n">
        <v>1.53822129</v>
      </c>
      <c r="M53" s="18" t="n">
        <v>0.95492971</v>
      </c>
      <c r="N53" s="20" t="n">
        <v>0.77757826</v>
      </c>
      <c r="O53" s="18" t="n">
        <v>0</v>
      </c>
      <c r="P53" s="20" t="n">
        <v>0</v>
      </c>
      <c r="Q53" s="18" t="n">
        <v>27.00866839</v>
      </c>
      <c r="R53" s="20" t="n">
        <v>2.03009547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(4711.0/B55*100)</f>
        <v/>
      </c>
      <c r="D55" s="19" t="n">
        <v>648</v>
      </c>
      <c r="E55" s="18" t="n">
        <v>54.62755409</v>
      </c>
      <c r="F55" s="20" t="n">
        <v>1.80018606</v>
      </c>
      <c r="G55" s="18" t="n">
        <v>32.07813606</v>
      </c>
      <c r="H55" s="20" t="n">
        <v>1.7206445</v>
      </c>
      <c r="I55" s="18" t="n">
        <v>0</v>
      </c>
      <c r="J55" s="20" t="n">
        <v>0</v>
      </c>
      <c r="K55" s="18" t="n">
        <v>0.35048416</v>
      </c>
      <c r="L55" s="20" t="n">
        <v>0.26249685</v>
      </c>
      <c r="M55" s="18" t="n">
        <v>0.10679863</v>
      </c>
      <c r="N55" s="20" t="n">
        <v>0.10638009</v>
      </c>
      <c r="O55" s="18" t="n">
        <v>0</v>
      </c>
      <c r="P55" s="20" t="n">
        <v>0</v>
      </c>
      <c r="Q55" s="18" t="n">
        <v>12.83702706</v>
      </c>
      <c r="R55" s="20" t="n">
        <v>1.50634146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(5755.0/B61*100)</f>
        <v/>
      </c>
      <c r="D61" s="19" t="n">
        <v>770</v>
      </c>
      <c r="E61" s="18" t="n">
        <v>42.83017841</v>
      </c>
      <c r="F61" s="20" t="n">
        <v>2.03235287</v>
      </c>
      <c r="G61" s="18" t="n">
        <v>37.06106927</v>
      </c>
      <c r="H61" s="20" t="n">
        <v>1.97428208</v>
      </c>
      <c r="I61" s="18" t="n">
        <v>0</v>
      </c>
      <c r="J61" s="20" t="n">
        <v>0</v>
      </c>
      <c r="K61" s="18" t="n">
        <v>0.36046134</v>
      </c>
      <c r="L61" s="20" t="n">
        <v>0.21177841</v>
      </c>
      <c r="M61" s="18" t="n">
        <v>0.15867096</v>
      </c>
      <c r="N61" s="20" t="n">
        <v>0.15674462</v>
      </c>
      <c r="O61" s="18" t="n">
        <v>0</v>
      </c>
      <c r="P61" s="20" t="n">
        <v>0</v>
      </c>
      <c r="Q61" s="18" t="n">
        <v>19.58962002</v>
      </c>
      <c r="R61" s="20" t="n">
        <v>1.61312389</v>
      </c>
    </row>
    <row r="62" spans="1:18">
      <c r="A62" s="15" t="s">
        <v>486</v>
      </c>
      <c r="B62" s="17" t="n">
        <v>4476</v>
      </c>
      <c r="C62" s="18">
        <f>(3935.0/B62*100)</f>
        <v/>
      </c>
      <c r="D62" s="19" t="n">
        <v>541</v>
      </c>
      <c r="E62" s="18" t="n">
        <v>48.2428708</v>
      </c>
      <c r="F62" s="20" t="n">
        <v>2.12820881</v>
      </c>
      <c r="G62" s="18" t="n">
        <v>44.16070019</v>
      </c>
      <c r="H62" s="20" t="n">
        <v>2.31083201</v>
      </c>
      <c r="I62" s="18" t="n">
        <v>0</v>
      </c>
      <c r="J62" s="20" t="n">
        <v>0</v>
      </c>
      <c r="K62" s="18" t="n">
        <v>0</v>
      </c>
      <c r="L62" s="20" t="n">
        <v>0</v>
      </c>
      <c r="M62" s="18" t="n">
        <v>0</v>
      </c>
      <c r="N62" s="20" t="n">
        <v>0</v>
      </c>
      <c r="O62" s="18" t="n">
        <v>0</v>
      </c>
      <c r="P62" s="20" t="n">
        <v>0</v>
      </c>
      <c r="Q62" s="18" t="n">
        <v>7.59642902</v>
      </c>
      <c r="R62" s="20" t="n">
        <v>1.07459235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(4994.0/B67*100)</f>
        <v/>
      </c>
      <c r="D67" s="19" t="n">
        <v>671</v>
      </c>
      <c r="E67" s="18" t="n">
        <v>18.71758934</v>
      </c>
      <c r="F67" s="20" t="n">
        <v>1.36671662</v>
      </c>
      <c r="G67" s="18" t="n">
        <v>15.59359404</v>
      </c>
      <c r="H67" s="20" t="n">
        <v>1.24619488</v>
      </c>
      <c r="I67" s="18" t="n">
        <v>0</v>
      </c>
      <c r="J67" s="20" t="n">
        <v>0</v>
      </c>
      <c r="K67" s="18" t="n">
        <v>1.24140068</v>
      </c>
      <c r="L67" s="20" t="n">
        <v>0.41945085</v>
      </c>
      <c r="M67" s="18" t="n">
        <v>21.00217427</v>
      </c>
      <c r="N67" s="20" t="n">
        <v>1.42641808</v>
      </c>
      <c r="O67" s="18" t="n">
        <v>0</v>
      </c>
      <c r="P67" s="20" t="n">
        <v>0</v>
      </c>
      <c r="Q67" s="18" t="n">
        <v>43.44524167</v>
      </c>
      <c r="R67" s="20" t="n">
        <v>1.80143013</v>
      </c>
    </row>
    <row r="68" spans="1:18">
      <c r="A68" s="15" t="s">
        <v>492</v>
      </c>
      <c r="B68" s="17" t="n">
        <v>6971</v>
      </c>
      <c r="C68" s="18">
        <f>(6264.0/B68*100)</f>
        <v/>
      </c>
      <c r="D68" s="19" t="n">
        <v>707</v>
      </c>
      <c r="E68" s="18" t="n">
        <v>59.17151591</v>
      </c>
      <c r="F68" s="20" t="n">
        <v>2.23054028</v>
      </c>
      <c r="G68" s="18" t="n">
        <v>17.53324647</v>
      </c>
      <c r="H68" s="20" t="n">
        <v>1.65541159</v>
      </c>
      <c r="I68" s="18" t="n">
        <v>0</v>
      </c>
      <c r="J68" s="20" t="n">
        <v>0</v>
      </c>
      <c r="K68" s="18" t="n">
        <v>0.38849979</v>
      </c>
      <c r="L68" s="20" t="n">
        <v>0.22545791</v>
      </c>
      <c r="M68" s="18" t="n">
        <v>0.15306601</v>
      </c>
      <c r="N68" s="20" t="n">
        <v>0.15289294</v>
      </c>
      <c r="O68" s="18" t="n">
        <v>0</v>
      </c>
      <c r="P68" s="20" t="n">
        <v>0</v>
      </c>
      <c r="Q68" s="18" t="n">
        <v>22.75367183</v>
      </c>
      <c r="R68" s="20" t="n">
        <v>1.53477219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(10070.0/B70*100)</f>
        <v/>
      </c>
      <c r="D70" s="19" t="n">
        <v>2013</v>
      </c>
      <c r="E70" s="18" t="n">
        <v>53.7796464</v>
      </c>
      <c r="F70" s="20" t="n">
        <v>1.12759832</v>
      </c>
      <c r="G70" s="18" t="n">
        <v>18.86538286</v>
      </c>
      <c r="H70" s="20" t="n">
        <v>0.82491888</v>
      </c>
      <c r="I70" s="18" t="n">
        <v>0</v>
      </c>
      <c r="J70" s="20" t="n">
        <v>0</v>
      </c>
      <c r="K70" s="18" t="n">
        <v>3.20568086</v>
      </c>
      <c r="L70" s="20" t="n">
        <v>0.43947705</v>
      </c>
      <c r="M70" s="18" t="n">
        <v>0</v>
      </c>
      <c r="N70" s="20" t="n">
        <v>0</v>
      </c>
      <c r="O70" s="18" t="n">
        <v>0</v>
      </c>
      <c r="P70" s="20" t="n">
        <v>0</v>
      </c>
      <c r="Q70" s="18" t="n">
        <v>24.14928989</v>
      </c>
      <c r="R70" s="20" t="n">
        <v>0.91761765</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(5346.0/B72*100)</f>
        <v/>
      </c>
      <c r="D72" s="19" t="n">
        <v>690</v>
      </c>
      <c r="E72" s="18" t="n">
        <v>44.03883636</v>
      </c>
      <c r="F72" s="20" t="n">
        <v>2.19427508</v>
      </c>
      <c r="G72" s="18" t="n">
        <v>35.00423651</v>
      </c>
      <c r="H72" s="20" t="n">
        <v>2.18531535</v>
      </c>
      <c r="I72" s="18" t="n">
        <v>0</v>
      </c>
      <c r="J72" s="20" t="n">
        <v>0</v>
      </c>
      <c r="K72" s="18" t="n">
        <v>0.7385674800000001</v>
      </c>
      <c r="L72" s="20" t="n">
        <v>0.43520085</v>
      </c>
      <c r="M72" s="18" t="n">
        <v>0.06419079</v>
      </c>
      <c r="N72" s="20" t="n">
        <v>0.06434179</v>
      </c>
      <c r="O72" s="18" t="n">
        <v>0</v>
      </c>
      <c r="P72" s="20" t="n">
        <v>0</v>
      </c>
      <c r="Q72" s="18" t="n">
        <v>20.15416886</v>
      </c>
      <c r="R72" s="20" t="n">
        <v>1.50489652</v>
      </c>
    </row>
    <row r="73" spans="1:18">
      <c r="A73" s="15" t="s">
        <v>497</v>
      </c>
      <c r="B73" s="17" t="n">
        <v>6115</v>
      </c>
      <c r="C73" s="18">
        <f>(5378.0/B73*100)</f>
        <v/>
      </c>
      <c r="D73" s="19" t="n">
        <v>737</v>
      </c>
      <c r="E73" s="18" t="n">
        <v>42.78035573</v>
      </c>
      <c r="F73" s="20" t="n">
        <v>1.76951049</v>
      </c>
      <c r="G73" s="18" t="n">
        <v>50.58240586</v>
      </c>
      <c r="H73" s="20" t="n">
        <v>1.75052496</v>
      </c>
      <c r="I73" s="18" t="n">
        <v>0</v>
      </c>
      <c r="J73" s="20" t="n">
        <v>0</v>
      </c>
      <c r="K73" s="18" t="n">
        <v>0.12305779</v>
      </c>
      <c r="L73" s="20" t="n">
        <v>0.12307418</v>
      </c>
      <c r="M73" s="18" t="n">
        <v>0.08324051</v>
      </c>
      <c r="N73" s="20" t="n">
        <v>0.08351484000000001</v>
      </c>
      <c r="O73" s="18" t="n">
        <v>0</v>
      </c>
      <c r="P73" s="20" t="n">
        <v>0</v>
      </c>
      <c r="Q73" s="18" t="n">
        <v>6.4309401</v>
      </c>
      <c r="R73" s="20" t="n">
        <v>0.85330083</v>
      </c>
    </row>
    <row r="74" spans="1:18">
      <c r="A74" s="15" t="s">
        <v>498</v>
      </c>
      <c r="B74" s="17" t="n">
        <v>7708</v>
      </c>
      <c r="C74" s="18">
        <f>(6759.0/B74*100)</f>
        <v/>
      </c>
      <c r="D74" s="19" t="n">
        <v>949</v>
      </c>
      <c r="E74" s="18" t="n">
        <v>43.11250141</v>
      </c>
      <c r="F74" s="20" t="n">
        <v>1.67133778</v>
      </c>
      <c r="G74" s="18" t="n">
        <v>43.68135685</v>
      </c>
      <c r="H74" s="20" t="n">
        <v>1.56433917</v>
      </c>
      <c r="I74" s="18" t="n">
        <v>0</v>
      </c>
      <c r="J74" s="20" t="n">
        <v>0</v>
      </c>
      <c r="K74" s="18" t="n">
        <v>0.07285108</v>
      </c>
      <c r="L74" s="20" t="n">
        <v>0.07485865999999999</v>
      </c>
      <c r="M74" s="18" t="n">
        <v>0</v>
      </c>
      <c r="N74" s="20" t="n">
        <v>0</v>
      </c>
      <c r="O74" s="18" t="n">
        <v>0</v>
      </c>
      <c r="P74" s="20" t="n">
        <v>0</v>
      </c>
      <c r="Q74" s="18" t="n">
        <v>13.13329065</v>
      </c>
      <c r="R74" s="20" t="n">
        <v>1.01455072</v>
      </c>
    </row>
    <row r="75" spans="1:18">
      <c r="A75" s="15" t="s">
        <v>499</v>
      </c>
      <c r="B75" s="17" t="n">
        <v>8249</v>
      </c>
      <c r="C75" s="18">
        <f>(7295.0/B75*100)</f>
        <v/>
      </c>
      <c r="D75" s="19" t="n">
        <v>954</v>
      </c>
      <c r="E75" s="18" t="n">
        <v>86.57072572</v>
      </c>
      <c r="F75" s="20" t="n">
        <v>1.36439426</v>
      </c>
      <c r="G75" s="18" t="n">
        <v>8.501681120000001</v>
      </c>
      <c r="H75" s="20" t="n">
        <v>1.16243811</v>
      </c>
      <c r="I75" s="18" t="n">
        <v>0</v>
      </c>
      <c r="J75" s="20" t="n">
        <v>0</v>
      </c>
      <c r="K75" s="18" t="n">
        <v>0.14813257</v>
      </c>
      <c r="L75" s="20" t="n">
        <v>0.10499763</v>
      </c>
      <c r="M75" s="18" t="n">
        <v>0.00452089</v>
      </c>
      <c r="N75" s="20" t="n">
        <v>0.00437532</v>
      </c>
      <c r="O75" s="18" t="n">
        <v>0</v>
      </c>
      <c r="P75" s="20" t="n">
        <v>0</v>
      </c>
      <c r="Q75" s="18" t="n">
        <v>4.7749397</v>
      </c>
      <c r="R75" s="20" t="n">
        <v>0.7551469200000001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(4815.0/B77*100)</f>
        <v/>
      </c>
      <c r="D77" s="19" t="n">
        <v>560</v>
      </c>
      <c r="E77" s="18" t="n">
        <v>42.95898431</v>
      </c>
      <c r="F77" s="20" t="n">
        <v>2.17244489</v>
      </c>
      <c r="G77" s="18" t="n">
        <v>9.90316514</v>
      </c>
      <c r="H77" s="20" t="n">
        <v>1.45185734</v>
      </c>
      <c r="I77" s="18" t="n">
        <v>0</v>
      </c>
      <c r="J77" s="20" t="n">
        <v>0</v>
      </c>
      <c r="K77" s="18" t="n">
        <v>6.09104501</v>
      </c>
      <c r="L77" s="20" t="n">
        <v>1.05106058</v>
      </c>
      <c r="M77" s="18" t="n">
        <v>0.54442651</v>
      </c>
      <c r="N77" s="20" t="n">
        <v>0.30890155</v>
      </c>
      <c r="O77" s="18" t="n">
        <v>0</v>
      </c>
      <c r="P77" s="20" t="n">
        <v>0</v>
      </c>
      <c r="Q77" s="18" t="n">
        <v>40.50237903</v>
      </c>
      <c r="R77" s="20" t="n">
        <v>2.37685119</v>
      </c>
    </row>
    <row r="78" spans="1:18">
      <c r="A78" s="15" t="s">
        <v>502</v>
      </c>
      <c r="B78" s="17" t="n">
        <v>14167</v>
      </c>
      <c r="C78" s="18">
        <f>(12493.0/B78*100)</f>
        <v/>
      </c>
      <c r="D78" s="19" t="n">
        <v>1674</v>
      </c>
      <c r="E78" s="18" t="n">
        <v>57.29293211</v>
      </c>
      <c r="F78" s="20" t="n">
        <v>1.38006173</v>
      </c>
      <c r="G78" s="18" t="n">
        <v>28.62523027</v>
      </c>
      <c r="H78" s="20" t="n">
        <v>1.44105059</v>
      </c>
      <c r="I78" s="18" t="n">
        <v>0</v>
      </c>
      <c r="J78" s="20" t="n">
        <v>0</v>
      </c>
      <c r="K78" s="18" t="n">
        <v>1.23467082</v>
      </c>
      <c r="L78" s="20" t="n">
        <v>0.31378735</v>
      </c>
      <c r="M78" s="18" t="n">
        <v>0.25558802</v>
      </c>
      <c r="N78" s="20" t="n">
        <v>0.18697355</v>
      </c>
      <c r="O78" s="18" t="n">
        <v>0</v>
      </c>
      <c r="P78" s="20" t="n">
        <v>0</v>
      </c>
      <c r="Q78" s="18" t="n">
        <v>12.59157878</v>
      </c>
      <c r="R78" s="20" t="n">
        <v>1.13451445</v>
      </c>
    </row>
    <row r="79" spans="1:18">
      <c r="A79" s="15" t="s">
        <v>503</v>
      </c>
      <c r="B79" s="17" t="n">
        <v>6062</v>
      </c>
      <c r="C79" s="18">
        <f>(5365.0/B79*100)</f>
        <v/>
      </c>
      <c r="D79" s="19" t="n">
        <v>697</v>
      </c>
      <c r="E79" s="18" t="n">
        <v>31.8642856</v>
      </c>
      <c r="F79" s="20" t="n">
        <v>1.96380884</v>
      </c>
      <c r="G79" s="18" t="n">
        <v>27.10070022</v>
      </c>
      <c r="H79" s="20" t="n">
        <v>1.6581223</v>
      </c>
      <c r="I79" s="18" t="n">
        <v>0</v>
      </c>
      <c r="J79" s="20" t="n">
        <v>0</v>
      </c>
      <c r="K79" s="18" t="n">
        <v>1.56825299</v>
      </c>
      <c r="L79" s="20" t="n">
        <v>0.46969565</v>
      </c>
      <c r="M79" s="18" t="n">
        <v>0.12988286</v>
      </c>
      <c r="N79" s="20" t="n">
        <v>0.13029058</v>
      </c>
      <c r="O79" s="18" t="n">
        <v>0</v>
      </c>
      <c r="P79" s="20" t="n">
        <v>0</v>
      </c>
      <c r="Q79" s="18" t="n">
        <v>39.33687832</v>
      </c>
      <c r="R79" s="20" t="n">
        <v>1.96224881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(28389.0/B82*100)</f>
        <v/>
      </c>
      <c r="D82" s="19" t="n">
        <v>3941</v>
      </c>
      <c r="E82" s="18" t="n">
        <v>33.78425096</v>
      </c>
      <c r="F82" s="20" t="n">
        <v>1.22547716</v>
      </c>
      <c r="G82" s="18" t="n">
        <v>42.45509905</v>
      </c>
      <c r="H82" s="20" t="n">
        <v>1.21668759</v>
      </c>
      <c r="I82" s="18" t="n">
        <v>0</v>
      </c>
      <c r="J82" s="20" t="n">
        <v>0</v>
      </c>
      <c r="K82" s="18" t="n">
        <v>0.26068571</v>
      </c>
      <c r="L82" s="20" t="n">
        <v>0.12476775</v>
      </c>
      <c r="M82" s="18" t="n">
        <v>0.02070425</v>
      </c>
      <c r="N82" s="20" t="n">
        <v>0.014592</v>
      </c>
      <c r="O82" s="18" t="n">
        <v>0</v>
      </c>
      <c r="P82" s="20" t="n">
        <v>0</v>
      </c>
      <c r="Q82" s="18" t="n">
        <v>23.47926004</v>
      </c>
      <c r="R82" s="20" t="n">
        <v>0.99320776</v>
      </c>
    </row>
    <row r="83" spans="1:18">
      <c r="A83" s="15" t="s">
        <v>507</v>
      </c>
      <c r="B83" s="17" t="n">
        <v>1652</v>
      </c>
      <c r="C83" s="18">
        <f>(1462.0/B83*100)</f>
        <v/>
      </c>
      <c r="D83" s="19" t="n">
        <v>190</v>
      </c>
      <c r="E83" s="18" t="n">
        <v>43.12565922</v>
      </c>
      <c r="F83" s="20" t="n">
        <v>4.08152365</v>
      </c>
      <c r="G83" s="18" t="n">
        <v>54.23565353</v>
      </c>
      <c r="H83" s="20" t="n">
        <v>3.81377462</v>
      </c>
      <c r="I83" s="18" t="n">
        <v>0</v>
      </c>
      <c r="J83" s="20" t="n">
        <v>0</v>
      </c>
      <c r="K83" s="18" t="n">
        <v>0</v>
      </c>
      <c r="L83" s="20" t="n">
        <v>0</v>
      </c>
      <c r="M83" s="18" t="n">
        <v>0</v>
      </c>
      <c r="N83" s="20" t="n">
        <v>0</v>
      </c>
      <c r="O83" s="18" t="n">
        <v>0</v>
      </c>
      <c r="P83" s="20" t="n">
        <v>0</v>
      </c>
      <c r="Q83" s="18" t="n">
        <v>2.63868725</v>
      </c>
      <c r="R83" s="20" t="n">
        <v>0.91539483</v>
      </c>
    </row>
    <row r="84" spans="1:18">
      <c r="A84" s="23" t="s">
        <v>508</v>
      </c>
      <c r="B84" s="24" t="n">
        <v>1887</v>
      </c>
      <c r="C84" s="25">
        <f>(1665.0/B84*100)</f>
        <v/>
      </c>
      <c r="D84" s="19" t="n">
        <v>222</v>
      </c>
      <c r="E84" s="18" t="n">
        <v>47.24527942</v>
      </c>
      <c r="F84" s="20" t="n">
        <v>3.76084577</v>
      </c>
      <c r="G84" s="18" t="n">
        <v>46.01870568</v>
      </c>
      <c r="H84" s="20" t="n">
        <v>3.70503994</v>
      </c>
      <c r="I84" s="18" t="n">
        <v>0</v>
      </c>
      <c r="J84" s="20" t="n">
        <v>0</v>
      </c>
      <c r="K84" s="18" t="n">
        <v>0</v>
      </c>
      <c r="L84" s="20" t="n">
        <v>0</v>
      </c>
      <c r="M84" s="18" t="n">
        <v>0</v>
      </c>
      <c r="N84" s="20" t="n">
        <v>0</v>
      </c>
      <c r="O84" s="18" t="n">
        <v>0</v>
      </c>
      <c r="P84" s="20" t="n">
        <v>0</v>
      </c>
      <c r="Q84" s="18" t="n">
        <v>6.7360149</v>
      </c>
      <c r="R84" s="20" t="n">
        <v>1.56120188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(12792.0/B7*100)</f>
        <v/>
      </c>
      <c r="D7" s="19" t="n">
        <v>1738</v>
      </c>
      <c r="E7" s="18" t="n">
        <v>63.54356419</v>
      </c>
      <c r="F7" s="20" t="n">
        <v>1.29000886</v>
      </c>
      <c r="G7" s="18" t="n">
        <v>34.7331417</v>
      </c>
      <c r="H7" s="20" t="n">
        <v>1.29022826</v>
      </c>
      <c r="I7" s="18" t="n">
        <v>0</v>
      </c>
      <c r="J7" s="20" t="n">
        <v>0</v>
      </c>
      <c r="K7" s="18" t="n">
        <v>1.19289772</v>
      </c>
      <c r="L7" s="20" t="n">
        <v>0.28260105</v>
      </c>
      <c r="M7" s="18" t="n">
        <v>0</v>
      </c>
      <c r="N7" s="20" t="n">
        <v>0</v>
      </c>
      <c r="O7" s="18" t="n">
        <v>0</v>
      </c>
      <c r="P7" s="20" t="n">
        <v>0</v>
      </c>
      <c r="Q7" s="18" t="n">
        <v>0.5303964</v>
      </c>
      <c r="R7" s="20" t="n">
        <v>0.17211773</v>
      </c>
    </row>
    <row r="8" spans="1:18">
      <c r="A8" s="15" t="s">
        <v>430</v>
      </c>
      <c r="B8" s="17" t="n">
        <v>7007</v>
      </c>
      <c r="C8" s="18">
        <f>(6165.0/B8*100)</f>
        <v/>
      </c>
      <c r="D8" s="19" t="n">
        <v>842</v>
      </c>
      <c r="E8" s="18" t="n">
        <v>67.82882528</v>
      </c>
      <c r="F8" s="20" t="n">
        <v>1.89564931</v>
      </c>
      <c r="G8" s="18" t="n">
        <v>30.70592995</v>
      </c>
      <c r="H8" s="20" t="n">
        <v>1.87247241</v>
      </c>
      <c r="I8" s="18" t="n">
        <v>0</v>
      </c>
      <c r="J8" s="20" t="n">
        <v>0</v>
      </c>
      <c r="K8" s="18" t="n">
        <v>0.31073953</v>
      </c>
      <c r="L8" s="20" t="n">
        <v>0.22892719</v>
      </c>
      <c r="M8" s="18" t="n">
        <v>0</v>
      </c>
      <c r="N8" s="20" t="n">
        <v>0</v>
      </c>
      <c r="O8" s="18" t="n">
        <v>0</v>
      </c>
      <c r="P8" s="20" t="n">
        <v>0</v>
      </c>
      <c r="Q8" s="18" t="n">
        <v>1.15450524</v>
      </c>
      <c r="R8" s="20" t="n">
        <v>0.37896517</v>
      </c>
    </row>
    <row r="9" spans="1:18">
      <c r="A9" s="15" t="s">
        <v>431</v>
      </c>
      <c r="B9" s="17" t="n">
        <v>9651</v>
      </c>
      <c r="C9" s="18">
        <f>(8527.0/B9*100)</f>
        <v/>
      </c>
      <c r="D9" s="19" t="n">
        <v>1124</v>
      </c>
      <c r="E9" s="18" t="n">
        <v>64.14215552</v>
      </c>
      <c r="F9" s="20" t="n">
        <v>1.46921095</v>
      </c>
      <c r="G9" s="18" t="n">
        <v>34.91072374</v>
      </c>
      <c r="H9" s="20" t="n">
        <v>1.46208331</v>
      </c>
      <c r="I9" s="18" t="n">
        <v>0</v>
      </c>
      <c r="J9" s="20" t="n">
        <v>0</v>
      </c>
      <c r="K9" s="18" t="n">
        <v>0.30978776</v>
      </c>
      <c r="L9" s="20" t="n">
        <v>0.18161365</v>
      </c>
      <c r="M9" s="18" t="n">
        <v>0</v>
      </c>
      <c r="N9" s="20" t="n">
        <v>0</v>
      </c>
      <c r="O9" s="18" t="n">
        <v>0</v>
      </c>
      <c r="P9" s="20" t="n">
        <v>0</v>
      </c>
      <c r="Q9" s="18" t="n">
        <v>0.63733298</v>
      </c>
      <c r="R9" s="20" t="n">
        <v>0.23939807</v>
      </c>
    </row>
    <row r="10" spans="1:18">
      <c r="A10" s="15" t="s">
        <v>432</v>
      </c>
      <c r="B10" s="17" t="n">
        <v>20058</v>
      </c>
      <c r="C10" s="18">
        <f>(17626.0/B10*100)</f>
        <v/>
      </c>
      <c r="D10" s="19" t="n">
        <v>2432</v>
      </c>
      <c r="E10" s="18" t="n">
        <v>62.08854151</v>
      </c>
      <c r="F10" s="20" t="n">
        <v>1.32218127</v>
      </c>
      <c r="G10" s="18" t="n">
        <v>37.01740156</v>
      </c>
      <c r="H10" s="20" t="n">
        <v>1.32338564</v>
      </c>
      <c r="I10" s="18" t="n">
        <v>0</v>
      </c>
      <c r="J10" s="20" t="n">
        <v>0</v>
      </c>
      <c r="K10" s="18" t="n">
        <v>0.5862794</v>
      </c>
      <c r="L10" s="20" t="n">
        <v>0.19120929</v>
      </c>
      <c r="M10" s="18" t="n">
        <v>0</v>
      </c>
      <c r="N10" s="20" t="n">
        <v>0</v>
      </c>
      <c r="O10" s="18" t="n">
        <v>0</v>
      </c>
      <c r="P10" s="20" t="n">
        <v>0</v>
      </c>
      <c r="Q10" s="18" t="n">
        <v>0.30777752</v>
      </c>
      <c r="R10" s="20" t="n">
        <v>0.14834821</v>
      </c>
    </row>
    <row r="11" spans="1:18">
      <c r="A11" s="15" t="s">
        <v>433</v>
      </c>
      <c r="B11" s="17" t="n">
        <v>7053</v>
      </c>
      <c r="C11" s="18">
        <f>(6237.0/B11*100)</f>
        <v/>
      </c>
      <c r="D11" s="19" t="n">
        <v>816</v>
      </c>
      <c r="E11" s="18" t="n">
        <v>0</v>
      </c>
      <c r="F11" s="20" t="n">
        <v>0</v>
      </c>
      <c r="G11" s="18" t="n">
        <v>0</v>
      </c>
      <c r="H11" s="20" t="n">
        <v>0</v>
      </c>
      <c r="I11" s="18" t="n">
        <v>0</v>
      </c>
      <c r="J11" s="20" t="n">
        <v>0</v>
      </c>
      <c r="K11" s="18" t="n">
        <v>0</v>
      </c>
      <c r="L11" s="20" t="n">
        <v>0</v>
      </c>
      <c r="M11" s="18" t="n">
        <v>100</v>
      </c>
      <c r="N11" s="20" t="n">
        <v>0</v>
      </c>
      <c r="O11" s="18" t="n">
        <v>0</v>
      </c>
      <c r="P11" s="20" t="n">
        <v>0</v>
      </c>
      <c r="Q11" s="18" t="n">
        <v>0</v>
      </c>
      <c r="R11" s="20" t="n">
        <v>0</v>
      </c>
    </row>
    <row r="12" spans="1:18">
      <c r="A12" s="15" t="s">
        <v>434</v>
      </c>
      <c r="B12" s="17" t="n">
        <v>6894</v>
      </c>
      <c r="C12" s="18">
        <f>(6145.0/B12*100)</f>
        <v/>
      </c>
      <c r="D12" s="19" t="n">
        <v>749</v>
      </c>
      <c r="E12" s="18" t="n">
        <v>0</v>
      </c>
      <c r="F12" s="20" t="n">
        <v>0</v>
      </c>
      <c r="G12" s="18" t="n">
        <v>0</v>
      </c>
      <c r="H12" s="20" t="n">
        <v>0</v>
      </c>
      <c r="I12" s="18" t="n">
        <v>0</v>
      </c>
      <c r="J12" s="20" t="n">
        <v>0</v>
      </c>
      <c r="K12" s="18" t="n">
        <v>0</v>
      </c>
      <c r="L12" s="20" t="n">
        <v>0</v>
      </c>
      <c r="M12" s="18" t="n">
        <v>100</v>
      </c>
      <c r="N12" s="20" t="n">
        <v>0</v>
      </c>
      <c r="O12" s="18" t="n">
        <v>0</v>
      </c>
      <c r="P12" s="20" t="n">
        <v>0</v>
      </c>
      <c r="Q12" s="18" t="n">
        <v>0</v>
      </c>
      <c r="R12" s="20" t="n">
        <v>0</v>
      </c>
    </row>
    <row r="13" spans="1:18">
      <c r="A13" s="15" t="s">
        <v>435</v>
      </c>
      <c r="B13" s="17" t="n">
        <v>7161</v>
      </c>
      <c r="C13" s="18">
        <f>(6318.0/B13*100)</f>
        <v/>
      </c>
      <c r="D13" s="19" t="n">
        <v>843</v>
      </c>
      <c r="E13" s="18" t="n">
        <v>48.35221206</v>
      </c>
      <c r="F13" s="20" t="n">
        <v>2.29377277</v>
      </c>
      <c r="G13" s="18" t="n">
        <v>51.12941474</v>
      </c>
      <c r="H13" s="20" t="n">
        <v>2.28578048</v>
      </c>
      <c r="I13" s="18" t="n">
        <v>0</v>
      </c>
      <c r="J13" s="20" t="n">
        <v>0</v>
      </c>
      <c r="K13" s="18" t="n">
        <v>0.15075618</v>
      </c>
      <c r="L13" s="20" t="n">
        <v>0.13584944</v>
      </c>
      <c r="M13" s="18" t="n">
        <v>0</v>
      </c>
      <c r="N13" s="20" t="n">
        <v>0</v>
      </c>
      <c r="O13" s="18" t="n">
        <v>0</v>
      </c>
      <c r="P13" s="20" t="n">
        <v>0</v>
      </c>
      <c r="Q13" s="18" t="n">
        <v>0.36761703</v>
      </c>
      <c r="R13" s="20" t="n">
        <v>0.18359127</v>
      </c>
    </row>
    <row r="14" spans="1:18">
      <c r="A14" s="15" t="s">
        <v>436</v>
      </c>
      <c r="B14" s="17" t="n">
        <v>5587</v>
      </c>
      <c r="C14" s="18">
        <f>(4898.0/B14*100)</f>
        <v/>
      </c>
      <c r="D14" s="19" t="n">
        <v>689</v>
      </c>
      <c r="E14" s="18" t="n">
        <v>57.49349891</v>
      </c>
      <c r="F14" s="20" t="n">
        <v>1.95958498</v>
      </c>
      <c r="G14" s="18" t="n">
        <v>41.6832188</v>
      </c>
      <c r="H14" s="20" t="n">
        <v>1.91590706</v>
      </c>
      <c r="I14" s="18" t="n">
        <v>0</v>
      </c>
      <c r="J14" s="20" t="n">
        <v>0</v>
      </c>
      <c r="K14" s="18" t="n">
        <v>0.40507087</v>
      </c>
      <c r="L14" s="20" t="n">
        <v>0.24022796</v>
      </c>
      <c r="M14" s="18" t="n">
        <v>0</v>
      </c>
      <c r="N14" s="20" t="n">
        <v>0</v>
      </c>
      <c r="O14" s="18" t="n">
        <v>0</v>
      </c>
      <c r="P14" s="20" t="n">
        <v>0</v>
      </c>
      <c r="Q14" s="18" t="n">
        <v>0.41821142</v>
      </c>
      <c r="R14" s="20" t="n">
        <v>0.24208374</v>
      </c>
    </row>
    <row r="15" spans="1:18">
      <c r="A15" s="15" t="s">
        <v>437</v>
      </c>
      <c r="B15" s="17" t="n">
        <v>5882</v>
      </c>
      <c r="C15" s="18">
        <f>(5163.0/B15*100)</f>
        <v/>
      </c>
      <c r="D15" s="19" t="n">
        <v>719</v>
      </c>
      <c r="E15" s="18" t="n">
        <v>57.59232674</v>
      </c>
      <c r="F15" s="20" t="n">
        <v>1.79899587</v>
      </c>
      <c r="G15" s="18" t="n">
        <v>41.35789797</v>
      </c>
      <c r="H15" s="20" t="n">
        <v>1.7800209</v>
      </c>
      <c r="I15" s="18" t="n">
        <v>0</v>
      </c>
      <c r="J15" s="20" t="n">
        <v>0</v>
      </c>
      <c r="K15" s="18" t="n">
        <v>0.37437315</v>
      </c>
      <c r="L15" s="20" t="n">
        <v>0.2741428</v>
      </c>
      <c r="M15" s="18" t="n">
        <v>0</v>
      </c>
      <c r="N15" s="20" t="n">
        <v>0</v>
      </c>
      <c r="O15" s="18" t="n">
        <v>0</v>
      </c>
      <c r="P15" s="20" t="n">
        <v>0</v>
      </c>
      <c r="Q15" s="18" t="n">
        <v>0.67540214</v>
      </c>
      <c r="R15" s="20" t="n">
        <v>0.30450256</v>
      </c>
    </row>
    <row r="16" spans="1:18">
      <c r="A16" s="15" t="s">
        <v>438</v>
      </c>
      <c r="B16" s="17" t="n">
        <v>6108</v>
      </c>
      <c r="C16" s="18">
        <f>(5379.0/B16*100)</f>
        <v/>
      </c>
      <c r="D16" s="19" t="n">
        <v>729</v>
      </c>
      <c r="E16" s="18" t="n">
        <v>58.71843569</v>
      </c>
      <c r="F16" s="20" t="n">
        <v>1.7259505</v>
      </c>
      <c r="G16" s="18" t="n">
        <v>39.41282858</v>
      </c>
      <c r="H16" s="20" t="n">
        <v>1.66597101</v>
      </c>
      <c r="I16" s="18" t="n">
        <v>0</v>
      </c>
      <c r="J16" s="20" t="n">
        <v>0</v>
      </c>
      <c r="K16" s="18" t="n">
        <v>0.96168382</v>
      </c>
      <c r="L16" s="20" t="n">
        <v>0.43694893</v>
      </c>
      <c r="M16" s="18" t="n">
        <v>0</v>
      </c>
      <c r="N16" s="20" t="n">
        <v>0</v>
      </c>
      <c r="O16" s="18" t="n">
        <v>0</v>
      </c>
      <c r="P16" s="20" t="n">
        <v>0</v>
      </c>
      <c r="Q16" s="18" t="n">
        <v>0.90705192</v>
      </c>
      <c r="R16" s="20" t="n">
        <v>0.3564409</v>
      </c>
    </row>
    <row r="17" spans="1:18">
      <c r="A17" s="15" t="s">
        <v>439</v>
      </c>
      <c r="B17" s="17" t="n">
        <v>6504</v>
      </c>
      <c r="C17" s="18">
        <f>(5726.0/B17*100)</f>
        <v/>
      </c>
      <c r="D17" s="19" t="n">
        <v>778</v>
      </c>
      <c r="E17" s="18" t="n">
        <v>59.56240533</v>
      </c>
      <c r="F17" s="20" t="n">
        <v>1.84638292</v>
      </c>
      <c r="G17" s="18" t="n">
        <v>38.71998598</v>
      </c>
      <c r="H17" s="20" t="n">
        <v>1.84045259</v>
      </c>
      <c r="I17" s="18" t="n">
        <v>0</v>
      </c>
      <c r="J17" s="20" t="n">
        <v>0</v>
      </c>
      <c r="K17" s="18" t="n">
        <v>0.85408418</v>
      </c>
      <c r="L17" s="20" t="n">
        <v>0.3280293</v>
      </c>
      <c r="M17" s="18" t="n">
        <v>0</v>
      </c>
      <c r="N17" s="20" t="n">
        <v>0</v>
      </c>
      <c r="O17" s="18" t="n">
        <v>0</v>
      </c>
      <c r="P17" s="20" t="n">
        <v>0</v>
      </c>
      <c r="Q17" s="18" t="n">
        <v>0.86352451</v>
      </c>
      <c r="R17" s="20" t="n">
        <v>0.26646916</v>
      </c>
    </row>
    <row r="18" spans="1:18">
      <c r="A18" s="15" t="s">
        <v>440</v>
      </c>
      <c r="B18" s="17" t="n">
        <v>5532</v>
      </c>
      <c r="C18" s="18">
        <f>(4855.0/B18*100)</f>
        <v/>
      </c>
      <c r="D18" s="19" t="n">
        <v>677</v>
      </c>
      <c r="E18" s="18" t="n">
        <v>61.03641503</v>
      </c>
      <c r="F18" s="20" t="n">
        <v>2.17634566</v>
      </c>
      <c r="G18" s="18" t="n">
        <v>36.54218559</v>
      </c>
      <c r="H18" s="20" t="n">
        <v>1.99691961</v>
      </c>
      <c r="I18" s="18" t="n">
        <v>0</v>
      </c>
      <c r="J18" s="20" t="n">
        <v>0</v>
      </c>
      <c r="K18" s="18" t="n">
        <v>1.08979963</v>
      </c>
      <c r="L18" s="20" t="n">
        <v>0.43373451</v>
      </c>
      <c r="M18" s="18" t="n">
        <v>0</v>
      </c>
      <c r="N18" s="20" t="n">
        <v>0</v>
      </c>
      <c r="O18" s="18" t="n">
        <v>0</v>
      </c>
      <c r="P18" s="20" t="n">
        <v>0</v>
      </c>
      <c r="Q18" s="18" t="n">
        <v>1.33159975</v>
      </c>
      <c r="R18" s="20" t="n">
        <v>0.39418698</v>
      </c>
    </row>
    <row r="19" spans="1:18">
      <c r="A19" s="15" t="s">
        <v>441</v>
      </c>
      <c r="B19" s="17" t="n">
        <v>5658</v>
      </c>
      <c r="C19" s="18">
        <f>(4964.0/B19*100)</f>
        <v/>
      </c>
      <c r="D19" s="19" t="n">
        <v>694</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442</v>
      </c>
      <c r="B20" s="17" t="n">
        <v>3371</v>
      </c>
      <c r="C20" s="18">
        <f>(2972.0/B20*100)</f>
        <v/>
      </c>
      <c r="D20" s="19" t="n">
        <v>399</v>
      </c>
      <c r="E20" s="18" t="n">
        <v>55.50488162</v>
      </c>
      <c r="F20" s="20" t="n">
        <v>2.65850516</v>
      </c>
      <c r="G20" s="18" t="n">
        <v>43.27533745</v>
      </c>
      <c r="H20" s="20" t="n">
        <v>2.77599393</v>
      </c>
      <c r="I20" s="18" t="n">
        <v>0</v>
      </c>
      <c r="J20" s="20" t="n">
        <v>0</v>
      </c>
      <c r="K20" s="18" t="n">
        <v>0.67412644</v>
      </c>
      <c r="L20" s="20" t="n">
        <v>0.38705885</v>
      </c>
      <c r="M20" s="18" t="n">
        <v>0</v>
      </c>
      <c r="N20" s="20" t="n">
        <v>0</v>
      </c>
      <c r="O20" s="18" t="n">
        <v>0</v>
      </c>
      <c r="P20" s="20" t="n">
        <v>0</v>
      </c>
      <c r="Q20" s="18" t="n">
        <v>0.5456545</v>
      </c>
      <c r="R20" s="20" t="n">
        <v>0.38535968</v>
      </c>
    </row>
    <row r="21" spans="1:18">
      <c r="A21" s="15" t="s">
        <v>443</v>
      </c>
      <c r="B21" s="17" t="n">
        <v>5741</v>
      </c>
      <c r="C21" s="18">
        <f>(4795.0/B21*100)</f>
        <v/>
      </c>
      <c r="D21" s="19" t="n">
        <v>946</v>
      </c>
      <c r="E21" s="18" t="n">
        <v>60.39157972</v>
      </c>
      <c r="F21" s="20" t="n">
        <v>1.50994045</v>
      </c>
      <c r="G21" s="18" t="n">
        <v>38.87644763</v>
      </c>
      <c r="H21" s="20" t="n">
        <v>1.50245147</v>
      </c>
      <c r="I21" s="18" t="n">
        <v>0</v>
      </c>
      <c r="J21" s="20" t="n">
        <v>0</v>
      </c>
      <c r="K21" s="18" t="n">
        <v>0.28310469</v>
      </c>
      <c r="L21" s="20" t="n">
        <v>0.15071422</v>
      </c>
      <c r="M21" s="18" t="n">
        <v>0</v>
      </c>
      <c r="N21" s="20" t="n">
        <v>0</v>
      </c>
      <c r="O21" s="18" t="n">
        <v>0</v>
      </c>
      <c r="P21" s="20" t="n">
        <v>0</v>
      </c>
      <c r="Q21" s="18" t="n">
        <v>0.44886797</v>
      </c>
      <c r="R21" s="20" t="n">
        <v>0.20790663</v>
      </c>
    </row>
    <row r="22" spans="1:18">
      <c r="A22" s="15" t="s">
        <v>444</v>
      </c>
      <c r="B22" s="17" t="n">
        <v>6598</v>
      </c>
      <c r="C22" s="18">
        <f>(5789.0/B22*100)</f>
        <v/>
      </c>
      <c r="D22" s="19" t="n">
        <v>809</v>
      </c>
      <c r="E22" s="18" t="n">
        <v>52.41764892</v>
      </c>
      <c r="F22" s="20" t="n">
        <v>1.84119075</v>
      </c>
      <c r="G22" s="18" t="n">
        <v>45.61660593</v>
      </c>
      <c r="H22" s="20" t="n">
        <v>1.8410057</v>
      </c>
      <c r="I22" s="18" t="n">
        <v>0</v>
      </c>
      <c r="J22" s="20" t="n">
        <v>0</v>
      </c>
      <c r="K22" s="18" t="n">
        <v>0.6533225</v>
      </c>
      <c r="L22" s="20" t="n">
        <v>0.30547814</v>
      </c>
      <c r="M22" s="18" t="n">
        <v>0</v>
      </c>
      <c r="N22" s="20" t="n">
        <v>0</v>
      </c>
      <c r="O22" s="18" t="n">
        <v>0</v>
      </c>
      <c r="P22" s="20" t="n">
        <v>0</v>
      </c>
      <c r="Q22" s="18" t="n">
        <v>1.31242264</v>
      </c>
      <c r="R22" s="20" t="n">
        <v>0.41138752</v>
      </c>
    </row>
    <row r="23" spans="1:18">
      <c r="A23" s="15" t="s">
        <v>445</v>
      </c>
      <c r="B23" s="17" t="n">
        <v>11583</v>
      </c>
      <c r="C23" s="18">
        <f>(10155.0/B23*100)</f>
        <v/>
      </c>
      <c r="D23" s="19" t="n">
        <v>1428</v>
      </c>
      <c r="E23" s="18" t="n">
        <v>67.78598468</v>
      </c>
      <c r="F23" s="20" t="n">
        <v>1.8551576</v>
      </c>
      <c r="G23" s="18" t="n">
        <v>30.9362981</v>
      </c>
      <c r="H23" s="20" t="n">
        <v>1.89182359</v>
      </c>
      <c r="I23" s="18" t="n">
        <v>0</v>
      </c>
      <c r="J23" s="20" t="n">
        <v>0</v>
      </c>
      <c r="K23" s="18" t="n">
        <v>0.68134988</v>
      </c>
      <c r="L23" s="20" t="n">
        <v>0.46105344</v>
      </c>
      <c r="M23" s="18" t="n">
        <v>0</v>
      </c>
      <c r="N23" s="20" t="n">
        <v>0</v>
      </c>
      <c r="O23" s="18" t="n">
        <v>0</v>
      </c>
      <c r="P23" s="20" t="n">
        <v>0</v>
      </c>
      <c r="Q23" s="18" t="n">
        <v>0.59636735</v>
      </c>
      <c r="R23" s="20" t="n">
        <v>0.35062627</v>
      </c>
    </row>
    <row r="24" spans="1:18">
      <c r="A24" s="15" t="s">
        <v>446</v>
      </c>
      <c r="B24" s="17" t="n">
        <v>6647</v>
      </c>
      <c r="C24" s="18">
        <f>(5857.0/B24*100)</f>
        <v/>
      </c>
      <c r="D24" s="19" t="n">
        <v>790</v>
      </c>
      <c r="E24" s="18" t="n">
        <v>38.79214127</v>
      </c>
      <c r="F24" s="20" t="n">
        <v>1.87307638</v>
      </c>
      <c r="G24" s="18" t="n">
        <v>59.62589025</v>
      </c>
      <c r="H24" s="20" t="n">
        <v>1.87878977</v>
      </c>
      <c r="I24" s="18" t="n">
        <v>0</v>
      </c>
      <c r="J24" s="20" t="n">
        <v>0</v>
      </c>
      <c r="K24" s="18" t="n">
        <v>0.62679049</v>
      </c>
      <c r="L24" s="20" t="n">
        <v>0.27992489</v>
      </c>
      <c r="M24" s="18" t="n">
        <v>0</v>
      </c>
      <c r="N24" s="20" t="n">
        <v>0</v>
      </c>
      <c r="O24" s="18" t="n">
        <v>0</v>
      </c>
      <c r="P24" s="20" t="n">
        <v>0</v>
      </c>
      <c r="Q24" s="18" t="n">
        <v>0.95517799</v>
      </c>
      <c r="R24" s="20" t="n">
        <v>0.34054342</v>
      </c>
    </row>
    <row r="25" spans="1:18">
      <c r="A25" s="15" t="s">
        <v>447</v>
      </c>
      <c r="B25" s="17" t="n">
        <v>5581</v>
      </c>
      <c r="C25" s="18">
        <f>(4908.0/B25*100)</f>
        <v/>
      </c>
      <c r="D25" s="19" t="n">
        <v>673</v>
      </c>
      <c r="E25" s="18" t="n">
        <v>60.1617401</v>
      </c>
      <c r="F25" s="20" t="n">
        <v>1.78648438</v>
      </c>
      <c r="G25" s="18" t="n">
        <v>39.53962189</v>
      </c>
      <c r="H25" s="20" t="n">
        <v>1.78112696</v>
      </c>
      <c r="I25" s="18" t="n">
        <v>0</v>
      </c>
      <c r="J25" s="20" t="n">
        <v>0</v>
      </c>
      <c r="K25" s="18" t="n">
        <v>0.13582714</v>
      </c>
      <c r="L25" s="20" t="n">
        <v>0.13589188</v>
      </c>
      <c r="M25" s="18" t="n">
        <v>0</v>
      </c>
      <c r="N25" s="20" t="n">
        <v>0</v>
      </c>
      <c r="O25" s="18" t="n">
        <v>0</v>
      </c>
      <c r="P25" s="20" t="n">
        <v>0</v>
      </c>
      <c r="Q25" s="18" t="n">
        <v>0.16281087</v>
      </c>
      <c r="R25" s="20" t="n">
        <v>0.16284748</v>
      </c>
    </row>
    <row r="26" spans="1:18">
      <c r="A26" s="15" t="s">
        <v>448</v>
      </c>
      <c r="B26" s="17" t="n">
        <v>4869</v>
      </c>
      <c r="C26" s="18">
        <f>(4278.0/B26*100)</f>
        <v/>
      </c>
      <c r="D26" s="19" t="n">
        <v>591</v>
      </c>
      <c r="E26" s="18" t="n">
        <v>56.27247454</v>
      </c>
      <c r="F26" s="20" t="n">
        <v>2.41012607</v>
      </c>
      <c r="G26" s="18" t="n">
        <v>43.22304545</v>
      </c>
      <c r="H26" s="20" t="n">
        <v>2.36334371</v>
      </c>
      <c r="I26" s="18" t="n">
        <v>0</v>
      </c>
      <c r="J26" s="20" t="n">
        <v>0</v>
      </c>
      <c r="K26" s="18" t="n">
        <v>0</v>
      </c>
      <c r="L26" s="20" t="n">
        <v>0</v>
      </c>
      <c r="M26" s="18" t="n">
        <v>0</v>
      </c>
      <c r="N26" s="20" t="n">
        <v>0</v>
      </c>
      <c r="O26" s="18" t="n">
        <v>0</v>
      </c>
      <c r="P26" s="20" t="n">
        <v>0</v>
      </c>
      <c r="Q26" s="18" t="n">
        <v>0.50448001</v>
      </c>
      <c r="R26" s="20" t="n">
        <v>0.34094224</v>
      </c>
    </row>
    <row r="27" spans="1:18">
      <c r="A27" s="15" t="s">
        <v>449</v>
      </c>
      <c r="B27" s="17" t="n">
        <v>5299</v>
      </c>
      <c r="C27" s="18">
        <f>(4674.0/B27*100)</f>
        <v/>
      </c>
      <c r="D27" s="19" t="n">
        <v>625</v>
      </c>
      <c r="E27" s="18" t="n">
        <v>67.21393962</v>
      </c>
      <c r="F27" s="20" t="n">
        <v>2.0825208</v>
      </c>
      <c r="G27" s="18" t="n">
        <v>31.02019934</v>
      </c>
      <c r="H27" s="20" t="n">
        <v>2.02716037</v>
      </c>
      <c r="I27" s="18" t="n">
        <v>0</v>
      </c>
      <c r="J27" s="20" t="n">
        <v>0</v>
      </c>
      <c r="K27" s="18" t="n">
        <v>0.79802111</v>
      </c>
      <c r="L27" s="20" t="n">
        <v>0.35848485</v>
      </c>
      <c r="M27" s="18" t="n">
        <v>0</v>
      </c>
      <c r="N27" s="20" t="n">
        <v>0</v>
      </c>
      <c r="O27" s="18" t="n">
        <v>0</v>
      </c>
      <c r="P27" s="20" t="n">
        <v>0</v>
      </c>
      <c r="Q27" s="18" t="n">
        <v>0.96783994</v>
      </c>
      <c r="R27" s="20" t="n">
        <v>0.39368626</v>
      </c>
    </row>
    <row r="28" spans="1:18">
      <c r="A28" s="15" t="s">
        <v>450</v>
      </c>
      <c r="B28" s="17" t="n">
        <v>7568</v>
      </c>
      <c r="C28" s="18">
        <f>(6694.0/B28*100)</f>
        <v/>
      </c>
      <c r="D28" s="19" t="n">
        <v>874</v>
      </c>
      <c r="E28" s="18" t="n">
        <v>67.4922648</v>
      </c>
      <c r="F28" s="20" t="n">
        <v>1.76810492</v>
      </c>
      <c r="G28" s="18" t="n">
        <v>30.85222842</v>
      </c>
      <c r="H28" s="20" t="n">
        <v>1.69746528</v>
      </c>
      <c r="I28" s="18" t="n">
        <v>0</v>
      </c>
      <c r="J28" s="20" t="n">
        <v>0</v>
      </c>
      <c r="K28" s="18" t="n">
        <v>1.27887259</v>
      </c>
      <c r="L28" s="20" t="n">
        <v>0.44631079</v>
      </c>
      <c r="M28" s="18" t="n">
        <v>0</v>
      </c>
      <c r="N28" s="20" t="n">
        <v>0</v>
      </c>
      <c r="O28" s="18" t="n">
        <v>0</v>
      </c>
      <c r="P28" s="20" t="n">
        <v>0</v>
      </c>
      <c r="Q28" s="18" t="n">
        <v>0.37663419</v>
      </c>
      <c r="R28" s="20" t="n">
        <v>0.22391652</v>
      </c>
    </row>
    <row r="29" spans="1:18">
      <c r="A29" s="15" t="s">
        <v>451</v>
      </c>
      <c r="B29" s="17" t="n">
        <v>5385</v>
      </c>
      <c r="C29" s="18">
        <f>(4739.0/B29*100)</f>
        <v/>
      </c>
      <c r="D29" s="19" t="n">
        <v>646</v>
      </c>
      <c r="E29" s="18" t="n">
        <v>62.94943016</v>
      </c>
      <c r="F29" s="20" t="n">
        <v>2.10647412</v>
      </c>
      <c r="G29" s="18" t="n">
        <v>36.42044472</v>
      </c>
      <c r="H29" s="20" t="n">
        <v>2.1149159</v>
      </c>
      <c r="I29" s="18" t="n">
        <v>0</v>
      </c>
      <c r="J29" s="20" t="n">
        <v>0</v>
      </c>
      <c r="K29" s="18" t="n">
        <v>0.18627625</v>
      </c>
      <c r="L29" s="20" t="n">
        <v>0.13323819</v>
      </c>
      <c r="M29" s="18" t="n">
        <v>0</v>
      </c>
      <c r="N29" s="20" t="n">
        <v>0</v>
      </c>
      <c r="O29" s="18" t="n">
        <v>0</v>
      </c>
      <c r="P29" s="20" t="n">
        <v>0</v>
      </c>
      <c r="Q29" s="18" t="n">
        <v>0.44384886</v>
      </c>
      <c r="R29" s="20" t="n">
        <v>0.33705202</v>
      </c>
    </row>
    <row r="30" spans="1:18">
      <c r="A30" s="15" t="s">
        <v>452</v>
      </c>
      <c r="B30" s="17" t="n">
        <v>4520</v>
      </c>
      <c r="C30" s="18">
        <f>(3990.0/B30*100)</f>
        <v/>
      </c>
      <c r="D30" s="19" t="n">
        <v>530</v>
      </c>
      <c r="E30" s="18" t="n">
        <v>61.35718725</v>
      </c>
      <c r="F30" s="20" t="n">
        <v>2.51460414</v>
      </c>
      <c r="G30" s="18" t="n">
        <v>36.0062672</v>
      </c>
      <c r="H30" s="20" t="n">
        <v>2.55243196</v>
      </c>
      <c r="I30" s="18" t="n">
        <v>0</v>
      </c>
      <c r="J30" s="20" t="n">
        <v>0</v>
      </c>
      <c r="K30" s="18" t="n">
        <v>1.95790063</v>
      </c>
      <c r="L30" s="20" t="n">
        <v>0.69774918</v>
      </c>
      <c r="M30" s="18" t="n">
        <v>0</v>
      </c>
      <c r="N30" s="20" t="n">
        <v>0</v>
      </c>
      <c r="O30" s="18" t="n">
        <v>0</v>
      </c>
      <c r="P30" s="20" t="n">
        <v>0</v>
      </c>
      <c r="Q30" s="18" t="n">
        <v>0.67864492</v>
      </c>
      <c r="R30" s="20" t="n">
        <v>0.34161564</v>
      </c>
    </row>
    <row r="31" spans="1:18">
      <c r="A31" s="15" t="s">
        <v>453</v>
      </c>
      <c r="B31" s="17" t="n">
        <v>5456</v>
      </c>
      <c r="C31" s="18">
        <f>(4804.0/B31*100)</f>
        <v/>
      </c>
      <c r="D31" s="19" t="n">
        <v>652</v>
      </c>
      <c r="E31" s="18" t="n">
        <v>52.80390251</v>
      </c>
      <c r="F31" s="20" t="n">
        <v>2.06631307</v>
      </c>
      <c r="G31" s="18" t="n">
        <v>45.2713418</v>
      </c>
      <c r="H31" s="20" t="n">
        <v>2.07998738</v>
      </c>
      <c r="I31" s="18" t="n">
        <v>0</v>
      </c>
      <c r="J31" s="20" t="n">
        <v>0</v>
      </c>
      <c r="K31" s="18" t="n">
        <v>0.8779949</v>
      </c>
      <c r="L31" s="20" t="n">
        <v>0.350862</v>
      </c>
      <c r="M31" s="18" t="n">
        <v>0</v>
      </c>
      <c r="N31" s="20" t="n">
        <v>0</v>
      </c>
      <c r="O31" s="18" t="n">
        <v>0</v>
      </c>
      <c r="P31" s="20" t="n">
        <v>0</v>
      </c>
      <c r="Q31" s="18" t="n">
        <v>1.04676079</v>
      </c>
      <c r="R31" s="20" t="n">
        <v>0.38864175</v>
      </c>
    </row>
    <row r="32" spans="1:18">
      <c r="A32" s="15" t="s">
        <v>454</v>
      </c>
      <c r="B32" s="17" t="n">
        <v>4478</v>
      </c>
      <c r="C32" s="18">
        <f>(3751.0/B32*100)</f>
        <v/>
      </c>
      <c r="D32" s="19" t="n">
        <v>727</v>
      </c>
      <c r="E32" s="18" t="n">
        <v>64.42707201</v>
      </c>
      <c r="F32" s="20" t="n">
        <v>1.82632747</v>
      </c>
      <c r="G32" s="18" t="n">
        <v>35.26454727</v>
      </c>
      <c r="H32" s="20" t="n">
        <v>1.82380651</v>
      </c>
      <c r="I32" s="18" t="n">
        <v>0</v>
      </c>
      <c r="J32" s="20" t="n">
        <v>0</v>
      </c>
      <c r="K32" s="18" t="n">
        <v>0</v>
      </c>
      <c r="L32" s="20" t="n">
        <v>0</v>
      </c>
      <c r="M32" s="18" t="n">
        <v>0</v>
      </c>
      <c r="N32" s="20" t="n">
        <v>0</v>
      </c>
      <c r="O32" s="18" t="n">
        <v>0</v>
      </c>
      <c r="P32" s="20" t="n">
        <v>0</v>
      </c>
      <c r="Q32" s="18" t="n">
        <v>0.30838072</v>
      </c>
      <c r="R32" s="20" t="n">
        <v>0.22280386</v>
      </c>
    </row>
    <row r="33" spans="1:18">
      <c r="A33" s="15" t="s">
        <v>455</v>
      </c>
      <c r="B33" s="17" t="n">
        <v>7325</v>
      </c>
      <c r="C33" s="18">
        <f>(6464.0/B33*100)</f>
        <v/>
      </c>
      <c r="D33" s="19" t="n">
        <v>861</v>
      </c>
      <c r="E33" s="18" t="n">
        <v>63.25769924</v>
      </c>
      <c r="F33" s="20" t="n">
        <v>2.0052635</v>
      </c>
      <c r="G33" s="18" t="n">
        <v>35.8007027</v>
      </c>
      <c r="H33" s="20" t="n">
        <v>1.97105075</v>
      </c>
      <c r="I33" s="18" t="n">
        <v>0</v>
      </c>
      <c r="J33" s="20" t="n">
        <v>0</v>
      </c>
      <c r="K33" s="18" t="n">
        <v>0.34333324</v>
      </c>
      <c r="L33" s="20" t="n">
        <v>0.2205806</v>
      </c>
      <c r="M33" s="18" t="n">
        <v>0</v>
      </c>
      <c r="N33" s="20" t="n">
        <v>0</v>
      </c>
      <c r="O33" s="18" t="n">
        <v>0</v>
      </c>
      <c r="P33" s="20" t="n">
        <v>0</v>
      </c>
      <c r="Q33" s="18" t="n">
        <v>0.59826482</v>
      </c>
      <c r="R33" s="20" t="n">
        <v>0.34320476</v>
      </c>
    </row>
    <row r="34" spans="1:18">
      <c r="A34" s="15" t="s">
        <v>456</v>
      </c>
      <c r="B34" s="17" t="n">
        <v>6350</v>
      </c>
      <c r="C34" s="18">
        <f>(5610.0/B34*100)</f>
        <v/>
      </c>
      <c r="D34" s="19" t="n">
        <v>740</v>
      </c>
      <c r="E34" s="18" t="n">
        <v>63.34115528</v>
      </c>
      <c r="F34" s="20" t="n">
        <v>1.98398538</v>
      </c>
      <c r="G34" s="18" t="n">
        <v>35.6255671</v>
      </c>
      <c r="H34" s="20" t="n">
        <v>1.97747333</v>
      </c>
      <c r="I34" s="18" t="n">
        <v>0</v>
      </c>
      <c r="J34" s="20" t="n">
        <v>0</v>
      </c>
      <c r="K34" s="18" t="n">
        <v>0.32565063</v>
      </c>
      <c r="L34" s="20" t="n">
        <v>0.24010599</v>
      </c>
      <c r="M34" s="18" t="n">
        <v>0</v>
      </c>
      <c r="N34" s="20" t="n">
        <v>0</v>
      </c>
      <c r="O34" s="18" t="n">
        <v>0</v>
      </c>
      <c r="P34" s="20" t="n">
        <v>0</v>
      </c>
      <c r="Q34" s="18" t="n">
        <v>0.70762699</v>
      </c>
      <c r="R34" s="20" t="n">
        <v>0.24701842</v>
      </c>
    </row>
    <row r="35" spans="1:18">
      <c r="A35" s="15" t="s">
        <v>457</v>
      </c>
      <c r="B35" s="17" t="n">
        <v>6406</v>
      </c>
      <c r="C35" s="18">
        <f>(5637.0/B35*100)</f>
        <v/>
      </c>
      <c r="D35" s="19" t="n">
        <v>769</v>
      </c>
      <c r="E35" s="18" t="n">
        <v>64.60247654</v>
      </c>
      <c r="F35" s="20" t="n">
        <v>2.13771483</v>
      </c>
      <c r="G35" s="18" t="n">
        <v>34.90966135</v>
      </c>
      <c r="H35" s="20" t="n">
        <v>2.12834481</v>
      </c>
      <c r="I35" s="18" t="n">
        <v>0</v>
      </c>
      <c r="J35" s="20" t="n">
        <v>0</v>
      </c>
      <c r="K35" s="18" t="n">
        <v>0.08506337</v>
      </c>
      <c r="L35" s="20" t="n">
        <v>0.08496581</v>
      </c>
      <c r="M35" s="18" t="n">
        <v>0</v>
      </c>
      <c r="N35" s="20" t="n">
        <v>0</v>
      </c>
      <c r="O35" s="18" t="n">
        <v>0</v>
      </c>
      <c r="P35" s="20" t="n">
        <v>0</v>
      </c>
      <c r="Q35" s="18" t="n">
        <v>0.40279874</v>
      </c>
      <c r="R35" s="20" t="n">
        <v>0.22806905</v>
      </c>
    </row>
    <row r="36" spans="1:18">
      <c r="A36" s="15" t="s">
        <v>458</v>
      </c>
      <c r="B36" s="17" t="n">
        <v>6736</v>
      </c>
      <c r="C36" s="18">
        <f>(5943.0/B36*100)</f>
        <v/>
      </c>
      <c r="D36" s="19" t="n">
        <v>793</v>
      </c>
      <c r="E36" s="18" t="n">
        <v>60.96724551</v>
      </c>
      <c r="F36" s="20" t="n">
        <v>2.05475151</v>
      </c>
      <c r="G36" s="18" t="n">
        <v>38.26577292</v>
      </c>
      <c r="H36" s="20" t="n">
        <v>2.0655704</v>
      </c>
      <c r="I36" s="18" t="n">
        <v>0</v>
      </c>
      <c r="J36" s="20" t="n">
        <v>0</v>
      </c>
      <c r="K36" s="18" t="n">
        <v>0.47560671</v>
      </c>
      <c r="L36" s="20" t="n">
        <v>0.27745902</v>
      </c>
      <c r="M36" s="18" t="n">
        <v>0</v>
      </c>
      <c r="N36" s="20" t="n">
        <v>0</v>
      </c>
      <c r="O36" s="18" t="n">
        <v>0</v>
      </c>
      <c r="P36" s="20" t="n">
        <v>0</v>
      </c>
      <c r="Q36" s="18" t="n">
        <v>0.29137486</v>
      </c>
      <c r="R36" s="20" t="n">
        <v>0.18400765</v>
      </c>
    </row>
    <row r="37" spans="1:18">
      <c r="A37" s="15" t="s">
        <v>459</v>
      </c>
      <c r="B37" s="17" t="n">
        <v>5458</v>
      </c>
      <c r="C37" s="18">
        <f>(4783.0/B37*100)</f>
        <v/>
      </c>
      <c r="D37" s="19" t="n">
        <v>675</v>
      </c>
      <c r="E37" s="18" t="n">
        <v>49.85070659</v>
      </c>
      <c r="F37" s="20" t="n">
        <v>2.19784063</v>
      </c>
      <c r="G37" s="18" t="n">
        <v>47.13547872</v>
      </c>
      <c r="H37" s="20" t="n">
        <v>2.22986676</v>
      </c>
      <c r="I37" s="18" t="n">
        <v>0</v>
      </c>
      <c r="J37" s="20" t="n">
        <v>0</v>
      </c>
      <c r="K37" s="18" t="n">
        <v>1.86609017</v>
      </c>
      <c r="L37" s="20" t="n">
        <v>0.49981917</v>
      </c>
      <c r="M37" s="18" t="n">
        <v>0</v>
      </c>
      <c r="N37" s="20" t="n">
        <v>0</v>
      </c>
      <c r="O37" s="18" t="n">
        <v>0</v>
      </c>
      <c r="P37" s="20" t="n">
        <v>0</v>
      </c>
      <c r="Q37" s="18" t="n">
        <v>1.14772452</v>
      </c>
      <c r="R37" s="20" t="n">
        <v>0.4117405</v>
      </c>
    </row>
    <row r="38" spans="1:18">
      <c r="A38" s="15" t="s">
        <v>460</v>
      </c>
      <c r="B38" s="17" t="n">
        <v>5860</v>
      </c>
      <c r="C38" s="18">
        <f>(4908.0/B38*100)</f>
        <v/>
      </c>
      <c r="D38" s="19" t="n">
        <v>952</v>
      </c>
      <c r="E38" s="18" t="n">
        <v>64.56662916000001</v>
      </c>
      <c r="F38" s="20" t="n">
        <v>1.65577511</v>
      </c>
      <c r="G38" s="18" t="n">
        <v>33.73568068</v>
      </c>
      <c r="H38" s="20" t="n">
        <v>1.68565125</v>
      </c>
      <c r="I38" s="18" t="n">
        <v>0</v>
      </c>
      <c r="J38" s="20" t="n">
        <v>0</v>
      </c>
      <c r="K38" s="18" t="n">
        <v>0.82792226</v>
      </c>
      <c r="L38" s="20" t="n">
        <v>0.37066943</v>
      </c>
      <c r="M38" s="18" t="n">
        <v>0</v>
      </c>
      <c r="N38" s="20" t="n">
        <v>0</v>
      </c>
      <c r="O38" s="18" t="n">
        <v>0</v>
      </c>
      <c r="P38" s="20" t="n">
        <v>0</v>
      </c>
      <c r="Q38" s="18" t="n">
        <v>0.8697679</v>
      </c>
      <c r="R38" s="20" t="n">
        <v>0.30142154</v>
      </c>
    </row>
    <row r="39" spans="1:18">
      <c r="A39" s="15" t="s">
        <v>461</v>
      </c>
      <c r="B39" s="17" t="n">
        <v>5895</v>
      </c>
      <c r="C39" s="18">
        <f>(5176.0/B39*100)</f>
        <v/>
      </c>
      <c r="D39" s="19" t="n">
        <v>719</v>
      </c>
      <c r="E39" s="18" t="n">
        <v>60.97000994</v>
      </c>
      <c r="F39" s="20" t="n">
        <v>1.77510821</v>
      </c>
      <c r="G39" s="18" t="n">
        <v>38.56351245</v>
      </c>
      <c r="H39" s="20" t="n">
        <v>1.7807283</v>
      </c>
      <c r="I39" s="18" t="n">
        <v>0</v>
      </c>
      <c r="J39" s="20" t="n">
        <v>0</v>
      </c>
      <c r="K39" s="18" t="n">
        <v>0.2899176</v>
      </c>
      <c r="L39" s="20" t="n">
        <v>0.20955234</v>
      </c>
      <c r="M39" s="18" t="n">
        <v>0</v>
      </c>
      <c r="N39" s="20" t="n">
        <v>0</v>
      </c>
      <c r="O39" s="18" t="n">
        <v>0</v>
      </c>
      <c r="P39" s="20" t="n">
        <v>0</v>
      </c>
      <c r="Q39" s="18" t="n">
        <v>0.17656001</v>
      </c>
      <c r="R39" s="20" t="n">
        <v>0.14050236</v>
      </c>
    </row>
    <row r="40" spans="1:18">
      <c r="A40" s="15" t="s">
        <v>462</v>
      </c>
      <c r="B40" s="17" t="n">
        <v>14157</v>
      </c>
      <c r="C40" s="18">
        <f>(12448.0/B40*100)</f>
        <v/>
      </c>
      <c r="D40" s="19" t="n">
        <v>1709</v>
      </c>
      <c r="E40" s="18" t="n">
        <v>53.02817428</v>
      </c>
      <c r="F40" s="20" t="n">
        <v>1.94733441</v>
      </c>
      <c r="G40" s="18" t="n">
        <v>45.25656448</v>
      </c>
      <c r="H40" s="20" t="n">
        <v>1.98186942</v>
      </c>
      <c r="I40" s="18" t="n">
        <v>0</v>
      </c>
      <c r="J40" s="20" t="n">
        <v>0</v>
      </c>
      <c r="K40" s="18" t="n">
        <v>0.42034619</v>
      </c>
      <c r="L40" s="20" t="n">
        <v>0.23057464</v>
      </c>
      <c r="M40" s="18" t="n">
        <v>0</v>
      </c>
      <c r="N40" s="20" t="n">
        <v>0</v>
      </c>
      <c r="O40" s="18" t="n">
        <v>0</v>
      </c>
      <c r="P40" s="20" t="n">
        <v>0</v>
      </c>
      <c r="Q40" s="18" t="n">
        <v>1.29491505</v>
      </c>
      <c r="R40" s="20" t="n">
        <v>0.40558756</v>
      </c>
    </row>
    <row r="41" spans="1:18">
      <c r="A41" s="15" t="s">
        <v>463</v>
      </c>
      <c r="B41" s="17" t="n">
        <v>5712</v>
      </c>
      <c r="C41" s="18">
        <f>(5025.0/B41*100)</f>
        <v/>
      </c>
      <c r="D41" s="19" t="n">
        <v>687</v>
      </c>
      <c r="E41" s="18" t="n">
        <v>67.74458293000001</v>
      </c>
      <c r="F41" s="20" t="n">
        <v>2.09658588</v>
      </c>
      <c r="G41" s="18" t="n">
        <v>31.65706904</v>
      </c>
      <c r="H41" s="20" t="n">
        <v>2.06098462</v>
      </c>
      <c r="I41" s="18" t="n">
        <v>0</v>
      </c>
      <c r="J41" s="20" t="n">
        <v>0</v>
      </c>
      <c r="K41" s="18" t="n">
        <v>0.59834803</v>
      </c>
      <c r="L41" s="20" t="n">
        <v>0.31933738</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(20970.0/B46*100)</f>
        <v/>
      </c>
      <c r="D46" s="19" t="n">
        <v>2171</v>
      </c>
      <c r="E46" s="18" t="n">
        <v>65.69537853999999</v>
      </c>
      <c r="F46" s="20" t="n">
        <v>1.27432509</v>
      </c>
      <c r="G46" s="18" t="n">
        <v>30.8009443</v>
      </c>
      <c r="H46" s="20" t="n">
        <v>1.12565227</v>
      </c>
      <c r="I46" s="18" t="n">
        <v>0</v>
      </c>
      <c r="J46" s="20" t="n">
        <v>0</v>
      </c>
      <c r="K46" s="18" t="n">
        <v>1.63704275</v>
      </c>
      <c r="L46" s="20" t="n">
        <v>0.39916576</v>
      </c>
      <c r="M46" s="18" t="n">
        <v>0</v>
      </c>
      <c r="N46" s="20" t="n">
        <v>0</v>
      </c>
      <c r="O46" s="18" t="n">
        <v>0</v>
      </c>
      <c r="P46" s="20" t="n">
        <v>0</v>
      </c>
      <c r="Q46" s="18" t="n">
        <v>1.86663441</v>
      </c>
      <c r="R46" s="20" t="n">
        <v>0.42195339</v>
      </c>
    </row>
    <row r="47" spans="1:18">
      <c r="A47" s="15" t="s">
        <v>470</v>
      </c>
      <c r="B47" s="17" t="n">
        <v>5928</v>
      </c>
      <c r="C47" s="18">
        <f>(5196.0/B47*100)</f>
        <v/>
      </c>
      <c r="D47" s="19" t="n">
        <v>732</v>
      </c>
      <c r="E47" s="18" t="n">
        <v>57.09648903</v>
      </c>
      <c r="F47" s="20" t="n">
        <v>1.69274748</v>
      </c>
      <c r="G47" s="18" t="n">
        <v>41.42256852</v>
      </c>
      <c r="H47" s="20" t="n">
        <v>1.70712018</v>
      </c>
      <c r="I47" s="18" t="n">
        <v>0</v>
      </c>
      <c r="J47" s="20" t="n">
        <v>0</v>
      </c>
      <c r="K47" s="18" t="n">
        <v>0.26492824</v>
      </c>
      <c r="L47" s="20" t="n">
        <v>0.1834094</v>
      </c>
      <c r="M47" s="18" t="n">
        <v>0</v>
      </c>
      <c r="N47" s="20" t="n">
        <v>0</v>
      </c>
      <c r="O47" s="18" t="n">
        <v>0</v>
      </c>
      <c r="P47" s="20" t="n">
        <v>0</v>
      </c>
      <c r="Q47" s="18" t="n">
        <v>1.21601421</v>
      </c>
      <c r="R47" s="20" t="n">
        <v>0.47240993</v>
      </c>
    </row>
    <row r="48" spans="1:18">
      <c r="A48" s="15" t="s">
        <v>471</v>
      </c>
      <c r="B48" s="17" t="n">
        <v>9841</v>
      </c>
      <c r="C48" s="18">
        <f>(8636.0/B48*100)</f>
        <v/>
      </c>
      <c r="D48" s="19" t="n">
        <v>1205</v>
      </c>
      <c r="E48" s="18" t="n">
        <v>52.63393648</v>
      </c>
      <c r="F48" s="20" t="n">
        <v>2.12293123</v>
      </c>
      <c r="G48" s="18" t="n">
        <v>46.30155282</v>
      </c>
      <c r="H48" s="20" t="n">
        <v>2.1153419</v>
      </c>
      <c r="I48" s="18" t="n">
        <v>0</v>
      </c>
      <c r="J48" s="20" t="n">
        <v>0</v>
      </c>
      <c r="K48" s="18" t="n">
        <v>0.49830928</v>
      </c>
      <c r="L48" s="20" t="n">
        <v>0.28915989</v>
      </c>
      <c r="M48" s="18" t="n">
        <v>0</v>
      </c>
      <c r="N48" s="20" t="n">
        <v>0</v>
      </c>
      <c r="O48" s="18" t="n">
        <v>0</v>
      </c>
      <c r="P48" s="20" t="n">
        <v>0</v>
      </c>
      <c r="Q48" s="18" t="n">
        <v>0.56620143</v>
      </c>
      <c r="R48" s="20" t="n">
        <v>0.3314637</v>
      </c>
    </row>
    <row r="49" spans="1:18">
      <c r="A49" s="15" t="s">
        <v>472</v>
      </c>
      <c r="B49" s="17" t="n">
        <v>11795</v>
      </c>
      <c r="C49" s="18">
        <f>(10412.0/B49*100)</f>
        <v/>
      </c>
      <c r="D49" s="19" t="n">
        <v>1383</v>
      </c>
      <c r="E49" s="18" t="n">
        <v>62.90387833</v>
      </c>
      <c r="F49" s="20" t="n">
        <v>1.89579368</v>
      </c>
      <c r="G49" s="18" t="n">
        <v>32.9698157</v>
      </c>
      <c r="H49" s="20" t="n">
        <v>1.89360424</v>
      </c>
      <c r="I49" s="18" t="n">
        <v>0</v>
      </c>
      <c r="J49" s="20" t="n">
        <v>0</v>
      </c>
      <c r="K49" s="18" t="n">
        <v>2.47620684</v>
      </c>
      <c r="L49" s="20" t="n">
        <v>0.5817159</v>
      </c>
      <c r="M49" s="18" t="n">
        <v>0</v>
      </c>
      <c r="N49" s="20" t="n">
        <v>0</v>
      </c>
      <c r="O49" s="18" t="n">
        <v>0</v>
      </c>
      <c r="P49" s="20" t="n">
        <v>0</v>
      </c>
      <c r="Q49" s="18" t="n">
        <v>1.65009913</v>
      </c>
      <c r="R49" s="20" t="n">
        <v>0.54625009</v>
      </c>
    </row>
    <row r="50" spans="1:18">
      <c r="A50" s="15" t="s">
        <v>473</v>
      </c>
      <c r="B50" s="17" t="n">
        <v>6866</v>
      </c>
      <c r="C50" s="18">
        <f>(6159.0/B50*100)</f>
        <v/>
      </c>
      <c r="D50" s="19" t="n">
        <v>707</v>
      </c>
      <c r="E50" s="18" t="n">
        <v>67.36749062</v>
      </c>
      <c r="F50" s="20" t="n">
        <v>1.78548659</v>
      </c>
      <c r="G50" s="18" t="n">
        <v>30.52001192</v>
      </c>
      <c r="H50" s="20" t="n">
        <v>1.85501046</v>
      </c>
      <c r="I50" s="18" t="n">
        <v>0</v>
      </c>
      <c r="J50" s="20" t="n">
        <v>0</v>
      </c>
      <c r="K50" s="18" t="n">
        <v>0.7794769</v>
      </c>
      <c r="L50" s="20" t="n">
        <v>0.34233364</v>
      </c>
      <c r="M50" s="18" t="n">
        <v>0</v>
      </c>
      <c r="N50" s="20" t="n">
        <v>0</v>
      </c>
      <c r="O50" s="18" t="n">
        <v>0</v>
      </c>
      <c r="P50" s="20" t="n">
        <v>0</v>
      </c>
      <c r="Q50" s="18" t="n">
        <v>1.33302056</v>
      </c>
      <c r="R50" s="20" t="n">
        <v>0.63385492</v>
      </c>
    </row>
    <row r="51" spans="1:18">
      <c r="A51" s="15" t="s">
        <v>474</v>
      </c>
      <c r="B51" s="17" t="n">
        <v>5809</v>
      </c>
      <c r="C51" s="18">
        <f>(5083.0/B51*100)</f>
        <v/>
      </c>
      <c r="D51" s="19" t="n">
        <v>726</v>
      </c>
      <c r="E51" s="18" t="n">
        <v>66.11025356</v>
      </c>
      <c r="F51" s="20" t="n">
        <v>1.72215024</v>
      </c>
      <c r="G51" s="18" t="n">
        <v>33.16809237</v>
      </c>
      <c r="H51" s="20" t="n">
        <v>1.65851217</v>
      </c>
      <c r="I51" s="18" t="n">
        <v>0</v>
      </c>
      <c r="J51" s="20" t="n">
        <v>0</v>
      </c>
      <c r="K51" s="18" t="n">
        <v>0.25224141</v>
      </c>
      <c r="L51" s="20" t="n">
        <v>0.17899002</v>
      </c>
      <c r="M51" s="18" t="n">
        <v>0</v>
      </c>
      <c r="N51" s="20" t="n">
        <v>0</v>
      </c>
      <c r="O51" s="18" t="n">
        <v>0</v>
      </c>
      <c r="P51" s="20" t="n">
        <v>0</v>
      </c>
      <c r="Q51" s="18" t="n">
        <v>0.46941266</v>
      </c>
      <c r="R51" s="20" t="n">
        <v>0.23891179</v>
      </c>
    </row>
    <row r="52" spans="1:18">
      <c r="A52" s="15" t="s">
        <v>475</v>
      </c>
      <c r="B52" s="17" t="n">
        <v>5571</v>
      </c>
      <c r="C52" s="18">
        <f>(4916.0/B52*100)</f>
        <v/>
      </c>
      <c r="D52" s="19" t="n">
        <v>655</v>
      </c>
      <c r="E52" s="18" t="n">
        <v>62.5594191</v>
      </c>
      <c r="F52" s="20" t="n">
        <v>1.69308174</v>
      </c>
      <c r="G52" s="18" t="n">
        <v>36.21686286</v>
      </c>
      <c r="H52" s="20" t="n">
        <v>1.73456091</v>
      </c>
      <c r="I52" s="18" t="n">
        <v>0</v>
      </c>
      <c r="J52" s="20" t="n">
        <v>0</v>
      </c>
      <c r="K52" s="18" t="n">
        <v>0.43173405</v>
      </c>
      <c r="L52" s="20" t="n">
        <v>0.24668949</v>
      </c>
      <c r="M52" s="18" t="n">
        <v>0</v>
      </c>
      <c r="N52" s="20" t="n">
        <v>0</v>
      </c>
      <c r="O52" s="18" t="n">
        <v>0</v>
      </c>
      <c r="P52" s="20" t="n">
        <v>0</v>
      </c>
      <c r="Q52" s="18" t="n">
        <v>0.79198398</v>
      </c>
      <c r="R52" s="20" t="n">
        <v>0.34674705</v>
      </c>
    </row>
    <row r="53" spans="1:18">
      <c r="A53" s="15" t="s">
        <v>476</v>
      </c>
      <c r="B53" s="17" t="n">
        <v>4740</v>
      </c>
      <c r="C53" s="18">
        <f>(3980.0/B53*100)</f>
        <v/>
      </c>
      <c r="D53" s="19" t="n">
        <v>760</v>
      </c>
      <c r="E53" s="18" t="n">
        <v>55.55653482</v>
      </c>
      <c r="F53" s="20" t="n">
        <v>2.16291241</v>
      </c>
      <c r="G53" s="18" t="n">
        <v>24.55840065</v>
      </c>
      <c r="H53" s="20" t="n">
        <v>1.63311941</v>
      </c>
      <c r="I53" s="18" t="n">
        <v>0</v>
      </c>
      <c r="J53" s="20" t="n">
        <v>0</v>
      </c>
      <c r="K53" s="18" t="n">
        <v>18.04321271</v>
      </c>
      <c r="L53" s="20" t="n">
        <v>1.54855191</v>
      </c>
      <c r="M53" s="18" t="n">
        <v>0</v>
      </c>
      <c r="N53" s="20" t="n">
        <v>0</v>
      </c>
      <c r="O53" s="18" t="n">
        <v>0</v>
      </c>
      <c r="P53" s="20" t="n">
        <v>0</v>
      </c>
      <c r="Q53" s="18" t="n">
        <v>1.84185182</v>
      </c>
      <c r="R53" s="20" t="n">
        <v>0.61776579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(4711.0/B55*100)</f>
        <v/>
      </c>
      <c r="D55" s="19" t="n">
        <v>648</v>
      </c>
      <c r="E55" s="18" t="n">
        <v>47.31363892</v>
      </c>
      <c r="F55" s="20" t="n">
        <v>2.36288865</v>
      </c>
      <c r="G55" s="18" t="n">
        <v>51.93200029</v>
      </c>
      <c r="H55" s="20" t="n">
        <v>2.38168418</v>
      </c>
      <c r="I55" s="18" t="n">
        <v>0</v>
      </c>
      <c r="J55" s="20" t="n">
        <v>0</v>
      </c>
      <c r="K55" s="18" t="n">
        <v>0.35048416</v>
      </c>
      <c r="L55" s="20" t="n">
        <v>0.26249685</v>
      </c>
      <c r="M55" s="18" t="n">
        <v>0</v>
      </c>
      <c r="N55" s="20" t="n">
        <v>0</v>
      </c>
      <c r="O55" s="18" t="n">
        <v>0</v>
      </c>
      <c r="P55" s="20" t="n">
        <v>0</v>
      </c>
      <c r="Q55" s="18" t="n">
        <v>0.40387663</v>
      </c>
      <c r="R55" s="20" t="n">
        <v>0.23297415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(5756.0/B61*100)</f>
        <v/>
      </c>
      <c r="D61" s="19" t="n">
        <v>769</v>
      </c>
      <c r="E61" s="18" t="n">
        <v>65.97677468000001</v>
      </c>
      <c r="F61" s="20" t="n">
        <v>1.96085353</v>
      </c>
      <c r="G61" s="18" t="n">
        <v>32.92202071</v>
      </c>
      <c r="H61" s="20" t="n">
        <v>1.90377202</v>
      </c>
      <c r="I61" s="18" t="n">
        <v>0</v>
      </c>
      <c r="J61" s="20" t="n">
        <v>0</v>
      </c>
      <c r="K61" s="18" t="n">
        <v>0.5393485</v>
      </c>
      <c r="L61" s="20" t="n">
        <v>0.28001487</v>
      </c>
      <c r="M61" s="18" t="n">
        <v>0</v>
      </c>
      <c r="N61" s="20" t="n">
        <v>0</v>
      </c>
      <c r="O61" s="18" t="n">
        <v>0</v>
      </c>
      <c r="P61" s="20" t="n">
        <v>0</v>
      </c>
      <c r="Q61" s="18" t="n">
        <v>0.56185612</v>
      </c>
      <c r="R61" s="20" t="n">
        <v>0.26845494</v>
      </c>
    </row>
    <row r="62" spans="1:18">
      <c r="A62" s="15" t="s">
        <v>486</v>
      </c>
      <c r="B62" s="17" t="n">
        <v>4476</v>
      </c>
      <c r="C62" s="18">
        <f>(3935.0/B62*100)</f>
        <v/>
      </c>
      <c r="D62" s="19" t="n">
        <v>541</v>
      </c>
      <c r="E62" s="18" t="n">
        <v>53.07848245</v>
      </c>
      <c r="F62" s="20" t="n">
        <v>2.14547051</v>
      </c>
      <c r="G62" s="18" t="n">
        <v>46.92151755</v>
      </c>
      <c r="H62" s="20" t="n">
        <v>2.14547051</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(4993.0/B67*100)</f>
        <v/>
      </c>
      <c r="D67" s="19" t="n">
        <v>672</v>
      </c>
      <c r="E67" s="18" t="n">
        <v>57.18864333</v>
      </c>
      <c r="F67" s="20" t="n">
        <v>1.98440306</v>
      </c>
      <c r="G67" s="18" t="n">
        <v>39.46393602</v>
      </c>
      <c r="H67" s="20" t="n">
        <v>2.07013757</v>
      </c>
      <c r="I67" s="18" t="n">
        <v>0</v>
      </c>
      <c r="J67" s="20" t="n">
        <v>0</v>
      </c>
      <c r="K67" s="18" t="n">
        <v>1.23888386</v>
      </c>
      <c r="L67" s="20" t="n">
        <v>0.41874205</v>
      </c>
      <c r="M67" s="18" t="n">
        <v>0</v>
      </c>
      <c r="N67" s="20" t="n">
        <v>0</v>
      </c>
      <c r="O67" s="18" t="n">
        <v>0</v>
      </c>
      <c r="P67" s="20" t="n">
        <v>0</v>
      </c>
      <c r="Q67" s="18" t="n">
        <v>2.10853679</v>
      </c>
      <c r="R67" s="20" t="n">
        <v>0.57160221</v>
      </c>
    </row>
    <row r="68" spans="1:18">
      <c r="A68" s="15" t="s">
        <v>492</v>
      </c>
      <c r="B68" s="17" t="n">
        <v>6971</v>
      </c>
      <c r="C68" s="18">
        <f>(6261.0/B68*100)</f>
        <v/>
      </c>
      <c r="D68" s="19" t="n">
        <v>710</v>
      </c>
      <c r="E68" s="18" t="n">
        <v>0</v>
      </c>
      <c r="F68" s="20" t="n">
        <v>0</v>
      </c>
      <c r="G68" s="18" t="n">
        <v>0</v>
      </c>
      <c r="H68" s="20" t="n">
        <v>0</v>
      </c>
      <c r="I68" s="18" t="n">
        <v>0</v>
      </c>
      <c r="J68" s="20" t="n">
        <v>0</v>
      </c>
      <c r="K68" s="18" t="n">
        <v>0</v>
      </c>
      <c r="L68" s="20" t="n">
        <v>0</v>
      </c>
      <c r="M68" s="18" t="n">
        <v>100</v>
      </c>
      <c r="N68" s="20" t="n">
        <v>0</v>
      </c>
      <c r="O68" s="18" t="n">
        <v>0</v>
      </c>
      <c r="P68" s="20" t="n">
        <v>0</v>
      </c>
      <c r="Q68" s="18" t="n">
        <v>0</v>
      </c>
      <c r="R68" s="20" t="n">
        <v>0</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(10075.0/B70*100)</f>
        <v/>
      </c>
      <c r="D70" s="19" t="n">
        <v>2008</v>
      </c>
      <c r="E70" s="18" t="n">
        <v>25.76701363</v>
      </c>
      <c r="F70" s="20" t="n">
        <v>0.84828828</v>
      </c>
      <c r="G70" s="18" t="n">
        <v>13.74707332</v>
      </c>
      <c r="H70" s="20" t="n">
        <v>0.81636438</v>
      </c>
      <c r="I70" s="18" t="n">
        <v>0</v>
      </c>
      <c r="J70" s="20" t="n">
        <v>0</v>
      </c>
      <c r="K70" s="18" t="n">
        <v>1.0116755</v>
      </c>
      <c r="L70" s="20" t="n">
        <v>0.22234532</v>
      </c>
      <c r="M70" s="18" t="n">
        <v>59.23079412</v>
      </c>
      <c r="N70" s="20" t="n">
        <v>1.12006782</v>
      </c>
      <c r="O70" s="18" t="n">
        <v>0</v>
      </c>
      <c r="P70" s="20" t="n">
        <v>0</v>
      </c>
      <c r="Q70" s="18" t="n">
        <v>0.24344343</v>
      </c>
      <c r="R70" s="20" t="n">
        <v>0.109057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(5346.0/B72*100)</f>
        <v/>
      </c>
      <c r="D72" s="19" t="n">
        <v>690</v>
      </c>
      <c r="E72" s="18" t="n">
        <v>59.43733826</v>
      </c>
      <c r="F72" s="20" t="n">
        <v>1.93757799</v>
      </c>
      <c r="G72" s="18" t="n">
        <v>39.14237568</v>
      </c>
      <c r="H72" s="20" t="n">
        <v>1.96259055</v>
      </c>
      <c r="I72" s="18" t="n">
        <v>0</v>
      </c>
      <c r="J72" s="20" t="n">
        <v>0</v>
      </c>
      <c r="K72" s="18" t="n">
        <v>0.85504317</v>
      </c>
      <c r="L72" s="20" t="n">
        <v>0.45092663</v>
      </c>
      <c r="M72" s="18" t="n">
        <v>0</v>
      </c>
      <c r="N72" s="20" t="n">
        <v>0</v>
      </c>
      <c r="O72" s="18" t="n">
        <v>0</v>
      </c>
      <c r="P72" s="20" t="n">
        <v>0</v>
      </c>
      <c r="Q72" s="18" t="n">
        <v>0.5652428900000001</v>
      </c>
      <c r="R72" s="20" t="n">
        <v>0.14408578</v>
      </c>
    </row>
    <row r="73" spans="1:18">
      <c r="A73" s="15" t="s">
        <v>497</v>
      </c>
      <c r="B73" s="17" t="n">
        <v>6115</v>
      </c>
      <c r="C73" s="18">
        <f>(5377.0/B73*100)</f>
        <v/>
      </c>
      <c r="D73" s="19" t="n">
        <v>738</v>
      </c>
      <c r="E73" s="18" t="n">
        <v>67.84954414000001</v>
      </c>
      <c r="F73" s="20" t="n">
        <v>1.81721837</v>
      </c>
      <c r="G73" s="18" t="n">
        <v>32.02757071</v>
      </c>
      <c r="H73" s="20" t="n">
        <v>1.82112319</v>
      </c>
      <c r="I73" s="18" t="n">
        <v>0</v>
      </c>
      <c r="J73" s="20" t="n">
        <v>0</v>
      </c>
      <c r="K73" s="18" t="n">
        <v>0.12288515</v>
      </c>
      <c r="L73" s="20" t="n">
        <v>0.1229</v>
      </c>
      <c r="M73" s="18" t="n">
        <v>0</v>
      </c>
      <c r="N73" s="20" t="n">
        <v>0</v>
      </c>
      <c r="O73" s="18" t="n">
        <v>0</v>
      </c>
      <c r="P73" s="20" t="n">
        <v>0</v>
      </c>
      <c r="Q73" s="18" t="n">
        <v>0</v>
      </c>
      <c r="R73" s="20" t="n">
        <v>0</v>
      </c>
    </row>
    <row r="74" spans="1:18">
      <c r="A74" s="15" t="s">
        <v>498</v>
      </c>
      <c r="B74" s="17" t="n">
        <v>7708</v>
      </c>
      <c r="C74" s="18">
        <f>(6758.0/B74*100)</f>
        <v/>
      </c>
      <c r="D74" s="19" t="n">
        <v>950</v>
      </c>
      <c r="E74" s="18" t="n">
        <v>65.0718554</v>
      </c>
      <c r="F74" s="20" t="n">
        <v>1.49870731</v>
      </c>
      <c r="G74" s="18" t="n">
        <v>34.62567596</v>
      </c>
      <c r="H74" s="20" t="n">
        <v>1.51625985</v>
      </c>
      <c r="I74" s="18" t="n">
        <v>0</v>
      </c>
      <c r="J74" s="20" t="n">
        <v>0</v>
      </c>
      <c r="K74" s="18" t="n">
        <v>0.07278522</v>
      </c>
      <c r="L74" s="20" t="n">
        <v>0.07479101</v>
      </c>
      <c r="M74" s="18" t="n">
        <v>0</v>
      </c>
      <c r="N74" s="20" t="n">
        <v>0</v>
      </c>
      <c r="O74" s="18" t="n">
        <v>0</v>
      </c>
      <c r="P74" s="20" t="n">
        <v>0</v>
      </c>
      <c r="Q74" s="18" t="n">
        <v>0.22968343</v>
      </c>
      <c r="R74" s="20" t="n">
        <v>0.1700279</v>
      </c>
    </row>
    <row r="75" spans="1:18">
      <c r="A75" s="15" t="s">
        <v>499</v>
      </c>
      <c r="B75" s="17" t="n">
        <v>8249</v>
      </c>
      <c r="C75" s="18">
        <f>(7296.0/B75*100)</f>
        <v/>
      </c>
      <c r="D75" s="19" t="n">
        <v>953</v>
      </c>
      <c r="E75" s="18" t="n">
        <v>63.74697257</v>
      </c>
      <c r="F75" s="20" t="n">
        <v>1.65039701</v>
      </c>
      <c r="G75" s="18" t="n">
        <v>35.78424957</v>
      </c>
      <c r="H75" s="20" t="n">
        <v>1.64891958</v>
      </c>
      <c r="I75" s="18" t="n">
        <v>0</v>
      </c>
      <c r="J75" s="20" t="n">
        <v>0</v>
      </c>
      <c r="K75" s="18" t="n">
        <v>0.14822282</v>
      </c>
      <c r="L75" s="20" t="n">
        <v>0.10506146</v>
      </c>
      <c r="M75" s="18" t="n">
        <v>0</v>
      </c>
      <c r="N75" s="20" t="n">
        <v>0</v>
      </c>
      <c r="O75" s="18" t="n">
        <v>0</v>
      </c>
      <c r="P75" s="20" t="n">
        <v>0</v>
      </c>
      <c r="Q75" s="18" t="n">
        <v>0.32055503</v>
      </c>
      <c r="R75" s="20" t="n">
        <v>0.22785218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(4815.0/B77*100)</f>
        <v/>
      </c>
      <c r="D77" s="19" t="n">
        <v>560</v>
      </c>
      <c r="E77" s="18" t="n">
        <v>62.8934109</v>
      </c>
      <c r="F77" s="20" t="n">
        <v>1.98810142</v>
      </c>
      <c r="G77" s="18" t="n">
        <v>29.14522116</v>
      </c>
      <c r="H77" s="20" t="n">
        <v>2.1080035</v>
      </c>
      <c r="I77" s="18" t="n">
        <v>0</v>
      </c>
      <c r="J77" s="20" t="n">
        <v>0</v>
      </c>
      <c r="K77" s="18" t="n">
        <v>6.4180334</v>
      </c>
      <c r="L77" s="20" t="n">
        <v>1.15116524</v>
      </c>
      <c r="M77" s="18" t="n">
        <v>0</v>
      </c>
      <c r="N77" s="20" t="n">
        <v>0</v>
      </c>
      <c r="O77" s="18" t="n">
        <v>0</v>
      </c>
      <c r="P77" s="20" t="n">
        <v>0</v>
      </c>
      <c r="Q77" s="18" t="n">
        <v>1.54333453</v>
      </c>
      <c r="R77" s="20" t="n">
        <v>0.5324594</v>
      </c>
    </row>
    <row r="78" spans="1:18">
      <c r="A78" s="15" t="s">
        <v>502</v>
      </c>
      <c r="B78" s="17" t="n">
        <v>14167</v>
      </c>
      <c r="C78" s="18">
        <f>(12494.0/B78*100)</f>
        <v/>
      </c>
      <c r="D78" s="19" t="n">
        <v>1673</v>
      </c>
      <c r="E78" s="18" t="n">
        <v>27.91214699</v>
      </c>
      <c r="F78" s="20" t="n">
        <v>1.36485135</v>
      </c>
      <c r="G78" s="18" t="n">
        <v>15.2700728</v>
      </c>
      <c r="H78" s="20" t="n">
        <v>1.15272858</v>
      </c>
      <c r="I78" s="18" t="n">
        <v>0</v>
      </c>
      <c r="J78" s="20" t="n">
        <v>0</v>
      </c>
      <c r="K78" s="18" t="n">
        <v>0.1483169</v>
      </c>
      <c r="L78" s="20" t="n">
        <v>0.09126201</v>
      </c>
      <c r="M78" s="18" t="n">
        <v>56.45808297</v>
      </c>
      <c r="N78" s="20" t="n">
        <v>1.5178425</v>
      </c>
      <c r="O78" s="18" t="n">
        <v>0</v>
      </c>
      <c r="P78" s="20" t="n">
        <v>0</v>
      </c>
      <c r="Q78" s="18" t="n">
        <v>0.21138034</v>
      </c>
      <c r="R78" s="20" t="n">
        <v>0.10406281</v>
      </c>
    </row>
    <row r="79" spans="1:18">
      <c r="A79" s="15" t="s">
        <v>503</v>
      </c>
      <c r="B79" s="17" t="n">
        <v>6062</v>
      </c>
      <c r="C79" s="18">
        <f>(5365.0/B79*100)</f>
        <v/>
      </c>
      <c r="D79" s="19" t="n">
        <v>697</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(28384.0/B82*100)</f>
        <v/>
      </c>
      <c r="D82" s="19" t="n">
        <v>3946</v>
      </c>
      <c r="E82" s="18" t="n">
        <v>61.62334846</v>
      </c>
      <c r="F82" s="20" t="n">
        <v>1.11039874</v>
      </c>
      <c r="G82" s="18" t="n">
        <v>37.42768111</v>
      </c>
      <c r="H82" s="20" t="n">
        <v>1.1094729</v>
      </c>
      <c r="I82" s="18" t="n">
        <v>0</v>
      </c>
      <c r="J82" s="20" t="n">
        <v>0</v>
      </c>
      <c r="K82" s="18" t="n">
        <v>0.32693268</v>
      </c>
      <c r="L82" s="20" t="n">
        <v>0.12617179</v>
      </c>
      <c r="M82" s="18" t="n">
        <v>0</v>
      </c>
      <c r="N82" s="20" t="n">
        <v>0</v>
      </c>
      <c r="O82" s="18" t="n">
        <v>0</v>
      </c>
      <c r="P82" s="20" t="n">
        <v>0</v>
      </c>
      <c r="Q82" s="18" t="n">
        <v>0.62203774</v>
      </c>
      <c r="R82" s="20" t="n">
        <v>0.16624397</v>
      </c>
    </row>
    <row r="83" spans="1:18">
      <c r="A83" s="15" t="s">
        <v>507</v>
      </c>
      <c r="B83" s="17" t="n">
        <v>1652</v>
      </c>
      <c r="C83" s="18">
        <f>(1462.0/B83*100)</f>
        <v/>
      </c>
      <c r="D83" s="19" t="n">
        <v>190</v>
      </c>
      <c r="E83" s="18" t="n">
        <v>51.51959959</v>
      </c>
      <c r="F83" s="20" t="n">
        <v>3.22117844</v>
      </c>
      <c r="G83" s="18" t="n">
        <v>47.89114578</v>
      </c>
      <c r="H83" s="20" t="n">
        <v>3.23565299</v>
      </c>
      <c r="I83" s="18" t="n">
        <v>0</v>
      </c>
      <c r="J83" s="20" t="n">
        <v>0</v>
      </c>
      <c r="K83" s="18" t="n">
        <v>0</v>
      </c>
      <c r="L83" s="20" t="n">
        <v>0</v>
      </c>
      <c r="M83" s="18" t="n">
        <v>0</v>
      </c>
      <c r="N83" s="20" t="n">
        <v>0</v>
      </c>
      <c r="O83" s="18" t="n">
        <v>0</v>
      </c>
      <c r="P83" s="20" t="n">
        <v>0</v>
      </c>
      <c r="Q83" s="18" t="n">
        <v>0.58925463</v>
      </c>
      <c r="R83" s="20" t="n">
        <v>0.5348754999999999</v>
      </c>
    </row>
    <row r="84" spans="1:18">
      <c r="A84" s="23" t="s">
        <v>508</v>
      </c>
      <c r="B84" s="24" t="n">
        <v>1887</v>
      </c>
      <c r="C84" s="25">
        <f>(1665.0/B84*100)</f>
        <v/>
      </c>
      <c r="D84" s="19" t="n">
        <v>222</v>
      </c>
      <c r="E84" s="18" t="n">
        <v>61.73921012</v>
      </c>
      <c r="F84" s="20" t="n">
        <v>3.56668794</v>
      </c>
      <c r="G84" s="18" t="n">
        <v>36.98734075</v>
      </c>
      <c r="H84" s="20" t="n">
        <v>3.55795079</v>
      </c>
      <c r="I84" s="18" t="n">
        <v>0</v>
      </c>
      <c r="J84" s="20" t="n">
        <v>0</v>
      </c>
      <c r="K84" s="18" t="n">
        <v>0.44074881</v>
      </c>
      <c r="L84" s="20" t="n">
        <v>0.44905242</v>
      </c>
      <c r="M84" s="18" t="n">
        <v>0</v>
      </c>
      <c r="N84" s="20" t="n">
        <v>0</v>
      </c>
      <c r="O84" s="18" t="n">
        <v>0</v>
      </c>
      <c r="P84" s="20" t="n">
        <v>0</v>
      </c>
      <c r="Q84" s="18" t="n">
        <v>0.83270032</v>
      </c>
      <c r="R84" s="20" t="n">
        <v>0.5896654099999999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(12814.0/B7*100)</f>
        <v/>
      </c>
      <c r="D7" s="19" t="n">
        <v>1716</v>
      </c>
      <c r="E7" s="18" t="n">
        <v>55.18535077</v>
      </c>
      <c r="F7" s="20" t="n">
        <v>1.3741915</v>
      </c>
      <c r="G7" s="18" t="n">
        <v>42.32758375</v>
      </c>
      <c r="H7" s="20" t="n">
        <v>1.39385395</v>
      </c>
      <c r="I7" s="18" t="n">
        <v>0</v>
      </c>
      <c r="J7" s="20" t="n">
        <v>0</v>
      </c>
      <c r="K7" s="18" t="n">
        <v>1.89105368</v>
      </c>
      <c r="L7" s="20" t="n">
        <v>0.3694392</v>
      </c>
      <c r="M7" s="18" t="n">
        <v>0</v>
      </c>
      <c r="N7" s="20" t="n">
        <v>0</v>
      </c>
      <c r="O7" s="18" t="n">
        <v>0</v>
      </c>
      <c r="P7" s="20" t="n">
        <v>0</v>
      </c>
      <c r="Q7" s="18" t="n">
        <v>0.5960118</v>
      </c>
      <c r="R7" s="20" t="n">
        <v>0.19492116</v>
      </c>
    </row>
    <row r="8" spans="1:18">
      <c r="A8" s="15" t="s">
        <v>430</v>
      </c>
      <c r="B8" s="17" t="n">
        <v>7007</v>
      </c>
      <c r="C8" s="18">
        <f>(6166.0/B8*100)</f>
        <v/>
      </c>
      <c r="D8" s="19" t="n">
        <v>841</v>
      </c>
      <c r="E8" s="18" t="n">
        <v>53.68130253</v>
      </c>
      <c r="F8" s="20" t="n">
        <v>2.18724685</v>
      </c>
      <c r="G8" s="18" t="n">
        <v>44.67898405</v>
      </c>
      <c r="H8" s="20" t="n">
        <v>2.21086914</v>
      </c>
      <c r="I8" s="18" t="n">
        <v>0</v>
      </c>
      <c r="J8" s="20" t="n">
        <v>0</v>
      </c>
      <c r="K8" s="18" t="n">
        <v>0.8675966899999999</v>
      </c>
      <c r="L8" s="20" t="n">
        <v>0.36009192</v>
      </c>
      <c r="M8" s="18" t="n">
        <v>0</v>
      </c>
      <c r="N8" s="20" t="n">
        <v>0</v>
      </c>
      <c r="O8" s="18" t="n">
        <v>0</v>
      </c>
      <c r="P8" s="20" t="n">
        <v>0</v>
      </c>
      <c r="Q8" s="18" t="n">
        <v>0.77211672</v>
      </c>
      <c r="R8" s="20" t="n">
        <v>0.27932757</v>
      </c>
    </row>
    <row r="9" spans="1:18">
      <c r="A9" s="15" t="s">
        <v>431</v>
      </c>
      <c r="B9" s="17" t="n">
        <v>9651</v>
      </c>
      <c r="C9" s="18">
        <f>(8537.0/B9*100)</f>
        <v/>
      </c>
      <c r="D9" s="19" t="n">
        <v>1114</v>
      </c>
      <c r="E9" s="18" t="n">
        <v>47.93364584</v>
      </c>
      <c r="F9" s="20" t="n">
        <v>1.56672907</v>
      </c>
      <c r="G9" s="18" t="n">
        <v>50.06950924</v>
      </c>
      <c r="H9" s="20" t="n">
        <v>1.57453029</v>
      </c>
      <c r="I9" s="18" t="n">
        <v>0</v>
      </c>
      <c r="J9" s="20" t="n">
        <v>0</v>
      </c>
      <c r="K9" s="18" t="n">
        <v>1.22672399</v>
      </c>
      <c r="L9" s="20" t="n">
        <v>0.36096978</v>
      </c>
      <c r="M9" s="18" t="n">
        <v>0</v>
      </c>
      <c r="N9" s="20" t="n">
        <v>0</v>
      </c>
      <c r="O9" s="18" t="n">
        <v>0</v>
      </c>
      <c r="P9" s="20" t="n">
        <v>0</v>
      </c>
      <c r="Q9" s="18" t="n">
        <v>0.77012093</v>
      </c>
      <c r="R9" s="20" t="n">
        <v>0.26455944</v>
      </c>
    </row>
    <row r="10" spans="1:18">
      <c r="A10" s="15" t="s">
        <v>432</v>
      </c>
      <c r="B10" s="17" t="n">
        <v>20058</v>
      </c>
      <c r="C10" s="18">
        <f>(17635.0/B10*100)</f>
        <v/>
      </c>
      <c r="D10" s="19" t="n">
        <v>2423</v>
      </c>
      <c r="E10" s="18" t="n">
        <v>49.74643695</v>
      </c>
      <c r="F10" s="20" t="n">
        <v>1.69311783</v>
      </c>
      <c r="G10" s="18" t="n">
        <v>48.74453299</v>
      </c>
      <c r="H10" s="20" t="n">
        <v>1.75938598</v>
      </c>
      <c r="I10" s="18" t="n">
        <v>0</v>
      </c>
      <c r="J10" s="20" t="n">
        <v>0</v>
      </c>
      <c r="K10" s="18" t="n">
        <v>1.06093676</v>
      </c>
      <c r="L10" s="20" t="n">
        <v>0.27128534</v>
      </c>
      <c r="M10" s="18" t="n">
        <v>0</v>
      </c>
      <c r="N10" s="20" t="n">
        <v>0</v>
      </c>
      <c r="O10" s="18" t="n">
        <v>0</v>
      </c>
      <c r="P10" s="20" t="n">
        <v>0</v>
      </c>
      <c r="Q10" s="18" t="n">
        <v>0.44809329</v>
      </c>
      <c r="R10" s="20" t="n">
        <v>0.22064406</v>
      </c>
    </row>
    <row r="11" spans="1:18">
      <c r="A11" s="15" t="s">
        <v>433</v>
      </c>
      <c r="B11" s="17" t="n">
        <v>7053</v>
      </c>
      <c r="C11" s="18">
        <f>(6244.0/B11*100)</f>
        <v/>
      </c>
      <c r="D11" s="19" t="n">
        <v>809</v>
      </c>
      <c r="E11" s="18" t="n">
        <v>55.90228421</v>
      </c>
      <c r="F11" s="20" t="n">
        <v>2.2674425</v>
      </c>
      <c r="G11" s="18" t="n">
        <v>39.76660379</v>
      </c>
      <c r="H11" s="20" t="n">
        <v>2.1582513</v>
      </c>
      <c r="I11" s="18" t="n">
        <v>0</v>
      </c>
      <c r="J11" s="20" t="n">
        <v>0</v>
      </c>
      <c r="K11" s="18" t="n">
        <v>3.02218472</v>
      </c>
      <c r="L11" s="20" t="n">
        <v>0.64279058</v>
      </c>
      <c r="M11" s="18" t="n">
        <v>0</v>
      </c>
      <c r="N11" s="20" t="n">
        <v>0</v>
      </c>
      <c r="O11" s="18" t="n">
        <v>0</v>
      </c>
      <c r="P11" s="20" t="n">
        <v>0</v>
      </c>
      <c r="Q11" s="18" t="n">
        <v>1.30892728</v>
      </c>
      <c r="R11" s="20" t="n">
        <v>0.46538381</v>
      </c>
    </row>
    <row r="12" spans="1:18">
      <c r="A12" s="15" t="s">
        <v>434</v>
      </c>
      <c r="B12" s="17" t="n">
        <v>6894</v>
      </c>
      <c r="C12" s="18">
        <f>(6066.0/B12*100)</f>
        <v/>
      </c>
      <c r="D12" s="19" t="n">
        <v>828</v>
      </c>
      <c r="E12" s="18" t="n">
        <v>42.35316005</v>
      </c>
      <c r="F12" s="20" t="n">
        <v>1.89420881</v>
      </c>
      <c r="G12" s="18" t="n">
        <v>56.7660943</v>
      </c>
      <c r="H12" s="20" t="n">
        <v>1.95192835</v>
      </c>
      <c r="I12" s="18" t="n">
        <v>0</v>
      </c>
      <c r="J12" s="20" t="n">
        <v>0</v>
      </c>
      <c r="K12" s="18" t="n">
        <v>0.58022033</v>
      </c>
      <c r="L12" s="20" t="n">
        <v>0.41297025</v>
      </c>
      <c r="M12" s="18" t="n">
        <v>0</v>
      </c>
      <c r="N12" s="20" t="n">
        <v>0</v>
      </c>
      <c r="O12" s="18" t="n">
        <v>0</v>
      </c>
      <c r="P12" s="20" t="n">
        <v>0</v>
      </c>
      <c r="Q12" s="18" t="n">
        <v>0.30052531</v>
      </c>
      <c r="R12" s="20" t="n">
        <v>0.27225996</v>
      </c>
    </row>
    <row r="13" spans="1:18">
      <c r="A13" s="15" t="s">
        <v>435</v>
      </c>
      <c r="B13" s="17" t="n">
        <v>7161</v>
      </c>
      <c r="C13" s="18">
        <f>(6321.0/B13*100)</f>
        <v/>
      </c>
      <c r="D13" s="19" t="n">
        <v>840</v>
      </c>
      <c r="E13" s="18" t="n">
        <v>46.75213773</v>
      </c>
      <c r="F13" s="20" t="n">
        <v>2.17607628</v>
      </c>
      <c r="G13" s="18" t="n">
        <v>52.28356385</v>
      </c>
      <c r="H13" s="20" t="n">
        <v>2.14564082</v>
      </c>
      <c r="I13" s="18" t="n">
        <v>0</v>
      </c>
      <c r="J13" s="20" t="n">
        <v>0</v>
      </c>
      <c r="K13" s="18" t="n">
        <v>0.45685855</v>
      </c>
      <c r="L13" s="20" t="n">
        <v>0.28645513</v>
      </c>
      <c r="M13" s="18" t="n">
        <v>0</v>
      </c>
      <c r="N13" s="20" t="n">
        <v>0</v>
      </c>
      <c r="O13" s="18" t="n">
        <v>0</v>
      </c>
      <c r="P13" s="20" t="n">
        <v>0</v>
      </c>
      <c r="Q13" s="18" t="n">
        <v>0.50743987</v>
      </c>
      <c r="R13" s="20" t="n">
        <v>0.26956453</v>
      </c>
    </row>
    <row r="14" spans="1:18">
      <c r="A14" s="15" t="s">
        <v>436</v>
      </c>
      <c r="B14" s="17" t="n">
        <v>5587</v>
      </c>
      <c r="C14" s="18">
        <f>(4904.0/B14*100)</f>
        <v/>
      </c>
      <c r="D14" s="19" t="n">
        <v>683</v>
      </c>
      <c r="E14" s="18" t="n">
        <v>45.6697613</v>
      </c>
      <c r="F14" s="20" t="n">
        <v>2.27710355</v>
      </c>
      <c r="G14" s="18" t="n">
        <v>53.57927324</v>
      </c>
      <c r="H14" s="20" t="n">
        <v>2.24881601</v>
      </c>
      <c r="I14" s="18" t="n">
        <v>0</v>
      </c>
      <c r="J14" s="20" t="n">
        <v>0</v>
      </c>
      <c r="K14" s="18" t="n">
        <v>0.6455697500000001</v>
      </c>
      <c r="L14" s="20" t="n">
        <v>0.30086015</v>
      </c>
      <c r="M14" s="18" t="n">
        <v>0</v>
      </c>
      <c r="N14" s="20" t="n">
        <v>0</v>
      </c>
      <c r="O14" s="18" t="n">
        <v>0</v>
      </c>
      <c r="P14" s="20" t="n">
        <v>0</v>
      </c>
      <c r="Q14" s="18" t="n">
        <v>0.10539571</v>
      </c>
      <c r="R14" s="20" t="n">
        <v>0.10586423</v>
      </c>
    </row>
    <row r="15" spans="1:18">
      <c r="A15" s="15" t="s">
        <v>437</v>
      </c>
      <c r="B15" s="17" t="n">
        <v>5882</v>
      </c>
      <c r="C15" s="18">
        <f>(5169.0/B15*100)</f>
        <v/>
      </c>
      <c r="D15" s="19" t="n">
        <v>713</v>
      </c>
      <c r="E15" s="18" t="n">
        <v>48.64978058</v>
      </c>
      <c r="F15" s="20" t="n">
        <v>2.0514717</v>
      </c>
      <c r="G15" s="18" t="n">
        <v>50.97271603</v>
      </c>
      <c r="H15" s="20" t="n">
        <v>2.01601079</v>
      </c>
      <c r="I15" s="18" t="n">
        <v>0</v>
      </c>
      <c r="J15" s="20" t="n">
        <v>0</v>
      </c>
      <c r="K15" s="18" t="n">
        <v>0.37750339</v>
      </c>
      <c r="L15" s="20" t="n">
        <v>0.27647348</v>
      </c>
      <c r="M15" s="18" t="n">
        <v>0</v>
      </c>
      <c r="N15" s="20" t="n">
        <v>0</v>
      </c>
      <c r="O15" s="18" t="n">
        <v>0</v>
      </c>
      <c r="P15" s="20" t="n">
        <v>0</v>
      </c>
      <c r="Q15" s="18" t="n">
        <v>0</v>
      </c>
      <c r="R15" s="20" t="n">
        <v>0</v>
      </c>
    </row>
    <row r="16" spans="1:18">
      <c r="A16" s="15" t="s">
        <v>438</v>
      </c>
      <c r="B16" s="17" t="n">
        <v>6108</v>
      </c>
      <c r="C16" s="18">
        <f>(5386.0/B16*100)</f>
        <v/>
      </c>
      <c r="D16" s="19" t="n">
        <v>722</v>
      </c>
      <c r="E16" s="18" t="n">
        <v>38.84947499</v>
      </c>
      <c r="F16" s="20" t="n">
        <v>1.74814787</v>
      </c>
      <c r="G16" s="18" t="n">
        <v>59.12324988</v>
      </c>
      <c r="H16" s="20" t="n">
        <v>1.78853342</v>
      </c>
      <c r="I16" s="18" t="n">
        <v>0</v>
      </c>
      <c r="J16" s="20" t="n">
        <v>0</v>
      </c>
      <c r="K16" s="18" t="n">
        <v>1.57670427</v>
      </c>
      <c r="L16" s="20" t="n">
        <v>0.59999052</v>
      </c>
      <c r="M16" s="18" t="n">
        <v>0</v>
      </c>
      <c r="N16" s="20" t="n">
        <v>0</v>
      </c>
      <c r="O16" s="18" t="n">
        <v>0</v>
      </c>
      <c r="P16" s="20" t="n">
        <v>0</v>
      </c>
      <c r="Q16" s="18" t="n">
        <v>0.45057086</v>
      </c>
      <c r="R16" s="20" t="n">
        <v>0.20745117</v>
      </c>
    </row>
    <row r="17" spans="1:18">
      <c r="A17" s="15" t="s">
        <v>439</v>
      </c>
      <c r="B17" s="17" t="n">
        <v>6504</v>
      </c>
      <c r="C17" s="18">
        <f>(5742.0/B17*100)</f>
        <v/>
      </c>
      <c r="D17" s="19" t="n">
        <v>762</v>
      </c>
      <c r="E17" s="18" t="n">
        <v>52.38237064</v>
      </c>
      <c r="F17" s="20" t="n">
        <v>2.17936132</v>
      </c>
      <c r="G17" s="18" t="n">
        <v>45.48717857</v>
      </c>
      <c r="H17" s="20" t="n">
        <v>2.16809304</v>
      </c>
      <c r="I17" s="18" t="n">
        <v>0</v>
      </c>
      <c r="J17" s="20" t="n">
        <v>0</v>
      </c>
      <c r="K17" s="18" t="n">
        <v>1.61503577</v>
      </c>
      <c r="L17" s="20" t="n">
        <v>0.47642005</v>
      </c>
      <c r="M17" s="18" t="n">
        <v>0</v>
      </c>
      <c r="N17" s="20" t="n">
        <v>0</v>
      </c>
      <c r="O17" s="18" t="n">
        <v>0</v>
      </c>
      <c r="P17" s="20" t="n">
        <v>0</v>
      </c>
      <c r="Q17" s="18" t="n">
        <v>0.51541503</v>
      </c>
      <c r="R17" s="20" t="n">
        <v>0.24663445</v>
      </c>
    </row>
    <row r="18" spans="1:18">
      <c r="A18" s="15" t="s">
        <v>440</v>
      </c>
      <c r="B18" s="17" t="n">
        <v>5532</v>
      </c>
      <c r="C18" s="18">
        <f>(4856.0/B18*100)</f>
        <v/>
      </c>
      <c r="D18" s="19" t="n">
        <v>676</v>
      </c>
      <c r="E18" s="18" t="n">
        <v>44.95487703</v>
      </c>
      <c r="F18" s="20" t="n">
        <v>2.3004578</v>
      </c>
      <c r="G18" s="18" t="n">
        <v>53.00860432</v>
      </c>
      <c r="H18" s="20" t="n">
        <v>2.3148858</v>
      </c>
      <c r="I18" s="18" t="n">
        <v>0</v>
      </c>
      <c r="J18" s="20" t="n">
        <v>0</v>
      </c>
      <c r="K18" s="18" t="n">
        <v>1.12503076</v>
      </c>
      <c r="L18" s="20" t="n">
        <v>0.43692854</v>
      </c>
      <c r="M18" s="18" t="n">
        <v>0</v>
      </c>
      <c r="N18" s="20" t="n">
        <v>0</v>
      </c>
      <c r="O18" s="18" t="n">
        <v>0</v>
      </c>
      <c r="P18" s="20" t="n">
        <v>0</v>
      </c>
      <c r="Q18" s="18" t="n">
        <v>0.91148789</v>
      </c>
      <c r="R18" s="20" t="n">
        <v>0.42099132</v>
      </c>
    </row>
    <row r="19" spans="1:18">
      <c r="A19" s="15" t="s">
        <v>441</v>
      </c>
      <c r="B19" s="17" t="n">
        <v>5658</v>
      </c>
      <c r="C19" s="18">
        <f>(4970.0/B19*100)</f>
        <v/>
      </c>
      <c r="D19" s="19" t="n">
        <v>688</v>
      </c>
      <c r="E19" s="18" t="n">
        <v>52.06462123</v>
      </c>
      <c r="F19" s="20" t="n">
        <v>1.97761203</v>
      </c>
      <c r="G19" s="18" t="n">
        <v>47.41139786</v>
      </c>
      <c r="H19" s="20" t="n">
        <v>1.91346162</v>
      </c>
      <c r="I19" s="18" t="n">
        <v>0</v>
      </c>
      <c r="J19" s="20" t="n">
        <v>0</v>
      </c>
      <c r="K19" s="18" t="n">
        <v>0.23928355</v>
      </c>
      <c r="L19" s="20" t="n">
        <v>0.17455628</v>
      </c>
      <c r="M19" s="18" t="n">
        <v>0</v>
      </c>
      <c r="N19" s="20" t="n">
        <v>0</v>
      </c>
      <c r="O19" s="18" t="n">
        <v>0</v>
      </c>
      <c r="P19" s="20" t="n">
        <v>0</v>
      </c>
      <c r="Q19" s="18" t="n">
        <v>0.28469736</v>
      </c>
      <c r="R19" s="20" t="n">
        <v>0.20441024</v>
      </c>
    </row>
    <row r="20" spans="1:18">
      <c r="A20" s="15" t="s">
        <v>442</v>
      </c>
      <c r="B20" s="17" t="n">
        <v>3371</v>
      </c>
      <c r="C20" s="18">
        <f>(2978.0/B20*100)</f>
        <v/>
      </c>
      <c r="D20" s="19" t="n">
        <v>393</v>
      </c>
      <c r="E20" s="18" t="n">
        <v>56.65595101</v>
      </c>
      <c r="F20" s="20" t="n">
        <v>2.65876676</v>
      </c>
      <c r="G20" s="18" t="n">
        <v>41.62119429</v>
      </c>
      <c r="H20" s="20" t="n">
        <v>2.57401816</v>
      </c>
      <c r="I20" s="18" t="n">
        <v>0</v>
      </c>
      <c r="J20" s="20" t="n">
        <v>0</v>
      </c>
      <c r="K20" s="18" t="n">
        <v>0.9579901</v>
      </c>
      <c r="L20" s="20" t="n">
        <v>0.47299797</v>
      </c>
      <c r="M20" s="18" t="n">
        <v>0</v>
      </c>
      <c r="N20" s="20" t="n">
        <v>0</v>
      </c>
      <c r="O20" s="18" t="n">
        <v>0</v>
      </c>
      <c r="P20" s="20" t="n">
        <v>0</v>
      </c>
      <c r="Q20" s="18" t="n">
        <v>0.7648646</v>
      </c>
      <c r="R20" s="20" t="n">
        <v>0.44214839</v>
      </c>
    </row>
    <row r="21" spans="1:18">
      <c r="A21" s="15" t="s">
        <v>443</v>
      </c>
      <c r="B21" s="17" t="n">
        <v>5741</v>
      </c>
      <c r="C21" s="18">
        <f>(4801.0/B21*100)</f>
        <v/>
      </c>
      <c r="D21" s="19" t="n">
        <v>940</v>
      </c>
      <c r="E21" s="18" t="n">
        <v>58.8262873</v>
      </c>
      <c r="F21" s="20" t="n">
        <v>1.66102628</v>
      </c>
      <c r="G21" s="18" t="n">
        <v>40.32911739</v>
      </c>
      <c r="H21" s="20" t="n">
        <v>1.63521702</v>
      </c>
      <c r="I21" s="18" t="n">
        <v>0</v>
      </c>
      <c r="J21" s="20" t="n">
        <v>0</v>
      </c>
      <c r="K21" s="18" t="n">
        <v>0.5108809600000001</v>
      </c>
      <c r="L21" s="20" t="n">
        <v>0.22108409</v>
      </c>
      <c r="M21" s="18" t="n">
        <v>0</v>
      </c>
      <c r="N21" s="20" t="n">
        <v>0</v>
      </c>
      <c r="O21" s="18" t="n">
        <v>0</v>
      </c>
      <c r="P21" s="20" t="n">
        <v>0</v>
      </c>
      <c r="Q21" s="18" t="n">
        <v>0.33371436</v>
      </c>
      <c r="R21" s="20" t="n">
        <v>0.16662209</v>
      </c>
    </row>
    <row r="22" spans="1:18">
      <c r="A22" s="15" t="s">
        <v>444</v>
      </c>
      <c r="B22" s="17" t="n">
        <v>6598</v>
      </c>
      <c r="C22" s="18">
        <f>(5885.0/B22*100)</f>
        <v/>
      </c>
      <c r="D22" s="19" t="n">
        <v>713</v>
      </c>
      <c r="E22" s="18" t="n">
        <v>56.56835935</v>
      </c>
      <c r="F22" s="20" t="n">
        <v>2.23281732</v>
      </c>
      <c r="G22" s="18" t="n">
        <v>40.83139105</v>
      </c>
      <c r="H22" s="20" t="n">
        <v>2.27861511</v>
      </c>
      <c r="I22" s="18" t="n">
        <v>0</v>
      </c>
      <c r="J22" s="20" t="n">
        <v>0</v>
      </c>
      <c r="K22" s="18" t="n">
        <v>1.43607969</v>
      </c>
      <c r="L22" s="20" t="n">
        <v>0.49975349</v>
      </c>
      <c r="M22" s="18" t="n">
        <v>0</v>
      </c>
      <c r="N22" s="20" t="n">
        <v>0</v>
      </c>
      <c r="O22" s="18" t="n">
        <v>0</v>
      </c>
      <c r="P22" s="20" t="n">
        <v>0</v>
      </c>
      <c r="Q22" s="18" t="n">
        <v>1.16416991</v>
      </c>
      <c r="R22" s="20" t="n">
        <v>0.44906426</v>
      </c>
    </row>
    <row r="23" spans="1:18">
      <c r="A23" s="15" t="s">
        <v>445</v>
      </c>
      <c r="B23" s="17" t="n">
        <v>11583</v>
      </c>
      <c r="C23" s="18">
        <f>(10165.0/B23*100)</f>
        <v/>
      </c>
      <c r="D23" s="19" t="n">
        <v>1418</v>
      </c>
      <c r="E23" s="18" t="n">
        <v>49.31022429</v>
      </c>
      <c r="F23" s="20" t="n">
        <v>1.64980599</v>
      </c>
      <c r="G23" s="18" t="n">
        <v>49.07438857</v>
      </c>
      <c r="H23" s="20" t="n">
        <v>1.67270014</v>
      </c>
      <c r="I23" s="18" t="n">
        <v>0</v>
      </c>
      <c r="J23" s="20" t="n">
        <v>0</v>
      </c>
      <c r="K23" s="18" t="n">
        <v>1.05206369</v>
      </c>
      <c r="L23" s="20" t="n">
        <v>0.50983405</v>
      </c>
      <c r="M23" s="18" t="n">
        <v>0</v>
      </c>
      <c r="N23" s="20" t="n">
        <v>0</v>
      </c>
      <c r="O23" s="18" t="n">
        <v>0</v>
      </c>
      <c r="P23" s="20" t="n">
        <v>0</v>
      </c>
      <c r="Q23" s="18" t="n">
        <v>0.5633234499999999</v>
      </c>
      <c r="R23" s="20" t="n">
        <v>0.3305945</v>
      </c>
    </row>
    <row r="24" spans="1:18">
      <c r="A24" s="15" t="s">
        <v>446</v>
      </c>
      <c r="B24" s="17" t="n">
        <v>6647</v>
      </c>
      <c r="C24" s="18">
        <f>(5871.0/B24*100)</f>
        <v/>
      </c>
      <c r="D24" s="19" t="n">
        <v>776</v>
      </c>
      <c r="E24" s="18" t="n">
        <v>62.88239543</v>
      </c>
      <c r="F24" s="20" t="n">
        <v>1.59723009</v>
      </c>
      <c r="G24" s="18" t="n">
        <v>35.8504488</v>
      </c>
      <c r="H24" s="20" t="n">
        <v>1.60895104</v>
      </c>
      <c r="I24" s="18" t="n">
        <v>0</v>
      </c>
      <c r="J24" s="20" t="n">
        <v>0</v>
      </c>
      <c r="K24" s="18" t="n">
        <v>1.02895882</v>
      </c>
      <c r="L24" s="20" t="n">
        <v>0.35151518</v>
      </c>
      <c r="M24" s="18" t="n">
        <v>0</v>
      </c>
      <c r="N24" s="20" t="n">
        <v>0</v>
      </c>
      <c r="O24" s="18" t="n">
        <v>0</v>
      </c>
      <c r="P24" s="20" t="n">
        <v>0</v>
      </c>
      <c r="Q24" s="18" t="n">
        <v>0.23819695</v>
      </c>
      <c r="R24" s="20" t="n">
        <v>0.16761285</v>
      </c>
    </row>
    <row r="25" spans="1:18">
      <c r="A25" s="15" t="s">
        <v>447</v>
      </c>
      <c r="B25" s="17" t="n">
        <v>5581</v>
      </c>
      <c r="C25" s="18">
        <f>(4908.0/B25*100)</f>
        <v/>
      </c>
      <c r="D25" s="19" t="n">
        <v>673</v>
      </c>
      <c r="E25" s="18" t="n">
        <v>54.89547327</v>
      </c>
      <c r="F25" s="20" t="n">
        <v>1.95034315</v>
      </c>
      <c r="G25" s="18" t="n">
        <v>44.6596784</v>
      </c>
      <c r="H25" s="20" t="n">
        <v>1.9666838</v>
      </c>
      <c r="I25" s="18" t="n">
        <v>0</v>
      </c>
      <c r="J25" s="20" t="n">
        <v>0</v>
      </c>
      <c r="K25" s="18" t="n">
        <v>0.44484833</v>
      </c>
      <c r="L25" s="20" t="n">
        <v>0.25766263</v>
      </c>
      <c r="M25" s="18" t="n">
        <v>0</v>
      </c>
      <c r="N25" s="20" t="n">
        <v>0</v>
      </c>
      <c r="O25" s="18" t="n">
        <v>0</v>
      </c>
      <c r="P25" s="20" t="n">
        <v>0</v>
      </c>
      <c r="Q25" s="18" t="n">
        <v>0</v>
      </c>
      <c r="R25" s="20" t="n">
        <v>0</v>
      </c>
    </row>
    <row r="26" spans="1:18">
      <c r="A26" s="15" t="s">
        <v>448</v>
      </c>
      <c r="B26" s="17" t="n">
        <v>4869</v>
      </c>
      <c r="C26" s="18">
        <f>(4280.0/B26*100)</f>
        <v/>
      </c>
      <c r="D26" s="19" t="n">
        <v>589</v>
      </c>
      <c r="E26" s="18" t="n">
        <v>49.50245466</v>
      </c>
      <c r="F26" s="20" t="n">
        <v>2.37339771</v>
      </c>
      <c r="G26" s="18" t="n">
        <v>49.39665373</v>
      </c>
      <c r="H26" s="20" t="n">
        <v>2.30328285</v>
      </c>
      <c r="I26" s="18" t="n">
        <v>0</v>
      </c>
      <c r="J26" s="20" t="n">
        <v>0</v>
      </c>
      <c r="K26" s="18" t="n">
        <v>0</v>
      </c>
      <c r="L26" s="20" t="n">
        <v>0</v>
      </c>
      <c r="M26" s="18" t="n">
        <v>0</v>
      </c>
      <c r="N26" s="20" t="n">
        <v>0</v>
      </c>
      <c r="O26" s="18" t="n">
        <v>0</v>
      </c>
      <c r="P26" s="20" t="n">
        <v>0</v>
      </c>
      <c r="Q26" s="18" t="n">
        <v>1.10089161</v>
      </c>
      <c r="R26" s="20" t="n">
        <v>0.53775175</v>
      </c>
    </row>
    <row r="27" spans="1:18">
      <c r="A27" s="15" t="s">
        <v>449</v>
      </c>
      <c r="B27" s="17" t="n">
        <v>5299</v>
      </c>
      <c r="C27" s="18">
        <f>(4677.0/B27*100)</f>
        <v/>
      </c>
      <c r="D27" s="19" t="n">
        <v>622</v>
      </c>
      <c r="E27" s="18" t="n">
        <v>53.97543437</v>
      </c>
      <c r="F27" s="20" t="n">
        <v>2.04664255</v>
      </c>
      <c r="G27" s="18" t="n">
        <v>44.54654331</v>
      </c>
      <c r="H27" s="20" t="n">
        <v>2.10333384</v>
      </c>
      <c r="I27" s="18" t="n">
        <v>0</v>
      </c>
      <c r="J27" s="20" t="n">
        <v>0</v>
      </c>
      <c r="K27" s="18" t="n">
        <v>1.14983137</v>
      </c>
      <c r="L27" s="20" t="n">
        <v>0.43308297</v>
      </c>
      <c r="M27" s="18" t="n">
        <v>0</v>
      </c>
      <c r="N27" s="20" t="n">
        <v>0</v>
      </c>
      <c r="O27" s="18" t="n">
        <v>0</v>
      </c>
      <c r="P27" s="20" t="n">
        <v>0</v>
      </c>
      <c r="Q27" s="18" t="n">
        <v>0.32819096</v>
      </c>
      <c r="R27" s="20" t="n">
        <v>0.23189638</v>
      </c>
    </row>
    <row r="28" spans="1:18">
      <c r="A28" s="15" t="s">
        <v>450</v>
      </c>
      <c r="B28" s="17" t="n">
        <v>7568</v>
      </c>
      <c r="C28" s="18">
        <f>(6707.0/B28*100)</f>
        <v/>
      </c>
      <c r="D28" s="19" t="n">
        <v>861</v>
      </c>
      <c r="E28" s="18" t="n">
        <v>70.68477049000001</v>
      </c>
      <c r="F28" s="20" t="n">
        <v>1.74150843</v>
      </c>
      <c r="G28" s="18" t="n">
        <v>26.34097026</v>
      </c>
      <c r="H28" s="20" t="n">
        <v>1.7242071</v>
      </c>
      <c r="I28" s="18" t="n">
        <v>0</v>
      </c>
      <c r="J28" s="20" t="n">
        <v>0</v>
      </c>
      <c r="K28" s="18" t="n">
        <v>1.64184224</v>
      </c>
      <c r="L28" s="20" t="n">
        <v>0.49073516</v>
      </c>
      <c r="M28" s="18" t="n">
        <v>0</v>
      </c>
      <c r="N28" s="20" t="n">
        <v>0</v>
      </c>
      <c r="O28" s="18" t="n">
        <v>0</v>
      </c>
      <c r="P28" s="20" t="n">
        <v>0</v>
      </c>
      <c r="Q28" s="18" t="n">
        <v>1.332417</v>
      </c>
      <c r="R28" s="20" t="n">
        <v>0.40024763</v>
      </c>
    </row>
    <row r="29" spans="1:18">
      <c r="A29" s="15" t="s">
        <v>451</v>
      </c>
      <c r="B29" s="17" t="n">
        <v>5385</v>
      </c>
      <c r="C29" s="18">
        <f>(4739.0/B29*100)</f>
        <v/>
      </c>
      <c r="D29" s="19" t="n">
        <v>646</v>
      </c>
      <c r="E29" s="18" t="n">
        <v>57.93830693</v>
      </c>
      <c r="F29" s="20" t="n">
        <v>1.71472229</v>
      </c>
      <c r="G29" s="18" t="n">
        <v>41.76440988</v>
      </c>
      <c r="H29" s="20" t="n">
        <v>1.70408704</v>
      </c>
      <c r="I29" s="18" t="n">
        <v>0</v>
      </c>
      <c r="J29" s="20" t="n">
        <v>0</v>
      </c>
      <c r="K29" s="18" t="n">
        <v>0.18627625</v>
      </c>
      <c r="L29" s="20" t="n">
        <v>0.13323819</v>
      </c>
      <c r="M29" s="18" t="n">
        <v>0</v>
      </c>
      <c r="N29" s="20" t="n">
        <v>0</v>
      </c>
      <c r="O29" s="18" t="n">
        <v>0</v>
      </c>
      <c r="P29" s="20" t="n">
        <v>0</v>
      </c>
      <c r="Q29" s="18" t="n">
        <v>0.11100694</v>
      </c>
      <c r="R29" s="20" t="n">
        <v>0.1291996</v>
      </c>
    </row>
    <row r="30" spans="1:18">
      <c r="A30" s="15" t="s">
        <v>452</v>
      </c>
      <c r="B30" s="17" t="n">
        <v>4520</v>
      </c>
      <c r="C30" s="18">
        <f>(3994.0/B30*100)</f>
        <v/>
      </c>
      <c r="D30" s="19" t="n">
        <v>526</v>
      </c>
      <c r="E30" s="18" t="n">
        <v>58.21931033</v>
      </c>
      <c r="F30" s="20" t="n">
        <v>2.22647298</v>
      </c>
      <c r="G30" s="18" t="n">
        <v>38.39119313</v>
      </c>
      <c r="H30" s="20" t="n">
        <v>2.40227571</v>
      </c>
      <c r="I30" s="18" t="n">
        <v>0</v>
      </c>
      <c r="J30" s="20" t="n">
        <v>0</v>
      </c>
      <c r="K30" s="18" t="n">
        <v>2.53305266</v>
      </c>
      <c r="L30" s="20" t="n">
        <v>0.75367627</v>
      </c>
      <c r="M30" s="18" t="n">
        <v>0</v>
      </c>
      <c r="N30" s="20" t="n">
        <v>0</v>
      </c>
      <c r="O30" s="18" t="n">
        <v>0</v>
      </c>
      <c r="P30" s="20" t="n">
        <v>0</v>
      </c>
      <c r="Q30" s="18" t="n">
        <v>0.85644389</v>
      </c>
      <c r="R30" s="20" t="n">
        <v>0.37765499</v>
      </c>
    </row>
    <row r="31" spans="1:18">
      <c r="A31" s="15" t="s">
        <v>453</v>
      </c>
      <c r="B31" s="17" t="n">
        <v>5456</v>
      </c>
      <c r="C31" s="18">
        <f>(4808.0/B31*100)</f>
        <v/>
      </c>
      <c r="D31" s="19" t="n">
        <v>648</v>
      </c>
      <c r="E31" s="18" t="n">
        <v>55.70173883</v>
      </c>
      <c r="F31" s="20" t="n">
        <v>2.17079129</v>
      </c>
      <c r="G31" s="18" t="n">
        <v>42.79672338</v>
      </c>
      <c r="H31" s="20" t="n">
        <v>2.13065754</v>
      </c>
      <c r="I31" s="18" t="n">
        <v>0</v>
      </c>
      <c r="J31" s="20" t="n">
        <v>0</v>
      </c>
      <c r="K31" s="18" t="n">
        <v>1.50153779</v>
      </c>
      <c r="L31" s="20" t="n">
        <v>0.56220369</v>
      </c>
      <c r="M31" s="18" t="n">
        <v>0</v>
      </c>
      <c r="N31" s="20" t="n">
        <v>0</v>
      </c>
      <c r="O31" s="18" t="n">
        <v>0</v>
      </c>
      <c r="P31" s="20" t="n">
        <v>0</v>
      </c>
      <c r="Q31" s="18" t="n">
        <v>0</v>
      </c>
      <c r="R31" s="20" t="n">
        <v>0</v>
      </c>
    </row>
    <row r="32" spans="1:18">
      <c r="A32" s="15" t="s">
        <v>454</v>
      </c>
      <c r="B32" s="17" t="n">
        <v>4478</v>
      </c>
      <c r="C32" s="18">
        <f>(3753.0/B32*100)</f>
        <v/>
      </c>
      <c r="D32" s="19" t="n">
        <v>725</v>
      </c>
      <c r="E32" s="18" t="n">
        <v>36.35417858</v>
      </c>
      <c r="F32" s="20" t="n">
        <v>2.02677726</v>
      </c>
      <c r="G32" s="18" t="n">
        <v>63.38480261</v>
      </c>
      <c r="H32" s="20" t="n">
        <v>2.02724129</v>
      </c>
      <c r="I32" s="18" t="n">
        <v>0</v>
      </c>
      <c r="J32" s="20" t="n">
        <v>0</v>
      </c>
      <c r="K32" s="18" t="n">
        <v>0</v>
      </c>
      <c r="L32" s="20" t="n">
        <v>0</v>
      </c>
      <c r="M32" s="18" t="n">
        <v>0</v>
      </c>
      <c r="N32" s="20" t="n">
        <v>0</v>
      </c>
      <c r="O32" s="18" t="n">
        <v>0</v>
      </c>
      <c r="P32" s="20" t="n">
        <v>0</v>
      </c>
      <c r="Q32" s="18" t="n">
        <v>0.26101881</v>
      </c>
      <c r="R32" s="20" t="n">
        <v>0.1830082</v>
      </c>
    </row>
    <row r="33" spans="1:18">
      <c r="A33" s="15" t="s">
        <v>455</v>
      </c>
      <c r="B33" s="17" t="n">
        <v>7325</v>
      </c>
      <c r="C33" s="18">
        <f>(6476.0/B33*100)</f>
        <v/>
      </c>
      <c r="D33" s="19" t="n">
        <v>849</v>
      </c>
      <c r="E33" s="18" t="n">
        <v>65.92374593</v>
      </c>
      <c r="F33" s="20" t="n">
        <v>1.84030018</v>
      </c>
      <c r="G33" s="18" t="n">
        <v>32.70988298</v>
      </c>
      <c r="H33" s="20" t="n">
        <v>1.86459042</v>
      </c>
      <c r="I33" s="18" t="n">
        <v>0</v>
      </c>
      <c r="J33" s="20" t="n">
        <v>0</v>
      </c>
      <c r="K33" s="18" t="n">
        <v>0.63945575</v>
      </c>
      <c r="L33" s="20" t="n">
        <v>0.30343806</v>
      </c>
      <c r="M33" s="18" t="n">
        <v>0</v>
      </c>
      <c r="N33" s="20" t="n">
        <v>0</v>
      </c>
      <c r="O33" s="18" t="n">
        <v>0</v>
      </c>
      <c r="P33" s="20" t="n">
        <v>0</v>
      </c>
      <c r="Q33" s="18" t="n">
        <v>0.72691534</v>
      </c>
      <c r="R33" s="20" t="n">
        <v>0.33900976</v>
      </c>
    </row>
    <row r="34" spans="1:18">
      <c r="A34" s="15" t="s">
        <v>456</v>
      </c>
      <c r="B34" s="17" t="n">
        <v>6350</v>
      </c>
      <c r="C34" s="18">
        <f>(5616.0/B34*100)</f>
        <v/>
      </c>
      <c r="D34" s="19" t="n">
        <v>734</v>
      </c>
      <c r="E34" s="18" t="n">
        <v>52.93030581</v>
      </c>
      <c r="F34" s="20" t="n">
        <v>2.02335222</v>
      </c>
      <c r="G34" s="18" t="n">
        <v>45.88371216</v>
      </c>
      <c r="H34" s="20" t="n">
        <v>1.98930572</v>
      </c>
      <c r="I34" s="18" t="n">
        <v>0</v>
      </c>
      <c r="J34" s="20" t="n">
        <v>0</v>
      </c>
      <c r="K34" s="18" t="n">
        <v>0.32783387</v>
      </c>
      <c r="L34" s="20" t="n">
        <v>0.24168073</v>
      </c>
      <c r="M34" s="18" t="n">
        <v>0</v>
      </c>
      <c r="N34" s="20" t="n">
        <v>0</v>
      </c>
      <c r="O34" s="18" t="n">
        <v>0</v>
      </c>
      <c r="P34" s="20" t="n">
        <v>0</v>
      </c>
      <c r="Q34" s="18" t="n">
        <v>0.85814816</v>
      </c>
      <c r="R34" s="20" t="n">
        <v>0.36069723</v>
      </c>
    </row>
    <row r="35" spans="1:18">
      <c r="A35" s="15" t="s">
        <v>457</v>
      </c>
      <c r="B35" s="17" t="n">
        <v>6406</v>
      </c>
      <c r="C35" s="18">
        <f>(5637.0/B35*100)</f>
        <v/>
      </c>
      <c r="D35" s="19" t="n">
        <v>769</v>
      </c>
      <c r="E35" s="18" t="n">
        <v>47.44657242</v>
      </c>
      <c r="F35" s="20" t="n">
        <v>2.23502055</v>
      </c>
      <c r="G35" s="18" t="n">
        <v>51.63580614</v>
      </c>
      <c r="H35" s="20" t="n">
        <v>2.22511545</v>
      </c>
      <c r="I35" s="18" t="n">
        <v>0</v>
      </c>
      <c r="J35" s="20" t="n">
        <v>0</v>
      </c>
      <c r="K35" s="18" t="n">
        <v>0.49905583</v>
      </c>
      <c r="L35" s="20" t="n">
        <v>0.29716926</v>
      </c>
      <c r="M35" s="18" t="n">
        <v>0</v>
      </c>
      <c r="N35" s="20" t="n">
        <v>0</v>
      </c>
      <c r="O35" s="18" t="n">
        <v>0</v>
      </c>
      <c r="P35" s="20" t="n">
        <v>0</v>
      </c>
      <c r="Q35" s="18" t="n">
        <v>0.41856561</v>
      </c>
      <c r="R35" s="20" t="n">
        <v>0.23006807</v>
      </c>
    </row>
    <row r="36" spans="1:18">
      <c r="A36" s="15" t="s">
        <v>458</v>
      </c>
      <c r="B36" s="17" t="n">
        <v>6736</v>
      </c>
      <c r="C36" s="18">
        <f>(5958.0/B36*100)</f>
        <v/>
      </c>
      <c r="D36" s="19" t="n">
        <v>778</v>
      </c>
      <c r="E36" s="18" t="n">
        <v>49.19044605</v>
      </c>
      <c r="F36" s="20" t="n">
        <v>2.31409366</v>
      </c>
      <c r="G36" s="18" t="n">
        <v>49.01532163</v>
      </c>
      <c r="H36" s="20" t="n">
        <v>2.26359716</v>
      </c>
      <c r="I36" s="18" t="n">
        <v>0</v>
      </c>
      <c r="J36" s="20" t="n">
        <v>0</v>
      </c>
      <c r="K36" s="18" t="n">
        <v>1.5158615</v>
      </c>
      <c r="L36" s="20" t="n">
        <v>0.4005471</v>
      </c>
      <c r="M36" s="18" t="n">
        <v>0</v>
      </c>
      <c r="N36" s="20" t="n">
        <v>0</v>
      </c>
      <c r="O36" s="18" t="n">
        <v>0</v>
      </c>
      <c r="P36" s="20" t="n">
        <v>0</v>
      </c>
      <c r="Q36" s="18" t="n">
        <v>0.27837082</v>
      </c>
      <c r="R36" s="20" t="n">
        <v>0.22889488</v>
      </c>
    </row>
    <row r="37" spans="1:18">
      <c r="A37" s="15" t="s">
        <v>459</v>
      </c>
      <c r="B37" s="17" t="n">
        <v>5458</v>
      </c>
      <c r="C37" s="18">
        <f>(4791.0/B37*100)</f>
        <v/>
      </c>
      <c r="D37" s="19" t="n">
        <v>667</v>
      </c>
      <c r="E37" s="18" t="n">
        <v>49.12561993</v>
      </c>
      <c r="F37" s="20" t="n">
        <v>2.13488357</v>
      </c>
      <c r="G37" s="18" t="n">
        <v>47.7541429</v>
      </c>
      <c r="H37" s="20" t="n">
        <v>1.96819615</v>
      </c>
      <c r="I37" s="18" t="n">
        <v>0</v>
      </c>
      <c r="J37" s="20" t="n">
        <v>0</v>
      </c>
      <c r="K37" s="18" t="n">
        <v>2.59056432</v>
      </c>
      <c r="L37" s="20" t="n">
        <v>0.6274968</v>
      </c>
      <c r="M37" s="18" t="n">
        <v>0</v>
      </c>
      <c r="N37" s="20" t="n">
        <v>0</v>
      </c>
      <c r="O37" s="18" t="n">
        <v>0</v>
      </c>
      <c r="P37" s="20" t="n">
        <v>0</v>
      </c>
      <c r="Q37" s="18" t="n">
        <v>0.52967285</v>
      </c>
      <c r="R37" s="20" t="n">
        <v>0.2644046</v>
      </c>
    </row>
    <row r="38" spans="1:18">
      <c r="A38" s="15" t="s">
        <v>460</v>
      </c>
      <c r="B38" s="17" t="n">
        <v>5860</v>
      </c>
      <c r="C38" s="18">
        <f>(4918.0/B38*100)</f>
        <v/>
      </c>
      <c r="D38" s="19" t="n">
        <v>942</v>
      </c>
      <c r="E38" s="18" t="n">
        <v>50.28833792</v>
      </c>
      <c r="F38" s="20" t="n">
        <v>1.90998743</v>
      </c>
      <c r="G38" s="18" t="n">
        <v>47.33735382</v>
      </c>
      <c r="H38" s="20" t="n">
        <v>1.92228865</v>
      </c>
      <c r="I38" s="18" t="n">
        <v>0</v>
      </c>
      <c r="J38" s="20" t="n">
        <v>0</v>
      </c>
      <c r="K38" s="18" t="n">
        <v>1.72096989</v>
      </c>
      <c r="L38" s="20" t="n">
        <v>0.49404031</v>
      </c>
      <c r="M38" s="18" t="n">
        <v>0</v>
      </c>
      <c r="N38" s="20" t="n">
        <v>0</v>
      </c>
      <c r="O38" s="18" t="n">
        <v>0</v>
      </c>
      <c r="P38" s="20" t="n">
        <v>0</v>
      </c>
      <c r="Q38" s="18" t="n">
        <v>0.65333836</v>
      </c>
      <c r="R38" s="20" t="n">
        <v>0.22370993</v>
      </c>
    </row>
    <row r="39" spans="1:18">
      <c r="A39" s="15" t="s">
        <v>461</v>
      </c>
      <c r="B39" s="17" t="n">
        <v>5895</v>
      </c>
      <c r="C39" s="18">
        <f>(5177.0/B39*100)</f>
        <v/>
      </c>
      <c r="D39" s="19" t="n">
        <v>718</v>
      </c>
      <c r="E39" s="18" t="n">
        <v>64.54139546</v>
      </c>
      <c r="F39" s="20" t="n">
        <v>2.24783785</v>
      </c>
      <c r="G39" s="18" t="n">
        <v>35.03182784</v>
      </c>
      <c r="H39" s="20" t="n">
        <v>2.23926813</v>
      </c>
      <c r="I39" s="18" t="n">
        <v>0</v>
      </c>
      <c r="J39" s="20" t="n">
        <v>0</v>
      </c>
      <c r="K39" s="18" t="n">
        <v>0.29017739</v>
      </c>
      <c r="L39" s="20" t="n">
        <v>0.20974277</v>
      </c>
      <c r="M39" s="18" t="n">
        <v>0</v>
      </c>
      <c r="N39" s="20" t="n">
        <v>0</v>
      </c>
      <c r="O39" s="18" t="n">
        <v>0</v>
      </c>
      <c r="P39" s="20" t="n">
        <v>0</v>
      </c>
      <c r="Q39" s="18" t="n">
        <v>0.13659932</v>
      </c>
      <c r="R39" s="20" t="n">
        <v>0.12360456</v>
      </c>
    </row>
    <row r="40" spans="1:18">
      <c r="A40" s="15" t="s">
        <v>462</v>
      </c>
      <c r="B40" s="17" t="n">
        <v>14157</v>
      </c>
      <c r="C40" s="18">
        <f>(12453.0/B40*100)</f>
        <v/>
      </c>
      <c r="D40" s="19" t="n">
        <v>1704</v>
      </c>
      <c r="E40" s="18" t="n">
        <v>53.79353925</v>
      </c>
      <c r="F40" s="20" t="n">
        <v>2.0828539</v>
      </c>
      <c r="G40" s="18" t="n">
        <v>44.11306264</v>
      </c>
      <c r="H40" s="20" t="n">
        <v>2.06313576</v>
      </c>
      <c r="I40" s="18" t="n">
        <v>0</v>
      </c>
      <c r="J40" s="20" t="n">
        <v>0</v>
      </c>
      <c r="K40" s="18" t="n">
        <v>1.1858677</v>
      </c>
      <c r="L40" s="20" t="n">
        <v>0.41524526</v>
      </c>
      <c r="M40" s="18" t="n">
        <v>0</v>
      </c>
      <c r="N40" s="20" t="n">
        <v>0</v>
      </c>
      <c r="O40" s="18" t="n">
        <v>0</v>
      </c>
      <c r="P40" s="20" t="n">
        <v>0</v>
      </c>
      <c r="Q40" s="18" t="n">
        <v>0.9075304</v>
      </c>
      <c r="R40" s="20" t="n">
        <v>0.39682215</v>
      </c>
    </row>
    <row r="41" spans="1:18">
      <c r="A41" s="15" t="s">
        <v>463</v>
      </c>
      <c r="B41" s="17" t="n">
        <v>5712</v>
      </c>
      <c r="C41" s="18">
        <f>(5034.0/B41*100)</f>
        <v/>
      </c>
      <c r="D41" s="19" t="n">
        <v>678</v>
      </c>
      <c r="E41" s="18" t="n">
        <v>45.80661175</v>
      </c>
      <c r="F41" s="20" t="n">
        <v>2.25694305</v>
      </c>
      <c r="G41" s="18" t="n">
        <v>52.82358954</v>
      </c>
      <c r="H41" s="20" t="n">
        <v>2.24671049</v>
      </c>
      <c r="I41" s="18" t="n">
        <v>0</v>
      </c>
      <c r="J41" s="20" t="n">
        <v>0</v>
      </c>
      <c r="K41" s="18" t="n">
        <v>0.97212859</v>
      </c>
      <c r="L41" s="20" t="n">
        <v>0.38924374</v>
      </c>
      <c r="M41" s="18" t="n">
        <v>0</v>
      </c>
      <c r="N41" s="20" t="n">
        <v>0</v>
      </c>
      <c r="O41" s="18" t="n">
        <v>0</v>
      </c>
      <c r="P41" s="20" t="n">
        <v>0</v>
      </c>
      <c r="Q41" s="18" t="n">
        <v>0.39767011</v>
      </c>
      <c r="R41" s="20" t="n">
        <v>0.22227972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(21041.0/B46*100)</f>
        <v/>
      </c>
      <c r="D46" s="19" t="n">
        <v>2100</v>
      </c>
      <c r="E46" s="18" t="n">
        <v>59.61660961</v>
      </c>
      <c r="F46" s="20" t="n">
        <v>1.60126298</v>
      </c>
      <c r="G46" s="18" t="n">
        <v>37.30434635</v>
      </c>
      <c r="H46" s="20" t="n">
        <v>1.66282613</v>
      </c>
      <c r="I46" s="18" t="n">
        <v>0</v>
      </c>
      <c r="J46" s="20" t="n">
        <v>0</v>
      </c>
      <c r="K46" s="18" t="n">
        <v>2.2377081</v>
      </c>
      <c r="L46" s="20" t="n">
        <v>0.45561637</v>
      </c>
      <c r="M46" s="18" t="n">
        <v>0</v>
      </c>
      <c r="N46" s="20" t="n">
        <v>0</v>
      </c>
      <c r="O46" s="18" t="n">
        <v>0</v>
      </c>
      <c r="P46" s="20" t="n">
        <v>0</v>
      </c>
      <c r="Q46" s="18" t="n">
        <v>0.84133594</v>
      </c>
      <c r="R46" s="20" t="n">
        <v>0.25734492</v>
      </c>
    </row>
    <row r="47" spans="1:18">
      <c r="A47" s="15" t="s">
        <v>470</v>
      </c>
      <c r="B47" s="17" t="n">
        <v>5928</v>
      </c>
      <c r="C47" s="18">
        <f>(5203.0/B47*100)</f>
        <v/>
      </c>
      <c r="D47" s="19" t="n">
        <v>725</v>
      </c>
      <c r="E47" s="18" t="n">
        <v>52.05776303</v>
      </c>
      <c r="F47" s="20" t="n">
        <v>1.91136179</v>
      </c>
      <c r="G47" s="18" t="n">
        <v>46.57378695</v>
      </c>
      <c r="H47" s="20" t="n">
        <v>1.92649745</v>
      </c>
      <c r="I47" s="18" t="n">
        <v>0</v>
      </c>
      <c r="J47" s="20" t="n">
        <v>0</v>
      </c>
      <c r="K47" s="18" t="n">
        <v>0.69418273</v>
      </c>
      <c r="L47" s="20" t="n">
        <v>0.3101158</v>
      </c>
      <c r="M47" s="18" t="n">
        <v>0</v>
      </c>
      <c r="N47" s="20" t="n">
        <v>0</v>
      </c>
      <c r="O47" s="18" t="n">
        <v>0</v>
      </c>
      <c r="P47" s="20" t="n">
        <v>0</v>
      </c>
      <c r="Q47" s="18" t="n">
        <v>0.67426729</v>
      </c>
      <c r="R47" s="20" t="n">
        <v>0.31306704</v>
      </c>
    </row>
    <row r="48" spans="1:18">
      <c r="A48" s="15" t="s">
        <v>471</v>
      </c>
      <c r="B48" s="17" t="n">
        <v>9841</v>
      </c>
      <c r="C48" s="18">
        <f>(8639.0/B48*100)</f>
        <v/>
      </c>
      <c r="D48" s="19" t="n">
        <v>1202</v>
      </c>
      <c r="E48" s="18" t="n">
        <v>54.72366316</v>
      </c>
      <c r="F48" s="20" t="n">
        <v>1.9011745</v>
      </c>
      <c r="G48" s="18" t="n">
        <v>44.08030218</v>
      </c>
      <c r="H48" s="20" t="n">
        <v>1.983993</v>
      </c>
      <c r="I48" s="18" t="n">
        <v>0</v>
      </c>
      <c r="J48" s="20" t="n">
        <v>0</v>
      </c>
      <c r="K48" s="18" t="n">
        <v>0.55177491</v>
      </c>
      <c r="L48" s="20" t="n">
        <v>0.29910927</v>
      </c>
      <c r="M48" s="18" t="n">
        <v>0</v>
      </c>
      <c r="N48" s="20" t="n">
        <v>0</v>
      </c>
      <c r="O48" s="18" t="n">
        <v>0</v>
      </c>
      <c r="P48" s="20" t="n">
        <v>0</v>
      </c>
      <c r="Q48" s="18" t="n">
        <v>0.64425975</v>
      </c>
      <c r="R48" s="20" t="n">
        <v>0.29602273</v>
      </c>
    </row>
    <row r="49" spans="1:18">
      <c r="A49" s="15" t="s">
        <v>472</v>
      </c>
      <c r="B49" s="17" t="n">
        <v>11795</v>
      </c>
      <c r="C49" s="18">
        <f>(10430.0/B49*100)</f>
        <v/>
      </c>
      <c r="D49" s="19" t="n">
        <v>1365</v>
      </c>
      <c r="E49" s="18" t="n">
        <v>62.77749659</v>
      </c>
      <c r="F49" s="20" t="n">
        <v>1.75140127</v>
      </c>
      <c r="G49" s="18" t="n">
        <v>33.60865724</v>
      </c>
      <c r="H49" s="20" t="n">
        <v>1.70038652</v>
      </c>
      <c r="I49" s="18" t="n">
        <v>0</v>
      </c>
      <c r="J49" s="20" t="n">
        <v>0</v>
      </c>
      <c r="K49" s="18" t="n">
        <v>3.15930356</v>
      </c>
      <c r="L49" s="20" t="n">
        <v>0.7705103800000001</v>
      </c>
      <c r="M49" s="18" t="n">
        <v>0</v>
      </c>
      <c r="N49" s="20" t="n">
        <v>0</v>
      </c>
      <c r="O49" s="18" t="n">
        <v>0</v>
      </c>
      <c r="P49" s="20" t="n">
        <v>0</v>
      </c>
      <c r="Q49" s="18" t="n">
        <v>0.4545426</v>
      </c>
      <c r="R49" s="20" t="n">
        <v>0.33152056</v>
      </c>
    </row>
    <row r="50" spans="1:18">
      <c r="A50" s="15" t="s">
        <v>473</v>
      </c>
      <c r="B50" s="17" t="n">
        <v>6866</v>
      </c>
      <c r="C50" s="18">
        <f>(6173.0/B50*100)</f>
        <v/>
      </c>
      <c r="D50" s="19" t="n">
        <v>693</v>
      </c>
      <c r="E50" s="18" t="n">
        <v>59.71716908</v>
      </c>
      <c r="F50" s="20" t="n">
        <v>2.33768205</v>
      </c>
      <c r="G50" s="18" t="n">
        <v>38.49103897</v>
      </c>
      <c r="H50" s="20" t="n">
        <v>2.34676996</v>
      </c>
      <c r="I50" s="18" t="n">
        <v>0</v>
      </c>
      <c r="J50" s="20" t="n">
        <v>0</v>
      </c>
      <c r="K50" s="18" t="n">
        <v>1.15251732</v>
      </c>
      <c r="L50" s="20" t="n">
        <v>0.4151683</v>
      </c>
      <c r="M50" s="18" t="n">
        <v>0</v>
      </c>
      <c r="N50" s="20" t="n">
        <v>0</v>
      </c>
      <c r="O50" s="18" t="n">
        <v>0</v>
      </c>
      <c r="P50" s="20" t="n">
        <v>0</v>
      </c>
      <c r="Q50" s="18" t="n">
        <v>0.63927462</v>
      </c>
      <c r="R50" s="20" t="n">
        <v>0.28526028</v>
      </c>
    </row>
    <row r="51" spans="1:18">
      <c r="A51" s="15" t="s">
        <v>474</v>
      </c>
      <c r="B51" s="17" t="n">
        <v>5809</v>
      </c>
      <c r="C51" s="18">
        <f>(5083.0/B51*100)</f>
        <v/>
      </c>
      <c r="D51" s="19" t="n">
        <v>726</v>
      </c>
      <c r="E51" s="18" t="n">
        <v>56.08148971</v>
      </c>
      <c r="F51" s="20" t="n">
        <v>1.68981335</v>
      </c>
      <c r="G51" s="18" t="n">
        <v>43.05779363</v>
      </c>
      <c r="H51" s="20" t="n">
        <v>1.77895843</v>
      </c>
      <c r="I51" s="18" t="n">
        <v>0</v>
      </c>
      <c r="J51" s="20" t="n">
        <v>0</v>
      </c>
      <c r="K51" s="18" t="n">
        <v>0.25224141</v>
      </c>
      <c r="L51" s="20" t="n">
        <v>0.17899002</v>
      </c>
      <c r="M51" s="18" t="n">
        <v>0</v>
      </c>
      <c r="N51" s="20" t="n">
        <v>0</v>
      </c>
      <c r="O51" s="18" t="n">
        <v>0</v>
      </c>
      <c r="P51" s="20" t="n">
        <v>0</v>
      </c>
      <c r="Q51" s="18" t="n">
        <v>0.60847526</v>
      </c>
      <c r="R51" s="20" t="n">
        <v>0.3041285</v>
      </c>
    </row>
    <row r="52" spans="1:18">
      <c r="A52" s="15" t="s">
        <v>475</v>
      </c>
      <c r="B52" s="17" t="n">
        <v>5571</v>
      </c>
      <c r="C52" s="18">
        <f>(4922.0/B52*100)</f>
        <v/>
      </c>
      <c r="D52" s="19" t="n">
        <v>649</v>
      </c>
      <c r="E52" s="18" t="n">
        <v>57.47393475</v>
      </c>
      <c r="F52" s="20" t="n">
        <v>1.87819237</v>
      </c>
      <c r="G52" s="18" t="n">
        <v>40.25576083</v>
      </c>
      <c r="H52" s="20" t="n">
        <v>1.8379139</v>
      </c>
      <c r="I52" s="18" t="n">
        <v>0</v>
      </c>
      <c r="J52" s="20" t="n">
        <v>0</v>
      </c>
      <c r="K52" s="18" t="n">
        <v>1.34289546</v>
      </c>
      <c r="L52" s="20" t="n">
        <v>0.45022902</v>
      </c>
      <c r="M52" s="18" t="n">
        <v>0</v>
      </c>
      <c r="N52" s="20" t="n">
        <v>0</v>
      </c>
      <c r="O52" s="18" t="n">
        <v>0</v>
      </c>
      <c r="P52" s="20" t="n">
        <v>0</v>
      </c>
      <c r="Q52" s="18" t="n">
        <v>0.92740897</v>
      </c>
      <c r="R52" s="20" t="n">
        <v>0.40047943</v>
      </c>
    </row>
    <row r="53" spans="1:18">
      <c r="A53" s="15" t="s">
        <v>476</v>
      </c>
      <c r="B53" s="17" t="n">
        <v>4740</v>
      </c>
      <c r="C53" s="18">
        <f>(3981.0/B53*100)</f>
        <v/>
      </c>
      <c r="D53" s="19" t="n">
        <v>759</v>
      </c>
      <c r="E53" s="18" t="n">
        <v>51.10788439</v>
      </c>
      <c r="F53" s="20" t="n">
        <v>2.035564</v>
      </c>
      <c r="G53" s="18" t="n">
        <v>26.70333889</v>
      </c>
      <c r="H53" s="20" t="n">
        <v>1.69725779</v>
      </c>
      <c r="I53" s="18" t="n">
        <v>0</v>
      </c>
      <c r="J53" s="20" t="n">
        <v>0</v>
      </c>
      <c r="K53" s="18" t="n">
        <v>21.14716792</v>
      </c>
      <c r="L53" s="20" t="n">
        <v>1.5288431</v>
      </c>
      <c r="M53" s="18" t="n">
        <v>0</v>
      </c>
      <c r="N53" s="20" t="n">
        <v>0</v>
      </c>
      <c r="O53" s="18" t="n">
        <v>0</v>
      </c>
      <c r="P53" s="20" t="n">
        <v>0</v>
      </c>
      <c r="Q53" s="18" t="n">
        <v>1.0416088</v>
      </c>
      <c r="R53" s="20" t="n">
        <v>0.46333886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63.27628902</v>
      </c>
      <c r="F55" s="20" t="n">
        <v>2.22807777</v>
      </c>
      <c r="G55" s="18" t="n">
        <v>35.80326819</v>
      </c>
      <c r="H55" s="20" t="n">
        <v>2.18386161</v>
      </c>
      <c r="I55" s="18" t="n">
        <v>0</v>
      </c>
      <c r="J55" s="20" t="n">
        <v>0</v>
      </c>
      <c r="K55" s="18" t="n">
        <v>0.63167355</v>
      </c>
      <c r="L55" s="20" t="n">
        <v>0.33683948</v>
      </c>
      <c r="M55" s="18" t="n">
        <v>0</v>
      </c>
      <c r="N55" s="20" t="n">
        <v>0</v>
      </c>
      <c r="O55" s="18" t="n">
        <v>0</v>
      </c>
      <c r="P55" s="20" t="n">
        <v>0</v>
      </c>
      <c r="Q55" s="18" t="n">
        <v>0.28876924</v>
      </c>
      <c r="R55" s="20" t="n">
        <v>0.20487985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(5768.0/B61*100)</f>
        <v/>
      </c>
      <c r="D61" s="19" t="n">
        <v>757</v>
      </c>
      <c r="E61" s="18" t="n">
        <v>40.76346487</v>
      </c>
      <c r="F61" s="20" t="n">
        <v>2.05560366</v>
      </c>
      <c r="G61" s="18" t="n">
        <v>58.21418177</v>
      </c>
      <c r="H61" s="20" t="n">
        <v>2.10776197</v>
      </c>
      <c r="I61" s="18" t="n">
        <v>0</v>
      </c>
      <c r="J61" s="20" t="n">
        <v>0</v>
      </c>
      <c r="K61" s="18" t="n">
        <v>0.98871606</v>
      </c>
      <c r="L61" s="20" t="n">
        <v>0.3638997</v>
      </c>
      <c r="M61" s="18" t="n">
        <v>0</v>
      </c>
      <c r="N61" s="20" t="n">
        <v>0</v>
      </c>
      <c r="O61" s="18" t="n">
        <v>0</v>
      </c>
      <c r="P61" s="20" t="n">
        <v>0</v>
      </c>
      <c r="Q61" s="18" t="n">
        <v>0.03363729</v>
      </c>
      <c r="R61" s="20" t="n">
        <v>0.03390839</v>
      </c>
    </row>
    <row r="62" spans="1:18">
      <c r="A62" s="15" t="s">
        <v>486</v>
      </c>
      <c r="B62" s="17" t="n">
        <v>4476</v>
      </c>
      <c r="C62" s="18">
        <f>(3938.0/B62*100)</f>
        <v/>
      </c>
      <c r="D62" s="19" t="n">
        <v>538</v>
      </c>
      <c r="E62" s="18" t="n">
        <v>65.22828792999999</v>
      </c>
      <c r="F62" s="20" t="n">
        <v>2.1500528</v>
      </c>
      <c r="G62" s="18" t="n">
        <v>34.77171207</v>
      </c>
      <c r="H62" s="20" t="n">
        <v>2.1500528</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(4999.0/B67*100)</f>
        <v/>
      </c>
      <c r="D67" s="19" t="n">
        <v>666</v>
      </c>
      <c r="E67" s="18" t="n">
        <v>50.58741812</v>
      </c>
      <c r="F67" s="20" t="n">
        <v>2.13669112</v>
      </c>
      <c r="G67" s="18" t="n">
        <v>45.9630792</v>
      </c>
      <c r="H67" s="20" t="n">
        <v>2.13300683</v>
      </c>
      <c r="I67" s="18" t="n">
        <v>0</v>
      </c>
      <c r="J67" s="20" t="n">
        <v>0</v>
      </c>
      <c r="K67" s="18" t="n">
        <v>1.95110236</v>
      </c>
      <c r="L67" s="20" t="n">
        <v>0.52690266</v>
      </c>
      <c r="M67" s="18" t="n">
        <v>0</v>
      </c>
      <c r="N67" s="20" t="n">
        <v>0</v>
      </c>
      <c r="O67" s="18" t="n">
        <v>0</v>
      </c>
      <c r="P67" s="20" t="n">
        <v>0</v>
      </c>
      <c r="Q67" s="18" t="n">
        <v>1.49840032</v>
      </c>
      <c r="R67" s="20" t="n">
        <v>0.46883687</v>
      </c>
    </row>
    <row r="68" spans="1:18">
      <c r="A68" s="15" t="s">
        <v>492</v>
      </c>
      <c r="B68" s="17" t="n">
        <v>6971</v>
      </c>
      <c r="C68" s="18">
        <f>(6286.0/B68*100)</f>
        <v/>
      </c>
      <c r="D68" s="19" t="n">
        <v>685</v>
      </c>
      <c r="E68" s="18" t="n">
        <v>69.99449029</v>
      </c>
      <c r="F68" s="20" t="n">
        <v>1.58122862</v>
      </c>
      <c r="G68" s="18" t="n">
        <v>29.47245308</v>
      </c>
      <c r="H68" s="20" t="n">
        <v>1.48342158</v>
      </c>
      <c r="I68" s="18" t="n">
        <v>0</v>
      </c>
      <c r="J68" s="20" t="n">
        <v>0</v>
      </c>
      <c r="K68" s="18" t="n">
        <v>0.39986369</v>
      </c>
      <c r="L68" s="20" t="n">
        <v>0.23175166</v>
      </c>
      <c r="M68" s="18" t="n">
        <v>0</v>
      </c>
      <c r="N68" s="20" t="n">
        <v>0</v>
      </c>
      <c r="O68" s="18" t="n">
        <v>0</v>
      </c>
      <c r="P68" s="20" t="n">
        <v>0</v>
      </c>
      <c r="Q68" s="18" t="n">
        <v>0.13319294</v>
      </c>
      <c r="R68" s="20" t="n">
        <v>0.13208679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(10072.0/B70*100)</f>
        <v/>
      </c>
      <c r="D70" s="19" t="n">
        <v>2011</v>
      </c>
      <c r="E70" s="18" t="n">
        <v>57.06591047</v>
      </c>
      <c r="F70" s="20" t="n">
        <v>1.05935808</v>
      </c>
      <c r="G70" s="18" t="n">
        <v>37.5230896</v>
      </c>
      <c r="H70" s="20" t="n">
        <v>1.0705855</v>
      </c>
      <c r="I70" s="18" t="n">
        <v>0</v>
      </c>
      <c r="J70" s="20" t="n">
        <v>0</v>
      </c>
      <c r="K70" s="18" t="n">
        <v>4.4598596</v>
      </c>
      <c r="L70" s="20" t="n">
        <v>0.46391818</v>
      </c>
      <c r="M70" s="18" t="n">
        <v>0</v>
      </c>
      <c r="N70" s="20" t="n">
        <v>0</v>
      </c>
      <c r="O70" s="18" t="n">
        <v>0</v>
      </c>
      <c r="P70" s="20" t="n">
        <v>0</v>
      </c>
      <c r="Q70" s="18" t="n">
        <v>0.95114033</v>
      </c>
      <c r="R70" s="20" t="n">
        <v>0.21454896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(5353.0/B72*100)</f>
        <v/>
      </c>
      <c r="D72" s="19" t="n">
        <v>683</v>
      </c>
      <c r="E72" s="18" t="n">
        <v>61.99802452</v>
      </c>
      <c r="F72" s="20" t="n">
        <v>1.76729274</v>
      </c>
      <c r="G72" s="18" t="n">
        <v>36.91948264</v>
      </c>
      <c r="H72" s="20" t="n">
        <v>1.75500293</v>
      </c>
      <c r="I72" s="18" t="n">
        <v>0</v>
      </c>
      <c r="J72" s="20" t="n">
        <v>0</v>
      </c>
      <c r="K72" s="18" t="n">
        <v>0.99022161</v>
      </c>
      <c r="L72" s="20" t="n">
        <v>0.49499087</v>
      </c>
      <c r="M72" s="18" t="n">
        <v>0</v>
      </c>
      <c r="N72" s="20" t="n">
        <v>0</v>
      </c>
      <c r="O72" s="18" t="n">
        <v>0</v>
      </c>
      <c r="P72" s="20" t="n">
        <v>0</v>
      </c>
      <c r="Q72" s="18" t="n">
        <v>0.09227122</v>
      </c>
      <c r="R72" s="20" t="n">
        <v>0.09213427</v>
      </c>
    </row>
    <row r="73" spans="1:18">
      <c r="A73" s="15" t="s">
        <v>497</v>
      </c>
      <c r="B73" s="17" t="n">
        <v>6115</v>
      </c>
      <c r="C73" s="18">
        <f>(5382.0/B73*100)</f>
        <v/>
      </c>
      <c r="D73" s="19" t="n">
        <v>733</v>
      </c>
      <c r="E73" s="18" t="n">
        <v>51.64439232</v>
      </c>
      <c r="F73" s="20" t="n">
        <v>1.87403947</v>
      </c>
      <c r="G73" s="18" t="n">
        <v>48.09688348</v>
      </c>
      <c r="H73" s="20" t="n">
        <v>1.88620161</v>
      </c>
      <c r="I73" s="18" t="n">
        <v>0</v>
      </c>
      <c r="J73" s="20" t="n">
        <v>0</v>
      </c>
      <c r="K73" s="18" t="n">
        <v>0.12380068</v>
      </c>
      <c r="L73" s="20" t="n">
        <v>0.12382278</v>
      </c>
      <c r="M73" s="18" t="n">
        <v>0</v>
      </c>
      <c r="N73" s="20" t="n">
        <v>0</v>
      </c>
      <c r="O73" s="18" t="n">
        <v>0</v>
      </c>
      <c r="P73" s="20" t="n">
        <v>0</v>
      </c>
      <c r="Q73" s="18" t="n">
        <v>0.13492353</v>
      </c>
      <c r="R73" s="20" t="n">
        <v>0.13547429</v>
      </c>
    </row>
    <row r="74" spans="1:18">
      <c r="A74" s="15" t="s">
        <v>498</v>
      </c>
      <c r="B74" s="17" t="n">
        <v>7708</v>
      </c>
      <c r="C74" s="18">
        <f>(6759.0/B74*100)</f>
        <v/>
      </c>
      <c r="D74" s="19" t="n">
        <v>949</v>
      </c>
      <c r="E74" s="18" t="n">
        <v>56.57928654</v>
      </c>
      <c r="F74" s="20" t="n">
        <v>1.56430774</v>
      </c>
      <c r="G74" s="18" t="n">
        <v>43.13086086</v>
      </c>
      <c r="H74" s="20" t="n">
        <v>1.59349866</v>
      </c>
      <c r="I74" s="18" t="n">
        <v>0</v>
      </c>
      <c r="J74" s="20" t="n">
        <v>0</v>
      </c>
      <c r="K74" s="18" t="n">
        <v>0.07285108</v>
      </c>
      <c r="L74" s="20" t="n">
        <v>0.07485865999999999</v>
      </c>
      <c r="M74" s="18" t="n">
        <v>0</v>
      </c>
      <c r="N74" s="20" t="n">
        <v>0</v>
      </c>
      <c r="O74" s="18" t="n">
        <v>0</v>
      </c>
      <c r="P74" s="20" t="n">
        <v>0</v>
      </c>
      <c r="Q74" s="18" t="n">
        <v>0.21700152</v>
      </c>
      <c r="R74" s="20" t="n">
        <v>0.16038341</v>
      </c>
    </row>
    <row r="75" spans="1:18">
      <c r="A75" s="15" t="s">
        <v>499</v>
      </c>
      <c r="B75" s="17" t="n">
        <v>8249</v>
      </c>
      <c r="C75" s="18">
        <f>(7310.0/B75*100)</f>
        <v/>
      </c>
      <c r="D75" s="19" t="n">
        <v>939</v>
      </c>
      <c r="E75" s="18" t="n">
        <v>63.39828122</v>
      </c>
      <c r="F75" s="20" t="n">
        <v>1.96656552</v>
      </c>
      <c r="G75" s="18" t="n">
        <v>36.02062792</v>
      </c>
      <c r="H75" s="20" t="n">
        <v>1.95193795</v>
      </c>
      <c r="I75" s="18" t="n">
        <v>0</v>
      </c>
      <c r="J75" s="20" t="n">
        <v>0</v>
      </c>
      <c r="K75" s="18" t="n">
        <v>0.15589758</v>
      </c>
      <c r="L75" s="20" t="n">
        <v>0.10719416</v>
      </c>
      <c r="M75" s="18" t="n">
        <v>0</v>
      </c>
      <c r="N75" s="20" t="n">
        <v>0</v>
      </c>
      <c r="O75" s="18" t="n">
        <v>0</v>
      </c>
      <c r="P75" s="20" t="n">
        <v>0</v>
      </c>
      <c r="Q75" s="18" t="n">
        <v>0.42519328</v>
      </c>
      <c r="R75" s="20" t="n">
        <v>0.26353698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(4820.0/B77*100)</f>
        <v/>
      </c>
      <c r="D77" s="19" t="n">
        <v>555</v>
      </c>
      <c r="E77" s="18" t="n">
        <v>61.31598391</v>
      </c>
      <c r="F77" s="20" t="n">
        <v>2.24088705</v>
      </c>
      <c r="G77" s="18" t="n">
        <v>30.37499333</v>
      </c>
      <c r="H77" s="20" t="n">
        <v>1.95892504</v>
      </c>
      <c r="I77" s="18" t="n">
        <v>0</v>
      </c>
      <c r="J77" s="20" t="n">
        <v>0</v>
      </c>
      <c r="K77" s="18" t="n">
        <v>7.39833591</v>
      </c>
      <c r="L77" s="20" t="n">
        <v>1.27585991</v>
      </c>
      <c r="M77" s="18" t="n">
        <v>0</v>
      </c>
      <c r="N77" s="20" t="n">
        <v>0</v>
      </c>
      <c r="O77" s="18" t="n">
        <v>0</v>
      </c>
      <c r="P77" s="20" t="n">
        <v>0</v>
      </c>
      <c r="Q77" s="18" t="n">
        <v>0.91068685</v>
      </c>
      <c r="R77" s="20" t="n">
        <v>0.39727236</v>
      </c>
    </row>
    <row r="78" spans="1:18">
      <c r="A78" s="15" t="s">
        <v>502</v>
      </c>
      <c r="B78" s="17" t="n">
        <v>14167</v>
      </c>
      <c r="C78" s="18">
        <f>(12498.0/B78*100)</f>
        <v/>
      </c>
      <c r="D78" s="19" t="n">
        <v>1669</v>
      </c>
      <c r="E78" s="18" t="n">
        <v>59.13814602</v>
      </c>
      <c r="F78" s="20" t="n">
        <v>1.82212368</v>
      </c>
      <c r="G78" s="18" t="n">
        <v>38.39436798</v>
      </c>
      <c r="H78" s="20" t="n">
        <v>1.86327742</v>
      </c>
      <c r="I78" s="18" t="n">
        <v>0</v>
      </c>
      <c r="J78" s="20" t="n">
        <v>0</v>
      </c>
      <c r="K78" s="18" t="n">
        <v>1.59951636</v>
      </c>
      <c r="L78" s="20" t="n">
        <v>0.40072478</v>
      </c>
      <c r="M78" s="18" t="n">
        <v>0</v>
      </c>
      <c r="N78" s="20" t="n">
        <v>0</v>
      </c>
      <c r="O78" s="18" t="n">
        <v>0</v>
      </c>
      <c r="P78" s="20" t="n">
        <v>0</v>
      </c>
      <c r="Q78" s="18" t="n">
        <v>0.86796964</v>
      </c>
      <c r="R78" s="20" t="n">
        <v>0.25720161</v>
      </c>
    </row>
    <row r="79" spans="1:18">
      <c r="A79" s="15" t="s">
        <v>503</v>
      </c>
      <c r="B79" s="17" t="n">
        <v>6062</v>
      </c>
      <c r="C79" s="18">
        <f>(5375.0/B79*100)</f>
        <v/>
      </c>
      <c r="D79" s="19" t="n">
        <v>687</v>
      </c>
      <c r="E79" s="18" t="n">
        <v>67.67779888</v>
      </c>
      <c r="F79" s="20" t="n">
        <v>1.57468816</v>
      </c>
      <c r="G79" s="18" t="n">
        <v>28.60251295</v>
      </c>
      <c r="H79" s="20" t="n">
        <v>1.46451922</v>
      </c>
      <c r="I79" s="18" t="n">
        <v>0</v>
      </c>
      <c r="J79" s="20" t="n">
        <v>0</v>
      </c>
      <c r="K79" s="18" t="n">
        <v>3.07331794</v>
      </c>
      <c r="L79" s="20" t="n">
        <v>0.67557978</v>
      </c>
      <c r="M79" s="18" t="n">
        <v>0</v>
      </c>
      <c r="N79" s="20" t="n">
        <v>0</v>
      </c>
      <c r="O79" s="18" t="n">
        <v>0</v>
      </c>
      <c r="P79" s="20" t="n">
        <v>0</v>
      </c>
      <c r="Q79" s="18" t="n">
        <v>0.64637023</v>
      </c>
      <c r="R79" s="20" t="n">
        <v>0.34404328</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(28445.0/B82*100)</f>
        <v/>
      </c>
      <c r="D82" s="19" t="n">
        <v>3885</v>
      </c>
      <c r="E82" s="18" t="n">
        <v>50.78507463</v>
      </c>
      <c r="F82" s="20" t="n">
        <v>1.24798921</v>
      </c>
      <c r="G82" s="18" t="n">
        <v>48.23736356</v>
      </c>
      <c r="H82" s="20" t="n">
        <v>1.25099761</v>
      </c>
      <c r="I82" s="18" t="n">
        <v>0</v>
      </c>
      <c r="J82" s="20" t="n">
        <v>0</v>
      </c>
      <c r="K82" s="18" t="n">
        <v>0.76877668</v>
      </c>
      <c r="L82" s="20" t="n">
        <v>0.18374892</v>
      </c>
      <c r="M82" s="18" t="n">
        <v>0</v>
      </c>
      <c r="N82" s="20" t="n">
        <v>0</v>
      </c>
      <c r="O82" s="18" t="n">
        <v>0</v>
      </c>
      <c r="P82" s="20" t="n">
        <v>0</v>
      </c>
      <c r="Q82" s="18" t="n">
        <v>0.20878514</v>
      </c>
      <c r="R82" s="20" t="n">
        <v>0.12024269</v>
      </c>
    </row>
    <row r="83" spans="1:18">
      <c r="A83" s="15" t="s">
        <v>507</v>
      </c>
      <c r="B83" s="17" t="n">
        <v>1652</v>
      </c>
      <c r="C83" s="18">
        <f>(1463.0/B83*100)</f>
        <v/>
      </c>
      <c r="D83" s="19" t="n">
        <v>189</v>
      </c>
      <c r="E83" s="18" t="n">
        <v>43.59490465</v>
      </c>
      <c r="F83" s="20" t="n">
        <v>3.50246489</v>
      </c>
      <c r="G83" s="18" t="n">
        <v>55.91717763</v>
      </c>
      <c r="H83" s="20" t="n">
        <v>3.50453292</v>
      </c>
      <c r="I83" s="18" t="n">
        <v>0</v>
      </c>
      <c r="J83" s="20" t="n">
        <v>0</v>
      </c>
      <c r="K83" s="18" t="n">
        <v>0</v>
      </c>
      <c r="L83" s="20" t="n">
        <v>0</v>
      </c>
      <c r="M83" s="18" t="n">
        <v>0</v>
      </c>
      <c r="N83" s="20" t="n">
        <v>0</v>
      </c>
      <c r="O83" s="18" t="n">
        <v>0</v>
      </c>
      <c r="P83" s="20" t="n">
        <v>0</v>
      </c>
      <c r="Q83" s="18" t="n">
        <v>0.48791771</v>
      </c>
      <c r="R83" s="20" t="n">
        <v>0.49140389</v>
      </c>
    </row>
    <row r="84" spans="1:18">
      <c r="A84" s="23" t="s">
        <v>508</v>
      </c>
      <c r="B84" s="24" t="n">
        <v>1887</v>
      </c>
      <c r="C84" s="25">
        <f>(1665.0/B84*100)</f>
        <v/>
      </c>
      <c r="D84" s="19" t="n">
        <v>222</v>
      </c>
      <c r="E84" s="18" t="n">
        <v>45.26391108</v>
      </c>
      <c r="F84" s="20" t="n">
        <v>2.65546898</v>
      </c>
      <c r="G84" s="18" t="n">
        <v>53.59092748</v>
      </c>
      <c r="H84" s="20" t="n">
        <v>2.72056074</v>
      </c>
      <c r="I84" s="18" t="n">
        <v>0</v>
      </c>
      <c r="J84" s="20" t="n">
        <v>0</v>
      </c>
      <c r="K84" s="18" t="n">
        <v>0.44074881</v>
      </c>
      <c r="L84" s="20" t="n">
        <v>0.44905242</v>
      </c>
      <c r="M84" s="18" t="n">
        <v>0</v>
      </c>
      <c r="N84" s="20" t="n">
        <v>0</v>
      </c>
      <c r="O84" s="18" t="n">
        <v>0</v>
      </c>
      <c r="P84" s="20" t="n">
        <v>0</v>
      </c>
      <c r="Q84" s="18" t="n">
        <v>0.70441264</v>
      </c>
      <c r="R84" s="20" t="n">
        <v>0.51790982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(12831.0/B7*100)</f>
        <v/>
      </c>
      <c r="D7" s="19" t="n">
        <v>1699</v>
      </c>
      <c r="E7" s="18" t="n">
        <v>65.96628371</v>
      </c>
      <c r="F7" s="20" t="n">
        <v>1.38521785</v>
      </c>
      <c r="G7" s="18" t="n">
        <v>16.95061379</v>
      </c>
      <c r="H7" s="20" t="n">
        <v>1.1499009</v>
      </c>
      <c r="I7" s="18" t="n">
        <v>0</v>
      </c>
      <c r="J7" s="20" t="n">
        <v>0</v>
      </c>
      <c r="K7" s="18" t="n">
        <v>2.67011421</v>
      </c>
      <c r="L7" s="20" t="n">
        <v>0.430461</v>
      </c>
      <c r="M7" s="18" t="n">
        <v>0.11032925</v>
      </c>
      <c r="N7" s="20" t="n">
        <v>0.1038099</v>
      </c>
      <c r="O7" s="18" t="n">
        <v>0</v>
      </c>
      <c r="P7" s="20" t="n">
        <v>0</v>
      </c>
      <c r="Q7" s="18" t="n">
        <v>14.30265905</v>
      </c>
      <c r="R7" s="20" t="n">
        <v>1.10218105</v>
      </c>
    </row>
    <row r="8" spans="1:18">
      <c r="A8" s="15" t="s">
        <v>430</v>
      </c>
      <c r="B8" s="17" t="n">
        <v>7007</v>
      </c>
      <c r="C8" s="18">
        <f>(6174.0/B8*100)</f>
        <v/>
      </c>
      <c r="D8" s="19" t="n">
        <v>833</v>
      </c>
      <c r="E8" s="18" t="n">
        <v>63.09461321</v>
      </c>
      <c r="F8" s="20" t="n">
        <v>1.7151617</v>
      </c>
      <c r="G8" s="18" t="n">
        <v>14.24585113</v>
      </c>
      <c r="H8" s="20" t="n">
        <v>1.41784034</v>
      </c>
      <c r="I8" s="18" t="n">
        <v>0</v>
      </c>
      <c r="J8" s="20" t="n">
        <v>0</v>
      </c>
      <c r="K8" s="18" t="n">
        <v>1.83845869</v>
      </c>
      <c r="L8" s="20" t="n">
        <v>0.66272619</v>
      </c>
      <c r="M8" s="18" t="n">
        <v>0</v>
      </c>
      <c r="N8" s="20" t="n">
        <v>0</v>
      </c>
      <c r="O8" s="18" t="n">
        <v>0</v>
      </c>
      <c r="P8" s="20" t="n">
        <v>0</v>
      </c>
      <c r="Q8" s="18" t="n">
        <v>20.82107697</v>
      </c>
      <c r="R8" s="20" t="n">
        <v>1.4704914</v>
      </c>
    </row>
    <row r="9" spans="1:18">
      <c r="A9" s="15" t="s">
        <v>431</v>
      </c>
      <c r="B9" s="17" t="n">
        <v>9651</v>
      </c>
      <c r="C9" s="18">
        <f>(8549.0/B9*100)</f>
        <v/>
      </c>
      <c r="D9" s="19" t="n">
        <v>1102</v>
      </c>
      <c r="E9" s="18" t="n">
        <v>63.41758764</v>
      </c>
      <c r="F9" s="20" t="n">
        <v>1.30434773</v>
      </c>
      <c r="G9" s="18" t="n">
        <v>17.45015943</v>
      </c>
      <c r="H9" s="20" t="n">
        <v>1.07692657</v>
      </c>
      <c r="I9" s="18" t="n">
        <v>0</v>
      </c>
      <c r="J9" s="20" t="n">
        <v>0</v>
      </c>
      <c r="K9" s="18" t="n">
        <v>1.96025039</v>
      </c>
      <c r="L9" s="20" t="n">
        <v>0.41701167</v>
      </c>
      <c r="M9" s="18" t="n">
        <v>0</v>
      </c>
      <c r="N9" s="20" t="n">
        <v>0</v>
      </c>
      <c r="O9" s="18" t="n">
        <v>0</v>
      </c>
      <c r="P9" s="20" t="n">
        <v>0</v>
      </c>
      <c r="Q9" s="18" t="n">
        <v>17.17200254</v>
      </c>
      <c r="R9" s="20" t="n">
        <v>1.17682003</v>
      </c>
    </row>
    <row r="10" spans="1:18">
      <c r="A10" s="15" t="s">
        <v>432</v>
      </c>
      <c r="B10" s="17" t="n">
        <v>20058</v>
      </c>
      <c r="C10" s="18">
        <f>(17642.0/B10*100)</f>
        <v/>
      </c>
      <c r="D10" s="19" t="n">
        <v>2416</v>
      </c>
      <c r="E10" s="18" t="n">
        <v>71.88167901</v>
      </c>
      <c r="F10" s="20" t="n">
        <v>1.17014445</v>
      </c>
      <c r="G10" s="18" t="n">
        <v>18.45908137</v>
      </c>
      <c r="H10" s="20" t="n">
        <v>1.03622299</v>
      </c>
      <c r="I10" s="18" t="n">
        <v>0</v>
      </c>
      <c r="J10" s="20" t="n">
        <v>0</v>
      </c>
      <c r="K10" s="18" t="n">
        <v>1.32578996</v>
      </c>
      <c r="L10" s="20" t="n">
        <v>0.3002383</v>
      </c>
      <c r="M10" s="18" t="n">
        <v>0</v>
      </c>
      <c r="N10" s="20" t="n">
        <v>0</v>
      </c>
      <c r="O10" s="18" t="n">
        <v>0</v>
      </c>
      <c r="P10" s="20" t="n">
        <v>0</v>
      </c>
      <c r="Q10" s="18" t="n">
        <v>8.333449659999999</v>
      </c>
      <c r="R10" s="20" t="n">
        <v>0.68709745</v>
      </c>
    </row>
    <row r="11" spans="1:18">
      <c r="A11" s="15" t="s">
        <v>433</v>
      </c>
      <c r="B11" s="17" t="n">
        <v>7053</v>
      </c>
      <c r="C11" s="18">
        <f>(6251.0/B11*100)</f>
        <v/>
      </c>
      <c r="D11" s="19" t="n">
        <v>802</v>
      </c>
      <c r="E11" s="18" t="n">
        <v>65.14197435</v>
      </c>
      <c r="F11" s="20" t="n">
        <v>1.98663106</v>
      </c>
      <c r="G11" s="18" t="n">
        <v>9.63877512</v>
      </c>
      <c r="H11" s="20" t="n">
        <v>1.22732846</v>
      </c>
      <c r="I11" s="18" t="n">
        <v>0</v>
      </c>
      <c r="J11" s="20" t="n">
        <v>0</v>
      </c>
      <c r="K11" s="18" t="n">
        <v>3.428615</v>
      </c>
      <c r="L11" s="20" t="n">
        <v>0.74029723</v>
      </c>
      <c r="M11" s="18" t="n">
        <v>0.12097335</v>
      </c>
      <c r="N11" s="20" t="n">
        <v>0.10971397</v>
      </c>
      <c r="O11" s="18" t="n">
        <v>0</v>
      </c>
      <c r="P11" s="20" t="n">
        <v>0</v>
      </c>
      <c r="Q11" s="18" t="n">
        <v>21.66966218</v>
      </c>
      <c r="R11" s="20" t="n">
        <v>1.71945143</v>
      </c>
    </row>
    <row r="12" spans="1:18">
      <c r="A12" s="15" t="s">
        <v>434</v>
      </c>
      <c r="B12" s="17" t="n">
        <v>6894</v>
      </c>
      <c r="C12" s="18">
        <f>(6070.0/B12*100)</f>
        <v/>
      </c>
      <c r="D12" s="19" t="n">
        <v>824</v>
      </c>
      <c r="E12" s="18" t="n">
        <v>54.22792829</v>
      </c>
      <c r="F12" s="20" t="n">
        <v>2.16543106</v>
      </c>
      <c r="G12" s="18" t="n">
        <v>20.69900895</v>
      </c>
      <c r="H12" s="20" t="n">
        <v>1.55871646</v>
      </c>
      <c r="I12" s="18" t="n">
        <v>0</v>
      </c>
      <c r="J12" s="20" t="n">
        <v>0</v>
      </c>
      <c r="K12" s="18" t="n">
        <v>1.21601859</v>
      </c>
      <c r="L12" s="20" t="n">
        <v>0.52094216</v>
      </c>
      <c r="M12" s="18" t="n">
        <v>0</v>
      </c>
      <c r="N12" s="20" t="n">
        <v>0</v>
      </c>
      <c r="O12" s="18" t="n">
        <v>0</v>
      </c>
      <c r="P12" s="20" t="n">
        <v>0</v>
      </c>
      <c r="Q12" s="18" t="n">
        <v>23.85704417</v>
      </c>
      <c r="R12" s="20" t="n">
        <v>1.79140865</v>
      </c>
    </row>
    <row r="13" spans="1:18">
      <c r="A13" s="15" t="s">
        <v>435</v>
      </c>
      <c r="B13" s="17" t="n">
        <v>7161</v>
      </c>
      <c r="C13" s="18">
        <f>(6324.0/B13*100)</f>
        <v/>
      </c>
      <c r="D13" s="19" t="n">
        <v>837</v>
      </c>
      <c r="E13" s="18" t="n">
        <v>70.83587236</v>
      </c>
      <c r="F13" s="20" t="n">
        <v>1.92781821</v>
      </c>
      <c r="G13" s="18" t="n">
        <v>15.94633497</v>
      </c>
      <c r="H13" s="20" t="n">
        <v>1.57080654</v>
      </c>
      <c r="I13" s="18" t="n">
        <v>0</v>
      </c>
      <c r="J13" s="20" t="n">
        <v>0</v>
      </c>
      <c r="K13" s="18" t="n">
        <v>0.5017776900000001</v>
      </c>
      <c r="L13" s="20" t="n">
        <v>0.29048163</v>
      </c>
      <c r="M13" s="18" t="n">
        <v>0.03626267</v>
      </c>
      <c r="N13" s="20" t="n">
        <v>0.03643591</v>
      </c>
      <c r="O13" s="18" t="n">
        <v>0</v>
      </c>
      <c r="P13" s="20" t="n">
        <v>0</v>
      </c>
      <c r="Q13" s="18" t="n">
        <v>12.67975231</v>
      </c>
      <c r="R13" s="20" t="n">
        <v>1.24047315</v>
      </c>
    </row>
    <row r="14" spans="1:18">
      <c r="A14" s="15" t="s">
        <v>436</v>
      </c>
      <c r="B14" s="17" t="n">
        <v>5587</v>
      </c>
      <c r="C14" s="18">
        <f>(4905.0/B14*100)</f>
        <v/>
      </c>
      <c r="D14" s="19" t="n">
        <v>682</v>
      </c>
      <c r="E14" s="18" t="n">
        <v>70.53347399</v>
      </c>
      <c r="F14" s="20" t="n">
        <v>1.91171613</v>
      </c>
      <c r="G14" s="18" t="n">
        <v>17.77877081</v>
      </c>
      <c r="H14" s="20" t="n">
        <v>1.53448984</v>
      </c>
      <c r="I14" s="18" t="n">
        <v>0</v>
      </c>
      <c r="J14" s="20" t="n">
        <v>0</v>
      </c>
      <c r="K14" s="18" t="n">
        <v>0.92938885</v>
      </c>
      <c r="L14" s="20" t="n">
        <v>0.3010115</v>
      </c>
      <c r="M14" s="18" t="n">
        <v>0</v>
      </c>
      <c r="N14" s="20" t="n">
        <v>0</v>
      </c>
      <c r="O14" s="18" t="n">
        <v>0</v>
      </c>
      <c r="P14" s="20" t="n">
        <v>0</v>
      </c>
      <c r="Q14" s="18" t="n">
        <v>10.75836634</v>
      </c>
      <c r="R14" s="20" t="n">
        <v>1.21184833</v>
      </c>
    </row>
    <row r="15" spans="1:18">
      <c r="A15" s="15" t="s">
        <v>437</v>
      </c>
      <c r="B15" s="17" t="n">
        <v>5882</v>
      </c>
      <c r="C15" s="18">
        <f>(5173.0/B15*100)</f>
        <v/>
      </c>
      <c r="D15" s="19" t="n">
        <v>709</v>
      </c>
      <c r="E15" s="18" t="n">
        <v>70.05374761</v>
      </c>
      <c r="F15" s="20" t="n">
        <v>1.8401289</v>
      </c>
      <c r="G15" s="18" t="n">
        <v>14.04229105</v>
      </c>
      <c r="H15" s="20" t="n">
        <v>1.171168</v>
      </c>
      <c r="I15" s="18" t="n">
        <v>0</v>
      </c>
      <c r="J15" s="20" t="n">
        <v>0</v>
      </c>
      <c r="K15" s="18" t="n">
        <v>0.6897907599999999</v>
      </c>
      <c r="L15" s="20" t="n">
        <v>0.34935459</v>
      </c>
      <c r="M15" s="18" t="n">
        <v>0</v>
      </c>
      <c r="N15" s="20" t="n">
        <v>0</v>
      </c>
      <c r="O15" s="18" t="n">
        <v>0</v>
      </c>
      <c r="P15" s="20" t="n">
        <v>0</v>
      </c>
      <c r="Q15" s="18" t="n">
        <v>15.21417058</v>
      </c>
      <c r="R15" s="20" t="n">
        <v>1.29173604</v>
      </c>
    </row>
    <row r="16" spans="1:18">
      <c r="A16" s="15" t="s">
        <v>438</v>
      </c>
      <c r="B16" s="17" t="n">
        <v>6108</v>
      </c>
      <c r="C16" s="18">
        <f>(5388.0/B16*100)</f>
        <v/>
      </c>
      <c r="D16" s="19" t="n">
        <v>720</v>
      </c>
      <c r="E16" s="18" t="n">
        <v>54.20165824</v>
      </c>
      <c r="F16" s="20" t="n">
        <v>2.00181723</v>
      </c>
      <c r="G16" s="18" t="n">
        <v>17.31791549</v>
      </c>
      <c r="H16" s="20" t="n">
        <v>1.25845487</v>
      </c>
      <c r="I16" s="18" t="n">
        <v>0</v>
      </c>
      <c r="J16" s="20" t="n">
        <v>0</v>
      </c>
      <c r="K16" s="18" t="n">
        <v>3.15218502</v>
      </c>
      <c r="L16" s="20" t="n">
        <v>0.7533163899999999</v>
      </c>
      <c r="M16" s="18" t="n">
        <v>0</v>
      </c>
      <c r="N16" s="20" t="n">
        <v>0</v>
      </c>
      <c r="O16" s="18" t="n">
        <v>0</v>
      </c>
      <c r="P16" s="20" t="n">
        <v>0</v>
      </c>
      <c r="Q16" s="18" t="n">
        <v>25.32824125</v>
      </c>
      <c r="R16" s="20" t="n">
        <v>1.79007673</v>
      </c>
    </row>
    <row r="17" spans="1:18">
      <c r="A17" s="15" t="s">
        <v>439</v>
      </c>
      <c r="B17" s="17" t="n">
        <v>6504</v>
      </c>
      <c r="C17" s="18">
        <f>(5749.0/B17*100)</f>
        <v/>
      </c>
      <c r="D17" s="19" t="n">
        <v>755</v>
      </c>
      <c r="E17" s="18" t="n">
        <v>64.34286865999999</v>
      </c>
      <c r="F17" s="20" t="n">
        <v>1.52840734</v>
      </c>
      <c r="G17" s="18" t="n">
        <v>10.90823184</v>
      </c>
      <c r="H17" s="20" t="n">
        <v>1.04209279</v>
      </c>
      <c r="I17" s="18" t="n">
        <v>0</v>
      </c>
      <c r="J17" s="20" t="n">
        <v>0</v>
      </c>
      <c r="K17" s="18" t="n">
        <v>2.32201461</v>
      </c>
      <c r="L17" s="20" t="n">
        <v>0.5838834000000001</v>
      </c>
      <c r="M17" s="18" t="n">
        <v>0</v>
      </c>
      <c r="N17" s="20" t="n">
        <v>0</v>
      </c>
      <c r="O17" s="18" t="n">
        <v>0</v>
      </c>
      <c r="P17" s="20" t="n">
        <v>0</v>
      </c>
      <c r="Q17" s="18" t="n">
        <v>22.42688488</v>
      </c>
      <c r="R17" s="20" t="n">
        <v>1.73149131</v>
      </c>
    </row>
    <row r="18" spans="1:18">
      <c r="A18" s="15" t="s">
        <v>440</v>
      </c>
      <c r="B18" s="17" t="n">
        <v>5532</v>
      </c>
      <c r="C18" s="18">
        <f>(4861.0/B18*100)</f>
        <v/>
      </c>
      <c r="D18" s="19" t="n">
        <v>671</v>
      </c>
      <c r="E18" s="18" t="n">
        <v>66.6758316</v>
      </c>
      <c r="F18" s="20" t="n">
        <v>1.82857622</v>
      </c>
      <c r="G18" s="18" t="n">
        <v>11.06262463</v>
      </c>
      <c r="H18" s="20" t="n">
        <v>1.23818846</v>
      </c>
      <c r="I18" s="18" t="n">
        <v>0</v>
      </c>
      <c r="J18" s="20" t="n">
        <v>0</v>
      </c>
      <c r="K18" s="18" t="n">
        <v>1.90551226</v>
      </c>
      <c r="L18" s="20" t="n">
        <v>0.5752112700000001</v>
      </c>
      <c r="M18" s="18" t="n">
        <v>0</v>
      </c>
      <c r="N18" s="20" t="n">
        <v>0</v>
      </c>
      <c r="O18" s="18" t="n">
        <v>0</v>
      </c>
      <c r="P18" s="20" t="n">
        <v>0</v>
      </c>
      <c r="Q18" s="18" t="n">
        <v>20.35603151</v>
      </c>
      <c r="R18" s="20" t="n">
        <v>1.80579691</v>
      </c>
    </row>
    <row r="19" spans="1:18">
      <c r="A19" s="15" t="s">
        <v>441</v>
      </c>
      <c r="B19" s="17" t="n">
        <v>5658</v>
      </c>
      <c r="C19" s="18">
        <f>(4975.0/B19*100)</f>
        <v/>
      </c>
      <c r="D19" s="19" t="n">
        <v>683</v>
      </c>
      <c r="E19" s="18" t="n">
        <v>51.41370954</v>
      </c>
      <c r="F19" s="20" t="n">
        <v>1.73009991</v>
      </c>
      <c r="G19" s="18" t="n">
        <v>22.04783521</v>
      </c>
      <c r="H19" s="20" t="n">
        <v>1.72025317</v>
      </c>
      <c r="I19" s="18" t="n">
        <v>0</v>
      </c>
      <c r="J19" s="20" t="n">
        <v>0</v>
      </c>
      <c r="K19" s="18" t="n">
        <v>1.32388415</v>
      </c>
      <c r="L19" s="20" t="n">
        <v>0.44496222</v>
      </c>
      <c r="M19" s="18" t="n">
        <v>0</v>
      </c>
      <c r="N19" s="20" t="n">
        <v>0</v>
      </c>
      <c r="O19" s="18" t="n">
        <v>0</v>
      </c>
      <c r="P19" s="20" t="n">
        <v>0</v>
      </c>
      <c r="Q19" s="18" t="n">
        <v>25.2145711</v>
      </c>
      <c r="R19" s="20" t="n">
        <v>1.41683811</v>
      </c>
    </row>
    <row r="20" spans="1:18">
      <c r="A20" s="15" t="s">
        <v>442</v>
      </c>
      <c r="B20" s="17" t="n">
        <v>3371</v>
      </c>
      <c r="C20" s="18">
        <f>(2985.0/B20*100)</f>
        <v/>
      </c>
      <c r="D20" s="19" t="n">
        <v>386</v>
      </c>
      <c r="E20" s="18" t="n">
        <v>63.02319919</v>
      </c>
      <c r="F20" s="20" t="n">
        <v>2.22621381</v>
      </c>
      <c r="G20" s="18" t="n">
        <v>19.10607837</v>
      </c>
      <c r="H20" s="20" t="n">
        <v>2.1240109</v>
      </c>
      <c r="I20" s="18" t="n">
        <v>0</v>
      </c>
      <c r="J20" s="20" t="n">
        <v>0</v>
      </c>
      <c r="K20" s="18" t="n">
        <v>2.10643498</v>
      </c>
      <c r="L20" s="20" t="n">
        <v>0.73029845</v>
      </c>
      <c r="M20" s="18" t="n">
        <v>0.39880943</v>
      </c>
      <c r="N20" s="20" t="n">
        <v>0.38239749</v>
      </c>
      <c r="O20" s="18" t="n">
        <v>0</v>
      </c>
      <c r="P20" s="20" t="n">
        <v>0</v>
      </c>
      <c r="Q20" s="18" t="n">
        <v>15.36547803</v>
      </c>
      <c r="R20" s="20" t="n">
        <v>1.83152059</v>
      </c>
    </row>
    <row r="21" spans="1:18">
      <c r="A21" s="15" t="s">
        <v>443</v>
      </c>
      <c r="B21" s="17" t="n">
        <v>5741</v>
      </c>
      <c r="C21" s="18">
        <f>(4807.0/B21*100)</f>
        <v/>
      </c>
      <c r="D21" s="19" t="n">
        <v>934</v>
      </c>
      <c r="E21" s="18" t="n">
        <v>73.50336039</v>
      </c>
      <c r="F21" s="20" t="n">
        <v>1.41835362</v>
      </c>
      <c r="G21" s="18" t="n">
        <v>15.3899668</v>
      </c>
      <c r="H21" s="20" t="n">
        <v>1.19930072</v>
      </c>
      <c r="I21" s="18" t="n">
        <v>0</v>
      </c>
      <c r="J21" s="20" t="n">
        <v>0</v>
      </c>
      <c r="K21" s="18" t="n">
        <v>1.28440407</v>
      </c>
      <c r="L21" s="20" t="n">
        <v>0.36443686</v>
      </c>
      <c r="M21" s="18" t="n">
        <v>0</v>
      </c>
      <c r="N21" s="20" t="n">
        <v>0</v>
      </c>
      <c r="O21" s="18" t="n">
        <v>0</v>
      </c>
      <c r="P21" s="20" t="n">
        <v>0</v>
      </c>
      <c r="Q21" s="18" t="n">
        <v>9.82226874</v>
      </c>
      <c r="R21" s="20" t="n">
        <v>1.03780121</v>
      </c>
    </row>
    <row r="22" spans="1:18">
      <c r="A22" s="15" t="s">
        <v>444</v>
      </c>
      <c r="B22" s="17" t="n">
        <v>6598</v>
      </c>
      <c r="C22" s="18">
        <f>(5893.0/B22*100)</f>
        <v/>
      </c>
      <c r="D22" s="19" t="n">
        <v>705</v>
      </c>
      <c r="E22" s="18" t="n">
        <v>50.25575237</v>
      </c>
      <c r="F22" s="20" t="n">
        <v>1.84350007</v>
      </c>
      <c r="G22" s="18" t="n">
        <v>29.17482186</v>
      </c>
      <c r="H22" s="20" t="n">
        <v>1.83995375</v>
      </c>
      <c r="I22" s="18" t="n">
        <v>0</v>
      </c>
      <c r="J22" s="20" t="n">
        <v>0</v>
      </c>
      <c r="K22" s="18" t="n">
        <v>2.08334947</v>
      </c>
      <c r="L22" s="20" t="n">
        <v>0.61031684</v>
      </c>
      <c r="M22" s="18" t="n">
        <v>0</v>
      </c>
      <c r="N22" s="20" t="n">
        <v>0</v>
      </c>
      <c r="O22" s="18" t="n">
        <v>0</v>
      </c>
      <c r="P22" s="20" t="n">
        <v>0</v>
      </c>
      <c r="Q22" s="18" t="n">
        <v>18.48607631</v>
      </c>
      <c r="R22" s="20" t="n">
        <v>1.70940455</v>
      </c>
    </row>
    <row r="23" spans="1:18">
      <c r="A23" s="15" t="s">
        <v>445</v>
      </c>
      <c r="B23" s="17" t="n">
        <v>11583</v>
      </c>
      <c r="C23" s="18">
        <f>(10177.0/B23*100)</f>
        <v/>
      </c>
      <c r="D23" s="19" t="n">
        <v>1406</v>
      </c>
      <c r="E23" s="18" t="n">
        <v>58.664351</v>
      </c>
      <c r="F23" s="20" t="n">
        <v>2.22360222</v>
      </c>
      <c r="G23" s="18" t="n">
        <v>13.99443289</v>
      </c>
      <c r="H23" s="20" t="n">
        <v>1.44864025</v>
      </c>
      <c r="I23" s="18" t="n">
        <v>0</v>
      </c>
      <c r="J23" s="20" t="n">
        <v>0</v>
      </c>
      <c r="K23" s="18" t="n">
        <v>1.8163095</v>
      </c>
      <c r="L23" s="20" t="n">
        <v>0.55432475</v>
      </c>
      <c r="M23" s="18" t="n">
        <v>0.67096322</v>
      </c>
      <c r="N23" s="20" t="n">
        <v>0.24038497</v>
      </c>
      <c r="O23" s="18" t="n">
        <v>0</v>
      </c>
      <c r="P23" s="20" t="n">
        <v>0</v>
      </c>
      <c r="Q23" s="18" t="n">
        <v>24.8539434</v>
      </c>
      <c r="R23" s="20" t="n">
        <v>1.83252271</v>
      </c>
    </row>
    <row r="24" spans="1:18">
      <c r="A24" s="15" t="s">
        <v>446</v>
      </c>
      <c r="B24" s="17" t="n">
        <v>6647</v>
      </c>
      <c r="C24" s="18">
        <f>(5888.0/B24*100)</f>
        <v/>
      </c>
      <c r="D24" s="19" t="n">
        <v>759</v>
      </c>
      <c r="E24" s="18" t="n">
        <v>44.93856721</v>
      </c>
      <c r="F24" s="20" t="n">
        <v>1.99426925</v>
      </c>
      <c r="G24" s="18" t="n">
        <v>28.78904645</v>
      </c>
      <c r="H24" s="20" t="n">
        <v>1.75464624</v>
      </c>
      <c r="I24" s="18" t="n">
        <v>0</v>
      </c>
      <c r="J24" s="20" t="n">
        <v>0</v>
      </c>
      <c r="K24" s="18" t="n">
        <v>2.41822501</v>
      </c>
      <c r="L24" s="20" t="n">
        <v>0.5527189</v>
      </c>
      <c r="M24" s="18" t="n">
        <v>0</v>
      </c>
      <c r="N24" s="20" t="n">
        <v>0</v>
      </c>
      <c r="O24" s="18" t="n">
        <v>0</v>
      </c>
      <c r="P24" s="20" t="n">
        <v>0</v>
      </c>
      <c r="Q24" s="18" t="n">
        <v>23.85416132</v>
      </c>
      <c r="R24" s="20" t="n">
        <v>1.80020346</v>
      </c>
    </row>
    <row r="25" spans="1:18">
      <c r="A25" s="15" t="s">
        <v>447</v>
      </c>
      <c r="B25" s="17" t="n">
        <v>5581</v>
      </c>
      <c r="C25" s="18">
        <f>(4907.0/B25*100)</f>
        <v/>
      </c>
      <c r="D25" s="19" t="n">
        <v>674</v>
      </c>
      <c r="E25" s="18" t="n">
        <v>63.89898918</v>
      </c>
      <c r="F25" s="20" t="n">
        <v>1.82078002</v>
      </c>
      <c r="G25" s="18" t="n">
        <v>15.93108886</v>
      </c>
      <c r="H25" s="20" t="n">
        <v>1.41101251</v>
      </c>
      <c r="I25" s="18" t="n">
        <v>0</v>
      </c>
      <c r="J25" s="20" t="n">
        <v>0</v>
      </c>
      <c r="K25" s="18" t="n">
        <v>0.7286893</v>
      </c>
      <c r="L25" s="20" t="n">
        <v>0.32768</v>
      </c>
      <c r="M25" s="18" t="n">
        <v>0</v>
      </c>
      <c r="N25" s="20" t="n">
        <v>0</v>
      </c>
      <c r="O25" s="18" t="n">
        <v>0</v>
      </c>
      <c r="P25" s="20" t="n">
        <v>0</v>
      </c>
      <c r="Q25" s="18" t="n">
        <v>19.44123266</v>
      </c>
      <c r="R25" s="20" t="n">
        <v>1.59465469</v>
      </c>
    </row>
    <row r="26" spans="1:18">
      <c r="A26" s="15" t="s">
        <v>448</v>
      </c>
      <c r="B26" s="17" t="n">
        <v>4869</v>
      </c>
      <c r="C26" s="18">
        <f>(4283.0/B26*100)</f>
        <v/>
      </c>
      <c r="D26" s="19" t="n">
        <v>586</v>
      </c>
      <c r="E26" s="18" t="n">
        <v>71.12158868</v>
      </c>
      <c r="F26" s="20" t="n">
        <v>2.26469499</v>
      </c>
      <c r="G26" s="18" t="n">
        <v>17.10010974</v>
      </c>
      <c r="H26" s="20" t="n">
        <v>1.71880711</v>
      </c>
      <c r="I26" s="18" t="n">
        <v>0</v>
      </c>
      <c r="J26" s="20" t="n">
        <v>0</v>
      </c>
      <c r="K26" s="18" t="n">
        <v>0.35813362</v>
      </c>
      <c r="L26" s="20" t="n">
        <v>0.25249377</v>
      </c>
      <c r="M26" s="18" t="n">
        <v>0.50270653</v>
      </c>
      <c r="N26" s="20" t="n">
        <v>0.37926412</v>
      </c>
      <c r="O26" s="18" t="n">
        <v>0</v>
      </c>
      <c r="P26" s="20" t="n">
        <v>0</v>
      </c>
      <c r="Q26" s="18" t="n">
        <v>10.91746143</v>
      </c>
      <c r="R26" s="20" t="n">
        <v>1.33134855</v>
      </c>
    </row>
    <row r="27" spans="1:18">
      <c r="A27" s="15" t="s">
        <v>449</v>
      </c>
      <c r="B27" s="17" t="n">
        <v>5299</v>
      </c>
      <c r="C27" s="18">
        <f>(4691.0/B27*100)</f>
        <v/>
      </c>
      <c r="D27" s="19" t="n">
        <v>608</v>
      </c>
      <c r="E27" s="18" t="n">
        <v>63.29291273</v>
      </c>
      <c r="F27" s="20" t="n">
        <v>1.91805584</v>
      </c>
      <c r="G27" s="18" t="n">
        <v>12.54560387</v>
      </c>
      <c r="H27" s="20" t="n">
        <v>1.31180723</v>
      </c>
      <c r="I27" s="18" t="n">
        <v>0</v>
      </c>
      <c r="J27" s="20" t="n">
        <v>0</v>
      </c>
      <c r="K27" s="18" t="n">
        <v>2.34818092</v>
      </c>
      <c r="L27" s="20" t="n">
        <v>0.67222685</v>
      </c>
      <c r="M27" s="18" t="n">
        <v>0</v>
      </c>
      <c r="N27" s="20" t="n">
        <v>0</v>
      </c>
      <c r="O27" s="18" t="n">
        <v>0</v>
      </c>
      <c r="P27" s="20" t="n">
        <v>0</v>
      </c>
      <c r="Q27" s="18" t="n">
        <v>21.81330248</v>
      </c>
      <c r="R27" s="20" t="n">
        <v>1.7261459</v>
      </c>
    </row>
    <row r="28" spans="1:18">
      <c r="A28" s="15" t="s">
        <v>450</v>
      </c>
      <c r="B28" s="17" t="n">
        <v>7568</v>
      </c>
      <c r="C28" s="18">
        <f>(6729.0/B28*100)</f>
        <v/>
      </c>
      <c r="D28" s="19" t="n">
        <v>839</v>
      </c>
      <c r="E28" s="18" t="n">
        <v>79.09137388000001</v>
      </c>
      <c r="F28" s="20" t="n">
        <v>1.4654752</v>
      </c>
      <c r="G28" s="18" t="n">
        <v>12.47701093</v>
      </c>
      <c r="H28" s="20" t="n">
        <v>1.25609796</v>
      </c>
      <c r="I28" s="18" t="n">
        <v>0</v>
      </c>
      <c r="J28" s="20" t="n">
        <v>0</v>
      </c>
      <c r="K28" s="18" t="n">
        <v>1.96567988</v>
      </c>
      <c r="L28" s="20" t="n">
        <v>0.54103564</v>
      </c>
      <c r="M28" s="18" t="n">
        <v>0</v>
      </c>
      <c r="N28" s="20" t="n">
        <v>0</v>
      </c>
      <c r="O28" s="18" t="n">
        <v>0</v>
      </c>
      <c r="P28" s="20" t="n">
        <v>0</v>
      </c>
      <c r="Q28" s="18" t="n">
        <v>6.46593531</v>
      </c>
      <c r="R28" s="20" t="n">
        <v>0.94306869</v>
      </c>
    </row>
    <row r="29" spans="1:18">
      <c r="A29" s="15" t="s">
        <v>451</v>
      </c>
      <c r="B29" s="17" t="n">
        <v>5385</v>
      </c>
      <c r="C29" s="18">
        <f>(4739.0/B29*100)</f>
        <v/>
      </c>
      <c r="D29" s="19" t="n">
        <v>646</v>
      </c>
      <c r="E29" s="18" t="n">
        <v>79.0261749</v>
      </c>
      <c r="F29" s="20" t="n">
        <v>1.66633334</v>
      </c>
      <c r="G29" s="18" t="n">
        <v>13.92192369</v>
      </c>
      <c r="H29" s="20" t="n">
        <v>1.52370294</v>
      </c>
      <c r="I29" s="18" t="n">
        <v>0</v>
      </c>
      <c r="J29" s="20" t="n">
        <v>0</v>
      </c>
      <c r="K29" s="18" t="n">
        <v>0.29994398</v>
      </c>
      <c r="L29" s="20" t="n">
        <v>0.26752859</v>
      </c>
      <c r="M29" s="18" t="n">
        <v>0</v>
      </c>
      <c r="N29" s="20" t="n">
        <v>0</v>
      </c>
      <c r="O29" s="18" t="n">
        <v>0</v>
      </c>
      <c r="P29" s="20" t="n">
        <v>0</v>
      </c>
      <c r="Q29" s="18" t="n">
        <v>6.75195743</v>
      </c>
      <c r="R29" s="20" t="n">
        <v>0.92172354</v>
      </c>
    </row>
    <row r="30" spans="1:18">
      <c r="A30" s="15" t="s">
        <v>452</v>
      </c>
      <c r="B30" s="17" t="n">
        <v>4520</v>
      </c>
      <c r="C30" s="18">
        <f>(4005.0/B30*100)</f>
        <v/>
      </c>
      <c r="D30" s="19" t="n">
        <v>515</v>
      </c>
      <c r="E30" s="18" t="n">
        <v>58.8690442</v>
      </c>
      <c r="F30" s="20" t="n">
        <v>2.1162593</v>
      </c>
      <c r="G30" s="18" t="n">
        <v>21.78050667</v>
      </c>
      <c r="H30" s="20" t="n">
        <v>1.59033445</v>
      </c>
      <c r="I30" s="18" t="n">
        <v>0</v>
      </c>
      <c r="J30" s="20" t="n">
        <v>0</v>
      </c>
      <c r="K30" s="18" t="n">
        <v>3.37155723</v>
      </c>
      <c r="L30" s="20" t="n">
        <v>0.84375887</v>
      </c>
      <c r="M30" s="18" t="n">
        <v>0.15506323</v>
      </c>
      <c r="N30" s="20" t="n">
        <v>0.15523035</v>
      </c>
      <c r="O30" s="18" t="n">
        <v>0</v>
      </c>
      <c r="P30" s="20" t="n">
        <v>0</v>
      </c>
      <c r="Q30" s="18" t="n">
        <v>15.82382867</v>
      </c>
      <c r="R30" s="20" t="n">
        <v>1.62085513</v>
      </c>
    </row>
    <row r="31" spans="1:18">
      <c r="A31" s="15" t="s">
        <v>453</v>
      </c>
      <c r="B31" s="17" t="n">
        <v>5456</v>
      </c>
      <c r="C31" s="18">
        <f>(4809.0/B31*100)</f>
        <v/>
      </c>
      <c r="D31" s="19" t="n">
        <v>647</v>
      </c>
      <c r="E31" s="18" t="n">
        <v>61.9001788</v>
      </c>
      <c r="F31" s="20" t="n">
        <v>1.88993486</v>
      </c>
      <c r="G31" s="18" t="n">
        <v>18.03574822</v>
      </c>
      <c r="H31" s="20" t="n">
        <v>1.62112934</v>
      </c>
      <c r="I31" s="18" t="n">
        <v>0</v>
      </c>
      <c r="J31" s="20" t="n">
        <v>0</v>
      </c>
      <c r="K31" s="18" t="n">
        <v>2.74911975</v>
      </c>
      <c r="L31" s="20" t="n">
        <v>0.71128325</v>
      </c>
      <c r="M31" s="18" t="n">
        <v>0</v>
      </c>
      <c r="N31" s="20" t="n">
        <v>0</v>
      </c>
      <c r="O31" s="18" t="n">
        <v>0</v>
      </c>
      <c r="P31" s="20" t="n">
        <v>0</v>
      </c>
      <c r="Q31" s="18" t="n">
        <v>17.31495323</v>
      </c>
      <c r="R31" s="20" t="n">
        <v>1.29078726</v>
      </c>
    </row>
    <row r="32" spans="1:18">
      <c r="A32" s="15" t="s">
        <v>454</v>
      </c>
      <c r="B32" s="17" t="n">
        <v>4478</v>
      </c>
      <c r="C32" s="18">
        <f>(3757.0/B32*100)</f>
        <v/>
      </c>
      <c r="D32" s="19" t="n">
        <v>721</v>
      </c>
      <c r="E32" s="18" t="n">
        <v>65.58968514999999</v>
      </c>
      <c r="F32" s="20" t="n">
        <v>1.98864183</v>
      </c>
      <c r="G32" s="18" t="n">
        <v>17.26967662</v>
      </c>
      <c r="H32" s="20" t="n">
        <v>1.55711186</v>
      </c>
      <c r="I32" s="18" t="n">
        <v>0</v>
      </c>
      <c r="J32" s="20" t="n">
        <v>0</v>
      </c>
      <c r="K32" s="18" t="n">
        <v>0.13342401</v>
      </c>
      <c r="L32" s="20" t="n">
        <v>0.14244018</v>
      </c>
      <c r="M32" s="18" t="n">
        <v>0</v>
      </c>
      <c r="N32" s="20" t="n">
        <v>0</v>
      </c>
      <c r="O32" s="18" t="n">
        <v>0</v>
      </c>
      <c r="P32" s="20" t="n">
        <v>0</v>
      </c>
      <c r="Q32" s="18" t="n">
        <v>17.00721422</v>
      </c>
      <c r="R32" s="20" t="n">
        <v>1.52596576</v>
      </c>
    </row>
    <row r="33" spans="1:18">
      <c r="A33" s="15" t="s">
        <v>455</v>
      </c>
      <c r="B33" s="17" t="n">
        <v>7325</v>
      </c>
      <c r="C33" s="18">
        <f>(6493.0/B33*100)</f>
        <v/>
      </c>
      <c r="D33" s="19" t="n">
        <v>832</v>
      </c>
      <c r="E33" s="18" t="n">
        <v>54.03431877</v>
      </c>
      <c r="F33" s="20" t="n">
        <v>2.00118535</v>
      </c>
      <c r="G33" s="18" t="n">
        <v>25.40193375</v>
      </c>
      <c r="H33" s="20" t="n">
        <v>1.78961392</v>
      </c>
      <c r="I33" s="18" t="n">
        <v>0</v>
      </c>
      <c r="J33" s="20" t="n">
        <v>0</v>
      </c>
      <c r="K33" s="18" t="n">
        <v>1.2117934</v>
      </c>
      <c r="L33" s="20" t="n">
        <v>0.54012128</v>
      </c>
      <c r="M33" s="18" t="n">
        <v>0.13189739</v>
      </c>
      <c r="N33" s="20" t="n">
        <v>0.09200642000000001</v>
      </c>
      <c r="O33" s="18" t="n">
        <v>0</v>
      </c>
      <c r="P33" s="20" t="n">
        <v>0</v>
      </c>
      <c r="Q33" s="18" t="n">
        <v>19.22005669</v>
      </c>
      <c r="R33" s="20" t="n">
        <v>1.62568172</v>
      </c>
    </row>
    <row r="34" spans="1:18">
      <c r="A34" s="15" t="s">
        <v>456</v>
      </c>
      <c r="B34" s="17" t="n">
        <v>6350</v>
      </c>
      <c r="C34" s="18">
        <f>(5623.0/B34*100)</f>
        <v/>
      </c>
      <c r="D34" s="19" t="n">
        <v>727</v>
      </c>
      <c r="E34" s="18" t="n">
        <v>66.65054081</v>
      </c>
      <c r="F34" s="20" t="n">
        <v>1.80263444</v>
      </c>
      <c r="G34" s="18" t="n">
        <v>10.64628392</v>
      </c>
      <c r="H34" s="20" t="n">
        <v>1.28418071</v>
      </c>
      <c r="I34" s="18" t="n">
        <v>0</v>
      </c>
      <c r="J34" s="20" t="n">
        <v>0</v>
      </c>
      <c r="K34" s="18" t="n">
        <v>0.68645158</v>
      </c>
      <c r="L34" s="20" t="n">
        <v>0.29522015</v>
      </c>
      <c r="M34" s="18" t="n">
        <v>0</v>
      </c>
      <c r="N34" s="20" t="n">
        <v>0</v>
      </c>
      <c r="O34" s="18" t="n">
        <v>0</v>
      </c>
      <c r="P34" s="20" t="n">
        <v>0</v>
      </c>
      <c r="Q34" s="18" t="n">
        <v>22.0167237</v>
      </c>
      <c r="R34" s="20" t="n">
        <v>1.53031221</v>
      </c>
    </row>
    <row r="35" spans="1:18">
      <c r="A35" s="15" t="s">
        <v>457</v>
      </c>
      <c r="B35" s="17" t="n">
        <v>6406</v>
      </c>
      <c r="C35" s="18">
        <f>(5640.0/B35*100)</f>
        <v/>
      </c>
      <c r="D35" s="19" t="n">
        <v>766</v>
      </c>
      <c r="E35" s="18" t="n">
        <v>59.89919377</v>
      </c>
      <c r="F35" s="20" t="n">
        <v>2.4806954</v>
      </c>
      <c r="G35" s="18" t="n">
        <v>17.38986691</v>
      </c>
      <c r="H35" s="20" t="n">
        <v>1.91129286</v>
      </c>
      <c r="I35" s="18" t="n">
        <v>0</v>
      </c>
      <c r="J35" s="20" t="n">
        <v>0</v>
      </c>
      <c r="K35" s="18" t="n">
        <v>1.01146888</v>
      </c>
      <c r="L35" s="20" t="n">
        <v>0.43936126</v>
      </c>
      <c r="M35" s="18" t="n">
        <v>0.22240689</v>
      </c>
      <c r="N35" s="20" t="n">
        <v>0.22200165</v>
      </c>
      <c r="O35" s="18" t="n">
        <v>0</v>
      </c>
      <c r="P35" s="20" t="n">
        <v>0</v>
      </c>
      <c r="Q35" s="18" t="n">
        <v>21.47706356</v>
      </c>
      <c r="R35" s="20" t="n">
        <v>1.89769161</v>
      </c>
    </row>
    <row r="36" spans="1:18">
      <c r="A36" s="15" t="s">
        <v>458</v>
      </c>
      <c r="B36" s="17" t="n">
        <v>6736</v>
      </c>
      <c r="C36" s="18">
        <f>(5966.0/B36*100)</f>
        <v/>
      </c>
      <c r="D36" s="19" t="n">
        <v>770</v>
      </c>
      <c r="E36" s="18" t="n">
        <v>59.24525253</v>
      </c>
      <c r="F36" s="20" t="n">
        <v>1.5114738</v>
      </c>
      <c r="G36" s="18" t="n">
        <v>25.14391793</v>
      </c>
      <c r="H36" s="20" t="n">
        <v>1.53028192</v>
      </c>
      <c r="I36" s="18" t="n">
        <v>0</v>
      </c>
      <c r="J36" s="20" t="n">
        <v>0</v>
      </c>
      <c r="K36" s="18" t="n">
        <v>2.06069187</v>
      </c>
      <c r="L36" s="20" t="n">
        <v>0.46730657</v>
      </c>
      <c r="M36" s="18" t="n">
        <v>0.18940459</v>
      </c>
      <c r="N36" s="20" t="n">
        <v>0.13316177</v>
      </c>
      <c r="O36" s="18" t="n">
        <v>0</v>
      </c>
      <c r="P36" s="20" t="n">
        <v>0</v>
      </c>
      <c r="Q36" s="18" t="n">
        <v>13.36073309</v>
      </c>
      <c r="R36" s="20" t="n">
        <v>1.3278157</v>
      </c>
    </row>
    <row r="37" spans="1:18">
      <c r="A37" s="15" t="s">
        <v>459</v>
      </c>
      <c r="B37" s="17" t="n">
        <v>5458</v>
      </c>
      <c r="C37" s="18">
        <f>(4803.0/B37*100)</f>
        <v/>
      </c>
      <c r="D37" s="19" t="n">
        <v>655</v>
      </c>
      <c r="E37" s="18" t="n">
        <v>62.28448345</v>
      </c>
      <c r="F37" s="20" t="n">
        <v>1.80603011</v>
      </c>
      <c r="G37" s="18" t="n">
        <v>16.75837021</v>
      </c>
      <c r="H37" s="20" t="n">
        <v>1.53095015</v>
      </c>
      <c r="I37" s="18" t="n">
        <v>0</v>
      </c>
      <c r="J37" s="20" t="n">
        <v>0</v>
      </c>
      <c r="K37" s="18" t="n">
        <v>3.46589259</v>
      </c>
      <c r="L37" s="20" t="n">
        <v>0.71767963</v>
      </c>
      <c r="M37" s="18" t="n">
        <v>0</v>
      </c>
      <c r="N37" s="20" t="n">
        <v>0</v>
      </c>
      <c r="O37" s="18" t="n">
        <v>0</v>
      </c>
      <c r="P37" s="20" t="n">
        <v>0</v>
      </c>
      <c r="Q37" s="18" t="n">
        <v>17.49125376</v>
      </c>
      <c r="R37" s="20" t="n">
        <v>1.56748278</v>
      </c>
    </row>
    <row r="38" spans="1:18">
      <c r="A38" s="15" t="s">
        <v>460</v>
      </c>
      <c r="B38" s="17" t="n">
        <v>5860</v>
      </c>
      <c r="C38" s="18">
        <f>(4929.0/B38*100)</f>
        <v/>
      </c>
      <c r="D38" s="19" t="n">
        <v>931</v>
      </c>
      <c r="E38" s="18" t="n">
        <v>20.1021685</v>
      </c>
      <c r="F38" s="20" t="n">
        <v>1.64650426</v>
      </c>
      <c r="G38" s="18" t="n">
        <v>6.36578433</v>
      </c>
      <c r="H38" s="20" t="n">
        <v>0.95894292</v>
      </c>
      <c r="I38" s="18" t="n">
        <v>0</v>
      </c>
      <c r="J38" s="20" t="n">
        <v>0</v>
      </c>
      <c r="K38" s="18" t="n">
        <v>0.52043499</v>
      </c>
      <c r="L38" s="20" t="n">
        <v>0.23843653</v>
      </c>
      <c r="M38" s="18" t="n">
        <v>66.94476219000001</v>
      </c>
      <c r="N38" s="20" t="n">
        <v>1.61896689</v>
      </c>
      <c r="O38" s="18" t="n">
        <v>0</v>
      </c>
      <c r="P38" s="20" t="n">
        <v>0</v>
      </c>
      <c r="Q38" s="18" t="n">
        <v>6.06684999</v>
      </c>
      <c r="R38" s="20" t="n">
        <v>1.26905629</v>
      </c>
    </row>
    <row r="39" spans="1:18">
      <c r="A39" s="15" t="s">
        <v>461</v>
      </c>
      <c r="B39" s="17" t="n">
        <v>5895</v>
      </c>
      <c r="C39" s="18">
        <f>(5177.0/B39*100)</f>
        <v/>
      </c>
      <c r="D39" s="19" t="n">
        <v>718</v>
      </c>
      <c r="E39" s="18" t="n">
        <v>68.81368135</v>
      </c>
      <c r="F39" s="20" t="n">
        <v>2.03142829</v>
      </c>
      <c r="G39" s="18" t="n">
        <v>18.98561181</v>
      </c>
      <c r="H39" s="20" t="n">
        <v>1.51524174</v>
      </c>
      <c r="I39" s="18" t="n">
        <v>0</v>
      </c>
      <c r="J39" s="20" t="n">
        <v>0</v>
      </c>
      <c r="K39" s="18" t="n">
        <v>0.66393049</v>
      </c>
      <c r="L39" s="20" t="n">
        <v>0.30340124</v>
      </c>
      <c r="M39" s="18" t="n">
        <v>0</v>
      </c>
      <c r="N39" s="20" t="n">
        <v>0</v>
      </c>
      <c r="O39" s="18" t="n">
        <v>0</v>
      </c>
      <c r="P39" s="20" t="n">
        <v>0</v>
      </c>
      <c r="Q39" s="18" t="n">
        <v>11.53677635</v>
      </c>
      <c r="R39" s="20" t="n">
        <v>1.26452347</v>
      </c>
    </row>
    <row r="40" spans="1:18">
      <c r="A40" s="15" t="s">
        <v>462</v>
      </c>
      <c r="B40" s="17" t="n">
        <v>14157</v>
      </c>
      <c r="C40" s="18">
        <f>(12458.0/B40*100)</f>
        <v/>
      </c>
      <c r="D40" s="19" t="n">
        <v>1699</v>
      </c>
      <c r="E40" s="18" t="n">
        <v>65.51115403</v>
      </c>
      <c r="F40" s="20" t="n">
        <v>2.10678401</v>
      </c>
      <c r="G40" s="18" t="n">
        <v>15.61131098</v>
      </c>
      <c r="H40" s="20" t="n">
        <v>1.57323984</v>
      </c>
      <c r="I40" s="18" t="n">
        <v>0</v>
      </c>
      <c r="J40" s="20" t="n">
        <v>0</v>
      </c>
      <c r="K40" s="18" t="n">
        <v>2.12146066</v>
      </c>
      <c r="L40" s="20" t="n">
        <v>0.55859473</v>
      </c>
      <c r="M40" s="18" t="n">
        <v>0.28523373</v>
      </c>
      <c r="N40" s="20" t="n">
        <v>0.2249209</v>
      </c>
      <c r="O40" s="18" t="n">
        <v>0</v>
      </c>
      <c r="P40" s="20" t="n">
        <v>0</v>
      </c>
      <c r="Q40" s="18" t="n">
        <v>16.47084061</v>
      </c>
      <c r="R40" s="20" t="n">
        <v>1.53304055</v>
      </c>
    </row>
    <row r="41" spans="1:18">
      <c r="A41" s="15" t="s">
        <v>463</v>
      </c>
      <c r="B41" s="17" t="n">
        <v>5712</v>
      </c>
      <c r="C41" s="18">
        <f>(5038.0/B41*100)</f>
        <v/>
      </c>
      <c r="D41" s="19" t="n">
        <v>674</v>
      </c>
      <c r="E41" s="18" t="n">
        <v>73.92078922</v>
      </c>
      <c r="F41" s="20" t="n">
        <v>1.83900586</v>
      </c>
      <c r="G41" s="18" t="n">
        <v>20.13481773</v>
      </c>
      <c r="H41" s="20" t="n">
        <v>1.59971221</v>
      </c>
      <c r="I41" s="18" t="n">
        <v>0</v>
      </c>
      <c r="J41" s="20" t="n">
        <v>0</v>
      </c>
      <c r="K41" s="18" t="n">
        <v>1.26634967</v>
      </c>
      <c r="L41" s="20" t="n">
        <v>0.44008179</v>
      </c>
      <c r="M41" s="18" t="n">
        <v>0</v>
      </c>
      <c r="N41" s="20" t="n">
        <v>0</v>
      </c>
      <c r="O41" s="18" t="n">
        <v>0</v>
      </c>
      <c r="P41" s="20" t="n">
        <v>0</v>
      </c>
      <c r="Q41" s="18" t="n">
        <v>4.67804338</v>
      </c>
      <c r="R41" s="20" t="n">
        <v>0.88435007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(21124.0/B46*100)</f>
        <v/>
      </c>
      <c r="D46" s="19" t="n">
        <v>2017</v>
      </c>
      <c r="E46" s="18" t="n">
        <v>57.49013697</v>
      </c>
      <c r="F46" s="20" t="n">
        <v>1.43093164</v>
      </c>
      <c r="G46" s="18" t="n">
        <v>18.7660077</v>
      </c>
      <c r="H46" s="20" t="n">
        <v>1.22404386</v>
      </c>
      <c r="I46" s="18" t="n">
        <v>0</v>
      </c>
      <c r="J46" s="20" t="n">
        <v>0</v>
      </c>
      <c r="K46" s="18" t="n">
        <v>3.41962261</v>
      </c>
      <c r="L46" s="20" t="n">
        <v>0.49027813</v>
      </c>
      <c r="M46" s="18" t="n">
        <v>0.25091787</v>
      </c>
      <c r="N46" s="20" t="n">
        <v>0.15930064</v>
      </c>
      <c r="O46" s="18" t="n">
        <v>0</v>
      </c>
      <c r="P46" s="20" t="n">
        <v>0</v>
      </c>
      <c r="Q46" s="18" t="n">
        <v>20.07331485</v>
      </c>
      <c r="R46" s="20" t="n">
        <v>1.17546559</v>
      </c>
    </row>
    <row r="47" spans="1:18">
      <c r="A47" s="15" t="s">
        <v>470</v>
      </c>
      <c r="B47" s="17" t="n">
        <v>5928</v>
      </c>
      <c r="C47" s="18">
        <f>(5213.0/B47*100)</f>
        <v/>
      </c>
      <c r="D47" s="19" t="n">
        <v>715</v>
      </c>
      <c r="E47" s="18" t="n">
        <v>49.42556123</v>
      </c>
      <c r="F47" s="20" t="n">
        <v>1.88130075</v>
      </c>
      <c r="G47" s="18" t="n">
        <v>16.35277468</v>
      </c>
      <c r="H47" s="20" t="n">
        <v>1.60720785</v>
      </c>
      <c r="I47" s="18" t="n">
        <v>0</v>
      </c>
      <c r="J47" s="20" t="n">
        <v>0</v>
      </c>
      <c r="K47" s="18" t="n">
        <v>1.92158064</v>
      </c>
      <c r="L47" s="20" t="n">
        <v>0.44898848</v>
      </c>
      <c r="M47" s="18" t="n">
        <v>0.13699112</v>
      </c>
      <c r="N47" s="20" t="n">
        <v>0.1368162</v>
      </c>
      <c r="O47" s="18" t="n">
        <v>0</v>
      </c>
      <c r="P47" s="20" t="n">
        <v>0</v>
      </c>
      <c r="Q47" s="18" t="n">
        <v>32.16309234</v>
      </c>
      <c r="R47" s="20" t="n">
        <v>1.8035776</v>
      </c>
    </row>
    <row r="48" spans="1:18">
      <c r="A48" s="15" t="s">
        <v>471</v>
      </c>
      <c r="B48" s="17" t="n">
        <v>9841</v>
      </c>
      <c r="C48" s="18">
        <f>(8647.0/B48*100)</f>
        <v/>
      </c>
      <c r="D48" s="19" t="n">
        <v>1194</v>
      </c>
      <c r="E48" s="18" t="n">
        <v>54.26557294</v>
      </c>
      <c r="F48" s="20" t="n">
        <v>1.68535766</v>
      </c>
      <c r="G48" s="18" t="n">
        <v>34.87707765</v>
      </c>
      <c r="H48" s="20" t="n">
        <v>1.75950982</v>
      </c>
      <c r="I48" s="18" t="n">
        <v>0</v>
      </c>
      <c r="J48" s="20" t="n">
        <v>0</v>
      </c>
      <c r="K48" s="18" t="n">
        <v>0.56540612</v>
      </c>
      <c r="L48" s="20" t="n">
        <v>0.30179553</v>
      </c>
      <c r="M48" s="18" t="n">
        <v>0</v>
      </c>
      <c r="N48" s="20" t="n">
        <v>0</v>
      </c>
      <c r="O48" s="18" t="n">
        <v>0</v>
      </c>
      <c r="P48" s="20" t="n">
        <v>0</v>
      </c>
      <c r="Q48" s="18" t="n">
        <v>10.29194329</v>
      </c>
      <c r="R48" s="20" t="n">
        <v>1.39395967</v>
      </c>
    </row>
    <row r="49" spans="1:18">
      <c r="A49" s="15" t="s">
        <v>472</v>
      </c>
      <c r="B49" s="17" t="n">
        <v>11795</v>
      </c>
      <c r="C49" s="18">
        <f>(10444.0/B49*100)</f>
        <v/>
      </c>
      <c r="D49" s="19" t="n">
        <v>1351</v>
      </c>
      <c r="E49" s="18" t="n">
        <v>80.62795001000001</v>
      </c>
      <c r="F49" s="20" t="n">
        <v>1.28176267</v>
      </c>
      <c r="G49" s="18" t="n">
        <v>6.97661905</v>
      </c>
      <c r="H49" s="20" t="n">
        <v>0.6939942099999999</v>
      </c>
      <c r="I49" s="18" t="n">
        <v>0</v>
      </c>
      <c r="J49" s="20" t="n">
        <v>0</v>
      </c>
      <c r="K49" s="18" t="n">
        <v>4.22999254</v>
      </c>
      <c r="L49" s="20" t="n">
        <v>0.9240129500000001</v>
      </c>
      <c r="M49" s="18" t="n">
        <v>0.00396715</v>
      </c>
      <c r="N49" s="20" t="n">
        <v>0.00399657</v>
      </c>
      <c r="O49" s="18" t="n">
        <v>0</v>
      </c>
      <c r="P49" s="20" t="n">
        <v>0</v>
      </c>
      <c r="Q49" s="18" t="n">
        <v>8.16147125</v>
      </c>
      <c r="R49" s="20" t="n">
        <v>1.06765755</v>
      </c>
    </row>
    <row r="50" spans="1:18">
      <c r="A50" s="15" t="s">
        <v>473</v>
      </c>
      <c r="B50" s="17" t="n">
        <v>6866</v>
      </c>
      <c r="C50" s="18">
        <f>(6181.0/B50*100)</f>
        <v/>
      </c>
      <c r="D50" s="19" t="n">
        <v>685</v>
      </c>
      <c r="E50" s="18" t="n">
        <v>80.36528749999999</v>
      </c>
      <c r="F50" s="20" t="n">
        <v>1.70322645</v>
      </c>
      <c r="G50" s="18" t="n">
        <v>7.15601813</v>
      </c>
      <c r="H50" s="20" t="n">
        <v>1.0170048</v>
      </c>
      <c r="I50" s="18" t="n">
        <v>0</v>
      </c>
      <c r="J50" s="20" t="n">
        <v>0</v>
      </c>
      <c r="K50" s="18" t="n">
        <v>1.67983381</v>
      </c>
      <c r="L50" s="20" t="n">
        <v>0.50294733</v>
      </c>
      <c r="M50" s="18" t="n">
        <v>0</v>
      </c>
      <c r="N50" s="20" t="n">
        <v>0</v>
      </c>
      <c r="O50" s="18" t="n">
        <v>0</v>
      </c>
      <c r="P50" s="20" t="n">
        <v>0</v>
      </c>
      <c r="Q50" s="18" t="n">
        <v>10.79886055</v>
      </c>
      <c r="R50" s="20" t="n">
        <v>1.31771836</v>
      </c>
    </row>
    <row r="51" spans="1:18">
      <c r="A51" s="15" t="s">
        <v>474</v>
      </c>
      <c r="B51" s="17" t="n">
        <v>5809</v>
      </c>
      <c r="C51" s="18">
        <f>(5089.0/B51*100)</f>
        <v/>
      </c>
      <c r="D51" s="19" t="n">
        <v>720</v>
      </c>
      <c r="E51" s="18" t="n">
        <v>61.90031811</v>
      </c>
      <c r="F51" s="20" t="n">
        <v>1.85473134</v>
      </c>
      <c r="G51" s="18" t="n">
        <v>17.73474306</v>
      </c>
      <c r="H51" s="20" t="n">
        <v>1.41091909</v>
      </c>
      <c r="I51" s="18" t="n">
        <v>0</v>
      </c>
      <c r="J51" s="20" t="n">
        <v>0</v>
      </c>
      <c r="K51" s="18" t="n">
        <v>1.00353166</v>
      </c>
      <c r="L51" s="20" t="n">
        <v>0.39809211</v>
      </c>
      <c r="M51" s="18" t="n">
        <v>0</v>
      </c>
      <c r="N51" s="20" t="n">
        <v>0</v>
      </c>
      <c r="O51" s="18" t="n">
        <v>0</v>
      </c>
      <c r="P51" s="20" t="n">
        <v>0</v>
      </c>
      <c r="Q51" s="18" t="n">
        <v>19.36140717</v>
      </c>
      <c r="R51" s="20" t="n">
        <v>1.64417288</v>
      </c>
    </row>
    <row r="52" spans="1:18">
      <c r="A52" s="15" t="s">
        <v>475</v>
      </c>
      <c r="B52" s="17" t="n">
        <v>5571</v>
      </c>
      <c r="C52" s="18">
        <f>(4925.0/B52*100)</f>
        <v/>
      </c>
      <c r="D52" s="19" t="n">
        <v>646</v>
      </c>
      <c r="E52" s="18" t="n">
        <v>56.68621223</v>
      </c>
      <c r="F52" s="20" t="n">
        <v>1.99152556</v>
      </c>
      <c r="G52" s="18" t="n">
        <v>11.26344008</v>
      </c>
      <c r="H52" s="20" t="n">
        <v>1.28730707</v>
      </c>
      <c r="I52" s="18" t="n">
        <v>0</v>
      </c>
      <c r="J52" s="20" t="n">
        <v>0</v>
      </c>
      <c r="K52" s="18" t="n">
        <v>1.98687299</v>
      </c>
      <c r="L52" s="20" t="n">
        <v>0.53798417</v>
      </c>
      <c r="M52" s="18" t="n">
        <v>0</v>
      </c>
      <c r="N52" s="20" t="n">
        <v>0</v>
      </c>
      <c r="O52" s="18" t="n">
        <v>0</v>
      </c>
      <c r="P52" s="20" t="n">
        <v>0</v>
      </c>
      <c r="Q52" s="18" t="n">
        <v>30.06347469</v>
      </c>
      <c r="R52" s="20" t="n">
        <v>1.81216955</v>
      </c>
    </row>
    <row r="53" spans="1:18">
      <c r="A53" s="15" t="s">
        <v>476</v>
      </c>
      <c r="B53" s="17" t="n">
        <v>4740</v>
      </c>
      <c r="C53" s="18">
        <f>(3983.0/B53*100)</f>
        <v/>
      </c>
      <c r="D53" s="19" t="n">
        <v>757</v>
      </c>
      <c r="E53" s="18" t="n">
        <v>37.03697555</v>
      </c>
      <c r="F53" s="20" t="n">
        <v>1.96337352</v>
      </c>
      <c r="G53" s="18" t="n">
        <v>22.98853027</v>
      </c>
      <c r="H53" s="20" t="n">
        <v>1.44395943</v>
      </c>
      <c r="I53" s="18" t="n">
        <v>0</v>
      </c>
      <c r="J53" s="20" t="n">
        <v>0</v>
      </c>
      <c r="K53" s="18" t="n">
        <v>23.64938916</v>
      </c>
      <c r="L53" s="20" t="n">
        <v>1.47811769</v>
      </c>
      <c r="M53" s="18" t="n">
        <v>0.95635368</v>
      </c>
      <c r="N53" s="20" t="n">
        <v>0.77877682</v>
      </c>
      <c r="O53" s="18" t="n">
        <v>0</v>
      </c>
      <c r="P53" s="20" t="n">
        <v>0</v>
      </c>
      <c r="Q53" s="18" t="n">
        <v>15.36875134</v>
      </c>
      <c r="R53" s="20" t="n">
        <v>1.65524532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(4717.0/B55*100)</f>
        <v/>
      </c>
      <c r="D55" s="19" t="n">
        <v>642</v>
      </c>
      <c r="E55" s="18" t="n">
        <v>71.59266383000001</v>
      </c>
      <c r="F55" s="20" t="n">
        <v>1.78334918</v>
      </c>
      <c r="G55" s="18" t="n">
        <v>14.19919281</v>
      </c>
      <c r="H55" s="20" t="n">
        <v>1.29358507</v>
      </c>
      <c r="I55" s="18" t="n">
        <v>0</v>
      </c>
      <c r="J55" s="20" t="n">
        <v>0</v>
      </c>
      <c r="K55" s="18" t="n">
        <v>1.31746622</v>
      </c>
      <c r="L55" s="20" t="n">
        <v>0.46526759</v>
      </c>
      <c r="M55" s="18" t="n">
        <v>0</v>
      </c>
      <c r="N55" s="20" t="n">
        <v>0</v>
      </c>
      <c r="O55" s="18" t="n">
        <v>0</v>
      </c>
      <c r="P55" s="20" t="n">
        <v>0</v>
      </c>
      <c r="Q55" s="18" t="n">
        <v>12.89067714</v>
      </c>
      <c r="R55" s="20" t="n">
        <v>1.38665046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(5764.0/B61*100)</f>
        <v/>
      </c>
      <c r="D61" s="19" t="n">
        <v>761</v>
      </c>
      <c r="E61" s="18" t="n">
        <v>67.67490451</v>
      </c>
      <c r="F61" s="20" t="n">
        <v>1.80184595</v>
      </c>
      <c r="G61" s="18" t="n">
        <v>13.9808961</v>
      </c>
      <c r="H61" s="20" t="n">
        <v>1.32517029</v>
      </c>
      <c r="I61" s="18" t="n">
        <v>0</v>
      </c>
      <c r="J61" s="20" t="n">
        <v>0</v>
      </c>
      <c r="K61" s="18" t="n">
        <v>1.31509387</v>
      </c>
      <c r="L61" s="20" t="n">
        <v>0.42674354</v>
      </c>
      <c r="M61" s="18" t="n">
        <v>0</v>
      </c>
      <c r="N61" s="20" t="n">
        <v>0</v>
      </c>
      <c r="O61" s="18" t="n">
        <v>0</v>
      </c>
      <c r="P61" s="20" t="n">
        <v>0</v>
      </c>
      <c r="Q61" s="18" t="n">
        <v>17.02910552</v>
      </c>
      <c r="R61" s="20" t="n">
        <v>1.33533855</v>
      </c>
    </row>
    <row r="62" spans="1:18">
      <c r="A62" s="15" t="s">
        <v>486</v>
      </c>
      <c r="B62" s="17" t="n">
        <v>4476</v>
      </c>
      <c r="C62" s="18">
        <f>(3950.0/B62*100)</f>
        <v/>
      </c>
      <c r="D62" s="19" t="n">
        <v>526</v>
      </c>
      <c r="E62" s="18" t="n">
        <v>69.38367638</v>
      </c>
      <c r="F62" s="20" t="n">
        <v>1.98909847</v>
      </c>
      <c r="G62" s="18" t="n">
        <v>23.20289567</v>
      </c>
      <c r="H62" s="20" t="n">
        <v>2.00336241</v>
      </c>
      <c r="I62" s="18" t="n">
        <v>0</v>
      </c>
      <c r="J62" s="20" t="n">
        <v>0</v>
      </c>
      <c r="K62" s="18" t="n">
        <v>0</v>
      </c>
      <c r="L62" s="20" t="n">
        <v>0</v>
      </c>
      <c r="M62" s="18" t="n">
        <v>0.20278162</v>
      </c>
      <c r="N62" s="20" t="n">
        <v>0.20324184</v>
      </c>
      <c r="O62" s="18" t="n">
        <v>0</v>
      </c>
      <c r="P62" s="20" t="n">
        <v>0</v>
      </c>
      <c r="Q62" s="18" t="n">
        <v>7.21064633</v>
      </c>
      <c r="R62" s="20" t="n">
        <v>1.03794988</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(5004.0/B67*100)</f>
        <v/>
      </c>
      <c r="D67" s="19" t="n">
        <v>661</v>
      </c>
      <c r="E67" s="18" t="n">
        <v>43.71007301</v>
      </c>
      <c r="F67" s="20" t="n">
        <v>1.88655429</v>
      </c>
      <c r="G67" s="18" t="n">
        <v>13.0749971</v>
      </c>
      <c r="H67" s="20" t="n">
        <v>1.43862673</v>
      </c>
      <c r="I67" s="18" t="n">
        <v>0</v>
      </c>
      <c r="J67" s="20" t="n">
        <v>0</v>
      </c>
      <c r="K67" s="18" t="n">
        <v>3.33077719</v>
      </c>
      <c r="L67" s="20" t="n">
        <v>0.64138673</v>
      </c>
      <c r="M67" s="18" t="n">
        <v>0.51262197</v>
      </c>
      <c r="N67" s="20" t="n">
        <v>0.31089383</v>
      </c>
      <c r="O67" s="18" t="n">
        <v>0</v>
      </c>
      <c r="P67" s="20" t="n">
        <v>0</v>
      </c>
      <c r="Q67" s="18" t="n">
        <v>39.37153072</v>
      </c>
      <c r="R67" s="20" t="n">
        <v>1.67550821</v>
      </c>
    </row>
    <row r="68" spans="1:18">
      <c r="A68" s="15" t="s">
        <v>492</v>
      </c>
      <c r="B68" s="17" t="n">
        <v>6971</v>
      </c>
      <c r="C68" s="18">
        <f>(6319.0/B68*100)</f>
        <v/>
      </c>
      <c r="D68" s="19" t="n">
        <v>652</v>
      </c>
      <c r="E68" s="18" t="n">
        <v>81.67353632</v>
      </c>
      <c r="F68" s="20" t="n">
        <v>1.41564794</v>
      </c>
      <c r="G68" s="18" t="n">
        <v>4.11494285</v>
      </c>
      <c r="H68" s="20" t="n">
        <v>0.70508612</v>
      </c>
      <c r="I68" s="18" t="n">
        <v>0</v>
      </c>
      <c r="J68" s="20" t="n">
        <v>0</v>
      </c>
      <c r="K68" s="18" t="n">
        <v>1.17050165</v>
      </c>
      <c r="L68" s="20" t="n">
        <v>0.48440056</v>
      </c>
      <c r="M68" s="18" t="n">
        <v>0.16513517</v>
      </c>
      <c r="N68" s="20" t="n">
        <v>0.16494169</v>
      </c>
      <c r="O68" s="18" t="n">
        <v>0</v>
      </c>
      <c r="P68" s="20" t="n">
        <v>0</v>
      </c>
      <c r="Q68" s="18" t="n">
        <v>12.875884</v>
      </c>
      <c r="R68" s="20" t="n">
        <v>1.37734529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(10069.0/B70*100)</f>
        <v/>
      </c>
      <c r="D70" s="19" t="n">
        <v>2014</v>
      </c>
      <c r="E70" s="18" t="n">
        <v>69.99254553</v>
      </c>
      <c r="F70" s="20" t="n">
        <v>0.96941024</v>
      </c>
      <c r="G70" s="18" t="n">
        <v>6.03226686</v>
      </c>
      <c r="H70" s="20" t="n">
        <v>0.5108725</v>
      </c>
      <c r="I70" s="18" t="n">
        <v>0</v>
      </c>
      <c r="J70" s="20" t="n">
        <v>0</v>
      </c>
      <c r="K70" s="18" t="n">
        <v>6.12528016</v>
      </c>
      <c r="L70" s="20" t="n">
        <v>0.53715345</v>
      </c>
      <c r="M70" s="18" t="n">
        <v>0</v>
      </c>
      <c r="N70" s="20" t="n">
        <v>0</v>
      </c>
      <c r="O70" s="18" t="n">
        <v>0</v>
      </c>
      <c r="P70" s="20" t="n">
        <v>0</v>
      </c>
      <c r="Q70" s="18" t="n">
        <v>17.84990746</v>
      </c>
      <c r="R70" s="20" t="n">
        <v>0.80865295</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(5362.0/B72*100)</f>
        <v/>
      </c>
      <c r="D72" s="19" t="n">
        <v>674</v>
      </c>
      <c r="E72" s="18" t="n">
        <v>73.96030078</v>
      </c>
      <c r="F72" s="20" t="n">
        <v>2.06956245</v>
      </c>
      <c r="G72" s="18" t="n">
        <v>9.76284631</v>
      </c>
      <c r="H72" s="20" t="n">
        <v>0.98837102</v>
      </c>
      <c r="I72" s="18" t="n">
        <v>0</v>
      </c>
      <c r="J72" s="20" t="n">
        <v>0</v>
      </c>
      <c r="K72" s="18" t="n">
        <v>1.27611461</v>
      </c>
      <c r="L72" s="20" t="n">
        <v>0.53236563</v>
      </c>
      <c r="M72" s="18" t="n">
        <v>0</v>
      </c>
      <c r="N72" s="20" t="n">
        <v>0</v>
      </c>
      <c r="O72" s="18" t="n">
        <v>0</v>
      </c>
      <c r="P72" s="20" t="n">
        <v>0</v>
      </c>
      <c r="Q72" s="18" t="n">
        <v>15.0007383</v>
      </c>
      <c r="R72" s="20" t="n">
        <v>1.99934743</v>
      </c>
    </row>
    <row r="73" spans="1:18">
      <c r="A73" s="15" t="s">
        <v>497</v>
      </c>
      <c r="B73" s="17" t="n">
        <v>6115</v>
      </c>
      <c r="C73" s="18">
        <f>(5388.0/B73*100)</f>
        <v/>
      </c>
      <c r="D73" s="19" t="n">
        <v>727</v>
      </c>
      <c r="E73" s="18" t="n">
        <v>70.6186835</v>
      </c>
      <c r="F73" s="20" t="n">
        <v>1.78596286</v>
      </c>
      <c r="G73" s="18" t="n">
        <v>23.63523254</v>
      </c>
      <c r="H73" s="20" t="n">
        <v>1.71029246</v>
      </c>
      <c r="I73" s="18" t="n">
        <v>0</v>
      </c>
      <c r="J73" s="20" t="n">
        <v>0</v>
      </c>
      <c r="K73" s="18" t="n">
        <v>0.69140289</v>
      </c>
      <c r="L73" s="20" t="n">
        <v>0.30512385</v>
      </c>
      <c r="M73" s="18" t="n">
        <v>0.0841706</v>
      </c>
      <c r="N73" s="20" t="n">
        <v>0.08444636</v>
      </c>
      <c r="O73" s="18" t="n">
        <v>0</v>
      </c>
      <c r="P73" s="20" t="n">
        <v>0</v>
      </c>
      <c r="Q73" s="18" t="n">
        <v>4.97051046</v>
      </c>
      <c r="R73" s="20" t="n">
        <v>0.77300614</v>
      </c>
    </row>
    <row r="74" spans="1:18">
      <c r="A74" s="15" t="s">
        <v>498</v>
      </c>
      <c r="B74" s="17" t="n">
        <v>7708</v>
      </c>
      <c r="C74" s="18">
        <f>(6763.0/B74*100)</f>
        <v/>
      </c>
      <c r="D74" s="19" t="n">
        <v>945</v>
      </c>
      <c r="E74" s="18" t="n">
        <v>56.57737838</v>
      </c>
      <c r="F74" s="20" t="n">
        <v>1.58180555</v>
      </c>
      <c r="G74" s="18" t="n">
        <v>32.37987387</v>
      </c>
      <c r="H74" s="20" t="n">
        <v>1.75996165</v>
      </c>
      <c r="I74" s="18" t="n">
        <v>0</v>
      </c>
      <c r="J74" s="20" t="n">
        <v>0</v>
      </c>
      <c r="K74" s="18" t="n">
        <v>0.15242106</v>
      </c>
      <c r="L74" s="20" t="n">
        <v>0.10928947</v>
      </c>
      <c r="M74" s="18" t="n">
        <v>0</v>
      </c>
      <c r="N74" s="20" t="n">
        <v>0</v>
      </c>
      <c r="O74" s="18" t="n">
        <v>0</v>
      </c>
      <c r="P74" s="20" t="n">
        <v>0</v>
      </c>
      <c r="Q74" s="18" t="n">
        <v>10.89032669</v>
      </c>
      <c r="R74" s="20" t="n">
        <v>0.98809118</v>
      </c>
    </row>
    <row r="75" spans="1:18">
      <c r="A75" s="15" t="s">
        <v>499</v>
      </c>
      <c r="B75" s="17" t="n">
        <v>8249</v>
      </c>
      <c r="C75" s="18">
        <f>(7325.0/B75*100)</f>
        <v/>
      </c>
      <c r="D75" s="19" t="n">
        <v>924</v>
      </c>
      <c r="E75" s="18" t="n">
        <v>94.30559395</v>
      </c>
      <c r="F75" s="20" t="n">
        <v>0.81659425</v>
      </c>
      <c r="G75" s="18" t="n">
        <v>3.46015764</v>
      </c>
      <c r="H75" s="20" t="n">
        <v>0.7500747800000001</v>
      </c>
      <c r="I75" s="18" t="n">
        <v>0</v>
      </c>
      <c r="J75" s="20" t="n">
        <v>0</v>
      </c>
      <c r="K75" s="18" t="n">
        <v>0.21797675</v>
      </c>
      <c r="L75" s="20" t="n">
        <v>0.12276311</v>
      </c>
      <c r="M75" s="18" t="n">
        <v>0.00466733</v>
      </c>
      <c r="N75" s="20" t="n">
        <v>0.00451765</v>
      </c>
      <c r="O75" s="18" t="n">
        <v>0</v>
      </c>
      <c r="P75" s="20" t="n">
        <v>0</v>
      </c>
      <c r="Q75" s="18" t="n">
        <v>2.01160433</v>
      </c>
      <c r="R75" s="20" t="n">
        <v>0.39876249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(4823.0/B77*100)</f>
        <v/>
      </c>
      <c r="D77" s="19" t="n">
        <v>552</v>
      </c>
      <c r="E77" s="18" t="n">
        <v>57.94910291</v>
      </c>
      <c r="F77" s="20" t="n">
        <v>2.27318545</v>
      </c>
      <c r="G77" s="18" t="n">
        <v>3.6133301</v>
      </c>
      <c r="H77" s="20" t="n">
        <v>0.84424075</v>
      </c>
      <c r="I77" s="18" t="n">
        <v>0</v>
      </c>
      <c r="J77" s="20" t="n">
        <v>0</v>
      </c>
      <c r="K77" s="18" t="n">
        <v>9.093631390000001</v>
      </c>
      <c r="L77" s="20" t="n">
        <v>1.44811429</v>
      </c>
      <c r="M77" s="18" t="n">
        <v>0.5517384</v>
      </c>
      <c r="N77" s="20" t="n">
        <v>0.31308653</v>
      </c>
      <c r="O77" s="18" t="n">
        <v>0</v>
      </c>
      <c r="P77" s="20" t="n">
        <v>0</v>
      </c>
      <c r="Q77" s="18" t="n">
        <v>28.79219719</v>
      </c>
      <c r="R77" s="20" t="n">
        <v>1.93584935</v>
      </c>
    </row>
    <row r="78" spans="1:18">
      <c r="A78" s="15" t="s">
        <v>502</v>
      </c>
      <c r="B78" s="17" t="n">
        <v>14167</v>
      </c>
      <c r="C78" s="18">
        <f>(12497.0/B78*100)</f>
        <v/>
      </c>
      <c r="D78" s="19" t="n">
        <v>1670</v>
      </c>
      <c r="E78" s="18" t="n">
        <v>69.57538671</v>
      </c>
      <c r="F78" s="20" t="n">
        <v>1.46512783</v>
      </c>
      <c r="G78" s="18" t="n">
        <v>17.70829978</v>
      </c>
      <c r="H78" s="20" t="n">
        <v>1.45562979</v>
      </c>
      <c r="I78" s="18" t="n">
        <v>0</v>
      </c>
      <c r="J78" s="20" t="n">
        <v>0</v>
      </c>
      <c r="K78" s="18" t="n">
        <v>2.2520781</v>
      </c>
      <c r="L78" s="20" t="n">
        <v>0.45054789</v>
      </c>
      <c r="M78" s="18" t="n">
        <v>0.07631859000000001</v>
      </c>
      <c r="N78" s="20" t="n">
        <v>0.05462046</v>
      </c>
      <c r="O78" s="18" t="n">
        <v>0</v>
      </c>
      <c r="P78" s="20" t="n">
        <v>0</v>
      </c>
      <c r="Q78" s="18" t="n">
        <v>10.38791682</v>
      </c>
      <c r="R78" s="20" t="n">
        <v>1.09344754</v>
      </c>
    </row>
    <row r="79" spans="1:18">
      <c r="A79" s="15" t="s">
        <v>503</v>
      </c>
      <c r="B79" s="17" t="n">
        <v>6062</v>
      </c>
      <c r="C79" s="18">
        <f>(5386.0/B79*100)</f>
        <v/>
      </c>
      <c r="D79" s="19" t="n">
        <v>676</v>
      </c>
      <c r="E79" s="18" t="n">
        <v>54.04921348</v>
      </c>
      <c r="F79" s="20" t="n">
        <v>1.96336978</v>
      </c>
      <c r="G79" s="18" t="n">
        <v>10.00841584</v>
      </c>
      <c r="H79" s="20" t="n">
        <v>1.12680969</v>
      </c>
      <c r="I79" s="18" t="n">
        <v>0</v>
      </c>
      <c r="J79" s="20" t="n">
        <v>0</v>
      </c>
      <c r="K79" s="18" t="n">
        <v>4.63554348</v>
      </c>
      <c r="L79" s="20" t="n">
        <v>0.78994982</v>
      </c>
      <c r="M79" s="18" t="n">
        <v>0.13422868</v>
      </c>
      <c r="N79" s="20" t="n">
        <v>0.13467225</v>
      </c>
      <c r="O79" s="18" t="n">
        <v>0</v>
      </c>
      <c r="P79" s="20" t="n">
        <v>0</v>
      </c>
      <c r="Q79" s="18" t="n">
        <v>31.17259852</v>
      </c>
      <c r="R79" s="20" t="n">
        <v>1.60970861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(28480.0/B82*100)</f>
        <v/>
      </c>
      <c r="D82" s="19" t="n">
        <v>3850</v>
      </c>
      <c r="E82" s="18" t="n">
        <v>59.50902722</v>
      </c>
      <c r="F82" s="20" t="n">
        <v>1.18510235</v>
      </c>
      <c r="G82" s="18" t="n">
        <v>24.91779581</v>
      </c>
      <c r="H82" s="20" t="n">
        <v>1.09408035</v>
      </c>
      <c r="I82" s="18" t="n">
        <v>0</v>
      </c>
      <c r="J82" s="20" t="n">
        <v>0</v>
      </c>
      <c r="K82" s="18" t="n">
        <v>1.39359719</v>
      </c>
      <c r="L82" s="20" t="n">
        <v>0.26757256</v>
      </c>
      <c r="M82" s="18" t="n">
        <v>0.10012009</v>
      </c>
      <c r="N82" s="20" t="n">
        <v>0.07724847</v>
      </c>
      <c r="O82" s="18" t="n">
        <v>0</v>
      </c>
      <c r="P82" s="20" t="n">
        <v>0</v>
      </c>
      <c r="Q82" s="18" t="n">
        <v>14.07945969</v>
      </c>
      <c r="R82" s="20" t="n">
        <v>0.72292512</v>
      </c>
    </row>
    <row r="83" spans="1:18">
      <c r="A83" s="15" t="s">
        <v>507</v>
      </c>
      <c r="B83" s="17" t="n">
        <v>1652</v>
      </c>
      <c r="C83" s="18">
        <f>(1465.0/B83*100)</f>
        <v/>
      </c>
      <c r="D83" s="19" t="n">
        <v>187</v>
      </c>
      <c r="E83" s="18" t="n">
        <v>70.88418435</v>
      </c>
      <c r="F83" s="20" t="n">
        <v>3.01926255</v>
      </c>
      <c r="G83" s="18" t="n">
        <v>27.71847181</v>
      </c>
      <c r="H83" s="20" t="n">
        <v>2.99366312</v>
      </c>
      <c r="I83" s="18" t="n">
        <v>0</v>
      </c>
      <c r="J83" s="20" t="n">
        <v>0</v>
      </c>
      <c r="K83" s="18" t="n">
        <v>0</v>
      </c>
      <c r="L83" s="20" t="n">
        <v>0</v>
      </c>
      <c r="M83" s="18" t="n">
        <v>0</v>
      </c>
      <c r="N83" s="20" t="n">
        <v>0</v>
      </c>
      <c r="O83" s="18" t="n">
        <v>0</v>
      </c>
      <c r="P83" s="20" t="n">
        <v>0</v>
      </c>
      <c r="Q83" s="18" t="n">
        <v>1.39734383</v>
      </c>
      <c r="R83" s="20" t="n">
        <v>0.77536493</v>
      </c>
    </row>
    <row r="84" spans="1:18">
      <c r="A84" s="23" t="s">
        <v>508</v>
      </c>
      <c r="B84" s="24" t="n">
        <v>1887</v>
      </c>
      <c r="C84" s="25">
        <f>(1669.0/B84*100)</f>
        <v/>
      </c>
      <c r="D84" s="19" t="n">
        <v>218</v>
      </c>
      <c r="E84" s="18" t="n">
        <v>75.44235283</v>
      </c>
      <c r="F84" s="20" t="n">
        <v>3.46126867</v>
      </c>
      <c r="G84" s="18" t="n">
        <v>15.61305847</v>
      </c>
      <c r="H84" s="20" t="n">
        <v>2.50707944</v>
      </c>
      <c r="I84" s="18" t="n">
        <v>0</v>
      </c>
      <c r="J84" s="20" t="n">
        <v>0</v>
      </c>
      <c r="K84" s="18" t="n">
        <v>0.9403348</v>
      </c>
      <c r="L84" s="20" t="n">
        <v>0.94297123</v>
      </c>
      <c r="M84" s="18" t="n">
        <v>0</v>
      </c>
      <c r="N84" s="20" t="n">
        <v>0</v>
      </c>
      <c r="O84" s="18" t="n">
        <v>0</v>
      </c>
      <c r="P84" s="20" t="n">
        <v>0</v>
      </c>
      <c r="Q84" s="18" t="n">
        <v>8.0042539</v>
      </c>
      <c r="R84" s="20" t="n">
        <v>1.82128514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(12831.0/B7*100)</f>
        <v/>
      </c>
      <c r="D7" s="19" t="n">
        <v>1699</v>
      </c>
      <c r="E7" s="18" t="n">
        <v>44.10179234</v>
      </c>
      <c r="F7" s="20" t="n">
        <v>1.32219674</v>
      </c>
      <c r="G7" s="18" t="n">
        <v>52.87671272</v>
      </c>
      <c r="H7" s="20" t="n">
        <v>1.36674877</v>
      </c>
      <c r="I7" s="18" t="n">
        <v>0</v>
      </c>
      <c r="J7" s="20" t="n">
        <v>0</v>
      </c>
      <c r="K7" s="18" t="n">
        <v>3.02149495</v>
      </c>
      <c r="L7" s="20" t="n">
        <v>0.46298141</v>
      </c>
      <c r="M7" s="18" t="n">
        <v>0</v>
      </c>
      <c r="N7" s="20" t="n">
        <v>0</v>
      </c>
      <c r="O7" s="18" t="n">
        <v>0</v>
      </c>
      <c r="P7" s="20" t="n">
        <v>0</v>
      </c>
      <c r="Q7" s="18" t="n">
        <v>0</v>
      </c>
      <c r="R7" s="20" t="n">
        <v>0</v>
      </c>
    </row>
    <row r="8" spans="1:18">
      <c r="A8" s="15" t="s">
        <v>430</v>
      </c>
      <c r="B8" s="17" t="n">
        <v>7007</v>
      </c>
      <c r="C8" s="18">
        <f>(6174.0/B8*100)</f>
        <v/>
      </c>
      <c r="D8" s="19" t="n">
        <v>833</v>
      </c>
      <c r="E8" s="18" t="n">
        <v>43.93579173</v>
      </c>
      <c r="F8" s="20" t="n">
        <v>1.77482124</v>
      </c>
      <c r="G8" s="18" t="n">
        <v>54.06596997</v>
      </c>
      <c r="H8" s="20" t="n">
        <v>1.83091687</v>
      </c>
      <c r="I8" s="18" t="n">
        <v>0</v>
      </c>
      <c r="J8" s="20" t="n">
        <v>0</v>
      </c>
      <c r="K8" s="18" t="n">
        <v>1.9982383</v>
      </c>
      <c r="L8" s="20" t="n">
        <v>0.68039092</v>
      </c>
      <c r="M8" s="18" t="n">
        <v>0</v>
      </c>
      <c r="N8" s="20" t="n">
        <v>0</v>
      </c>
      <c r="O8" s="18" t="n">
        <v>0</v>
      </c>
      <c r="P8" s="20" t="n">
        <v>0</v>
      </c>
      <c r="Q8" s="18" t="n">
        <v>0</v>
      </c>
      <c r="R8" s="20" t="n">
        <v>0</v>
      </c>
    </row>
    <row r="9" spans="1:18">
      <c r="A9" s="15" t="s">
        <v>431</v>
      </c>
      <c r="B9" s="17" t="n">
        <v>9651</v>
      </c>
      <c r="C9" s="18">
        <f>(8546.0/B9*100)</f>
        <v/>
      </c>
      <c r="D9" s="19" t="n">
        <v>1105</v>
      </c>
      <c r="E9" s="18" t="n">
        <v>42.81403719</v>
      </c>
      <c r="F9" s="20" t="n">
        <v>1.54625861</v>
      </c>
      <c r="G9" s="18" t="n">
        <v>54.56472535</v>
      </c>
      <c r="H9" s="20" t="n">
        <v>1.66901078</v>
      </c>
      <c r="I9" s="18" t="n">
        <v>0</v>
      </c>
      <c r="J9" s="20" t="n">
        <v>0</v>
      </c>
      <c r="K9" s="18" t="n">
        <v>2.62123747</v>
      </c>
      <c r="L9" s="20" t="n">
        <v>0.48280031</v>
      </c>
      <c r="M9" s="18" t="n">
        <v>0</v>
      </c>
      <c r="N9" s="20" t="n">
        <v>0</v>
      </c>
      <c r="O9" s="18" t="n">
        <v>0</v>
      </c>
      <c r="P9" s="20" t="n">
        <v>0</v>
      </c>
      <c r="Q9" s="18" t="n">
        <v>0</v>
      </c>
      <c r="R9" s="20" t="n">
        <v>0</v>
      </c>
    </row>
    <row r="10" spans="1:18">
      <c r="A10" s="15" t="s">
        <v>432</v>
      </c>
      <c r="B10" s="17" t="n">
        <v>20058</v>
      </c>
      <c r="C10" s="18">
        <f>(17642.0/B10*100)</f>
        <v/>
      </c>
      <c r="D10" s="19" t="n">
        <v>2416</v>
      </c>
      <c r="E10" s="18" t="n">
        <v>40.91843451</v>
      </c>
      <c r="F10" s="20" t="n">
        <v>1.52484712</v>
      </c>
      <c r="G10" s="18" t="n">
        <v>57.56492661</v>
      </c>
      <c r="H10" s="20" t="n">
        <v>1.57906935</v>
      </c>
      <c r="I10" s="18" t="n">
        <v>0</v>
      </c>
      <c r="J10" s="20" t="n">
        <v>0</v>
      </c>
      <c r="K10" s="18" t="n">
        <v>1.51663888</v>
      </c>
      <c r="L10" s="20" t="n">
        <v>0.31980169</v>
      </c>
      <c r="M10" s="18" t="n">
        <v>0</v>
      </c>
      <c r="N10" s="20" t="n">
        <v>0</v>
      </c>
      <c r="O10" s="18" t="n">
        <v>0</v>
      </c>
      <c r="P10" s="20" t="n">
        <v>0</v>
      </c>
      <c r="Q10" s="18" t="n">
        <v>0</v>
      </c>
      <c r="R10" s="20" t="n">
        <v>0</v>
      </c>
    </row>
    <row r="11" spans="1:18">
      <c r="A11" s="15" t="s">
        <v>433</v>
      </c>
      <c r="B11" s="17" t="n">
        <v>7053</v>
      </c>
      <c r="C11" s="18">
        <f>(6252.0/B11*100)</f>
        <v/>
      </c>
      <c r="D11" s="19" t="n">
        <v>801</v>
      </c>
      <c r="E11" s="18" t="n">
        <v>43.15416898</v>
      </c>
      <c r="F11" s="20" t="n">
        <v>2.05910364</v>
      </c>
      <c r="G11" s="18" t="n">
        <v>52.71631188</v>
      </c>
      <c r="H11" s="20" t="n">
        <v>2.09632978</v>
      </c>
      <c r="I11" s="18" t="n">
        <v>0</v>
      </c>
      <c r="J11" s="20" t="n">
        <v>0</v>
      </c>
      <c r="K11" s="18" t="n">
        <v>4.12951914</v>
      </c>
      <c r="L11" s="20" t="n">
        <v>0.75496149</v>
      </c>
      <c r="M11" s="18" t="n">
        <v>0</v>
      </c>
      <c r="N11" s="20" t="n">
        <v>0</v>
      </c>
      <c r="O11" s="18" t="n">
        <v>0</v>
      </c>
      <c r="P11" s="20" t="n">
        <v>0</v>
      </c>
      <c r="Q11" s="18" t="n">
        <v>0</v>
      </c>
      <c r="R11" s="20" t="n">
        <v>0</v>
      </c>
    </row>
    <row r="12" spans="1:18">
      <c r="A12" s="15" t="s">
        <v>434</v>
      </c>
      <c r="B12" s="17" t="n">
        <v>6894</v>
      </c>
      <c r="C12" s="18">
        <f>(6069.0/B12*100)</f>
        <v/>
      </c>
      <c r="D12" s="19" t="n">
        <v>825</v>
      </c>
      <c r="E12" s="18" t="n">
        <v>40.87879408</v>
      </c>
      <c r="F12" s="20" t="n">
        <v>1.9735749</v>
      </c>
      <c r="G12" s="18" t="n">
        <v>57.49055244</v>
      </c>
      <c r="H12" s="20" t="n">
        <v>2.03319875</v>
      </c>
      <c r="I12" s="18" t="n">
        <v>0</v>
      </c>
      <c r="J12" s="20" t="n">
        <v>0</v>
      </c>
      <c r="K12" s="18" t="n">
        <v>1.63065348</v>
      </c>
      <c r="L12" s="20" t="n">
        <v>0.58869293</v>
      </c>
      <c r="M12" s="18" t="n">
        <v>0</v>
      </c>
      <c r="N12" s="20" t="n">
        <v>0</v>
      </c>
      <c r="O12" s="18" t="n">
        <v>0</v>
      </c>
      <c r="P12" s="20" t="n">
        <v>0</v>
      </c>
      <c r="Q12" s="18" t="n">
        <v>0</v>
      </c>
      <c r="R12" s="20" t="n">
        <v>0</v>
      </c>
    </row>
    <row r="13" spans="1:18">
      <c r="A13" s="15" t="s">
        <v>435</v>
      </c>
      <c r="B13" s="17" t="n">
        <v>7161</v>
      </c>
      <c r="C13" s="18">
        <f>(6323.0/B13*100)</f>
        <v/>
      </c>
      <c r="D13" s="19" t="n">
        <v>838</v>
      </c>
      <c r="E13" s="18" t="n">
        <v>38.43947596</v>
      </c>
      <c r="F13" s="20" t="n">
        <v>1.93922441</v>
      </c>
      <c r="G13" s="18" t="n">
        <v>60.99022149</v>
      </c>
      <c r="H13" s="20" t="n">
        <v>1.90563283</v>
      </c>
      <c r="I13" s="18" t="n">
        <v>0</v>
      </c>
      <c r="J13" s="20" t="n">
        <v>0</v>
      </c>
      <c r="K13" s="18" t="n">
        <v>0.57030255</v>
      </c>
      <c r="L13" s="20" t="n">
        <v>0.29142145</v>
      </c>
      <c r="M13" s="18" t="n">
        <v>0</v>
      </c>
      <c r="N13" s="20" t="n">
        <v>0</v>
      </c>
      <c r="O13" s="18" t="n">
        <v>0</v>
      </c>
      <c r="P13" s="20" t="n">
        <v>0</v>
      </c>
      <c r="Q13" s="18" t="n">
        <v>0</v>
      </c>
      <c r="R13" s="20" t="n">
        <v>0</v>
      </c>
    </row>
    <row r="14" spans="1:18">
      <c r="A14" s="15" t="s">
        <v>436</v>
      </c>
      <c r="B14" s="17" t="n">
        <v>5587</v>
      </c>
      <c r="C14" s="18">
        <f>(4905.0/B14*100)</f>
        <v/>
      </c>
      <c r="D14" s="19" t="n">
        <v>682</v>
      </c>
      <c r="E14" s="18" t="n">
        <v>52.62059898</v>
      </c>
      <c r="F14" s="20" t="n">
        <v>1.98253086</v>
      </c>
      <c r="G14" s="18" t="n">
        <v>46.45001216</v>
      </c>
      <c r="H14" s="20" t="n">
        <v>1.93827801</v>
      </c>
      <c r="I14" s="18" t="n">
        <v>0</v>
      </c>
      <c r="J14" s="20" t="n">
        <v>0</v>
      </c>
      <c r="K14" s="18" t="n">
        <v>0.92938885</v>
      </c>
      <c r="L14" s="20" t="n">
        <v>0.3010115</v>
      </c>
      <c r="M14" s="18" t="n">
        <v>0</v>
      </c>
      <c r="N14" s="20" t="n">
        <v>0</v>
      </c>
      <c r="O14" s="18" t="n">
        <v>0</v>
      </c>
      <c r="P14" s="20" t="n">
        <v>0</v>
      </c>
      <c r="Q14" s="18" t="n">
        <v>0</v>
      </c>
      <c r="R14" s="20" t="n">
        <v>0</v>
      </c>
    </row>
    <row r="15" spans="1:18">
      <c r="A15" s="15" t="s">
        <v>437</v>
      </c>
      <c r="B15" s="17" t="n">
        <v>5882</v>
      </c>
      <c r="C15" s="18">
        <f>(5173.0/B15*100)</f>
        <v/>
      </c>
      <c r="D15" s="19" t="n">
        <v>709</v>
      </c>
      <c r="E15" s="18" t="n">
        <v>55.43767094</v>
      </c>
      <c r="F15" s="20" t="n">
        <v>1.91152005</v>
      </c>
      <c r="G15" s="18" t="n">
        <v>43.72761859</v>
      </c>
      <c r="H15" s="20" t="n">
        <v>1.90794442</v>
      </c>
      <c r="I15" s="18" t="n">
        <v>0</v>
      </c>
      <c r="J15" s="20" t="n">
        <v>0</v>
      </c>
      <c r="K15" s="18" t="n">
        <v>0.83471047</v>
      </c>
      <c r="L15" s="20" t="n">
        <v>0.37765269</v>
      </c>
      <c r="M15" s="18" t="n">
        <v>0</v>
      </c>
      <c r="N15" s="20" t="n">
        <v>0</v>
      </c>
      <c r="O15" s="18" t="n">
        <v>0</v>
      </c>
      <c r="P15" s="20" t="n">
        <v>0</v>
      </c>
      <c r="Q15" s="18" t="n">
        <v>0</v>
      </c>
      <c r="R15" s="20" t="n">
        <v>0</v>
      </c>
    </row>
    <row r="16" spans="1:18">
      <c r="A16" s="15" t="s">
        <v>438</v>
      </c>
      <c r="B16" s="17" t="n">
        <v>6108</v>
      </c>
      <c r="C16" s="18">
        <f>(5389.0/B16*100)</f>
        <v/>
      </c>
      <c r="D16" s="19" t="n">
        <v>719</v>
      </c>
      <c r="E16" s="18" t="n">
        <v>39.17274972</v>
      </c>
      <c r="F16" s="20" t="n">
        <v>1.66726075</v>
      </c>
      <c r="G16" s="18" t="n">
        <v>57.23963084</v>
      </c>
      <c r="H16" s="20" t="n">
        <v>1.67103147</v>
      </c>
      <c r="I16" s="18" t="n">
        <v>0</v>
      </c>
      <c r="J16" s="20" t="n">
        <v>0</v>
      </c>
      <c r="K16" s="18" t="n">
        <v>3.58761943</v>
      </c>
      <c r="L16" s="20" t="n">
        <v>0.78831526</v>
      </c>
      <c r="M16" s="18" t="n">
        <v>0</v>
      </c>
      <c r="N16" s="20" t="n">
        <v>0</v>
      </c>
      <c r="O16" s="18" t="n">
        <v>0</v>
      </c>
      <c r="P16" s="20" t="n">
        <v>0</v>
      </c>
      <c r="Q16" s="18" t="n">
        <v>0</v>
      </c>
      <c r="R16" s="20" t="n">
        <v>0</v>
      </c>
    </row>
    <row r="17" spans="1:18">
      <c r="A17" s="15" t="s">
        <v>439</v>
      </c>
      <c r="B17" s="17" t="n">
        <v>6504</v>
      </c>
      <c r="C17" s="18">
        <f>(5749.0/B17*100)</f>
        <v/>
      </c>
      <c r="D17" s="19" t="n">
        <v>755</v>
      </c>
      <c r="E17" s="18" t="n">
        <v>29.30644381</v>
      </c>
      <c r="F17" s="20" t="n">
        <v>1.57194946</v>
      </c>
      <c r="G17" s="18" t="n">
        <v>67.66220779</v>
      </c>
      <c r="H17" s="20" t="n">
        <v>1.66819771</v>
      </c>
      <c r="I17" s="18" t="n">
        <v>0</v>
      </c>
      <c r="J17" s="20" t="n">
        <v>0</v>
      </c>
      <c r="K17" s="18" t="n">
        <v>3.03134841</v>
      </c>
      <c r="L17" s="20" t="n">
        <v>0.57965214</v>
      </c>
      <c r="M17" s="18" t="n">
        <v>0</v>
      </c>
      <c r="N17" s="20" t="n">
        <v>0</v>
      </c>
      <c r="O17" s="18" t="n">
        <v>0</v>
      </c>
      <c r="P17" s="20" t="n">
        <v>0</v>
      </c>
      <c r="Q17" s="18" t="n">
        <v>0</v>
      </c>
      <c r="R17" s="20" t="n">
        <v>0</v>
      </c>
    </row>
    <row r="18" spans="1:18">
      <c r="A18" s="15" t="s">
        <v>440</v>
      </c>
      <c r="B18" s="17" t="n">
        <v>5532</v>
      </c>
      <c r="C18" s="18">
        <f>(4861.0/B18*100)</f>
        <v/>
      </c>
      <c r="D18" s="19" t="n">
        <v>671</v>
      </c>
      <c r="E18" s="18" t="n">
        <v>38.54895577</v>
      </c>
      <c r="F18" s="20" t="n">
        <v>2.07502708</v>
      </c>
      <c r="G18" s="18" t="n">
        <v>59.23589757</v>
      </c>
      <c r="H18" s="20" t="n">
        <v>1.99845112</v>
      </c>
      <c r="I18" s="18" t="n">
        <v>0</v>
      </c>
      <c r="J18" s="20" t="n">
        <v>0</v>
      </c>
      <c r="K18" s="18" t="n">
        <v>2.21514666</v>
      </c>
      <c r="L18" s="20" t="n">
        <v>0.64445822</v>
      </c>
      <c r="M18" s="18" t="n">
        <v>0</v>
      </c>
      <c r="N18" s="20" t="n">
        <v>0</v>
      </c>
      <c r="O18" s="18" t="n">
        <v>0</v>
      </c>
      <c r="P18" s="20" t="n">
        <v>0</v>
      </c>
      <c r="Q18" s="18" t="n">
        <v>0</v>
      </c>
      <c r="R18" s="20" t="n">
        <v>0</v>
      </c>
    </row>
    <row r="19" spans="1:18">
      <c r="A19" s="15" t="s">
        <v>441</v>
      </c>
      <c r="B19" s="17" t="n">
        <v>5658</v>
      </c>
      <c r="C19" s="18">
        <f>(4974.0/B19*100)</f>
        <v/>
      </c>
      <c r="D19" s="19" t="n">
        <v>684</v>
      </c>
      <c r="E19" s="18" t="n">
        <v>35.60931972</v>
      </c>
      <c r="F19" s="20" t="n">
        <v>1.98937161</v>
      </c>
      <c r="G19" s="18" t="n">
        <v>62.8860735</v>
      </c>
      <c r="H19" s="20" t="n">
        <v>2.01328711</v>
      </c>
      <c r="I19" s="18" t="n">
        <v>0</v>
      </c>
      <c r="J19" s="20" t="n">
        <v>0</v>
      </c>
      <c r="K19" s="18" t="n">
        <v>1.50460678</v>
      </c>
      <c r="L19" s="20" t="n">
        <v>0.46421246</v>
      </c>
      <c r="M19" s="18" t="n">
        <v>0</v>
      </c>
      <c r="N19" s="20" t="n">
        <v>0</v>
      </c>
      <c r="O19" s="18" t="n">
        <v>0</v>
      </c>
      <c r="P19" s="20" t="n">
        <v>0</v>
      </c>
      <c r="Q19" s="18" t="n">
        <v>0</v>
      </c>
      <c r="R19" s="20" t="n">
        <v>0</v>
      </c>
    </row>
    <row r="20" spans="1:18">
      <c r="A20" s="15" t="s">
        <v>442</v>
      </c>
      <c r="B20" s="17" t="n">
        <v>3371</v>
      </c>
      <c r="C20" s="18">
        <f>(2985.0/B20*100)</f>
        <v/>
      </c>
      <c r="D20" s="19" t="n">
        <v>386</v>
      </c>
      <c r="E20" s="18" t="n">
        <v>43.9717046</v>
      </c>
      <c r="F20" s="20" t="n">
        <v>2.41526034</v>
      </c>
      <c r="G20" s="18" t="n">
        <v>53.43460692</v>
      </c>
      <c r="H20" s="20" t="n">
        <v>2.45039472</v>
      </c>
      <c r="I20" s="18" t="n">
        <v>0</v>
      </c>
      <c r="J20" s="20" t="n">
        <v>0</v>
      </c>
      <c r="K20" s="18" t="n">
        <v>2.59368848</v>
      </c>
      <c r="L20" s="20" t="n">
        <v>0.80471532</v>
      </c>
      <c r="M20" s="18" t="n">
        <v>0</v>
      </c>
      <c r="N20" s="20" t="n">
        <v>0</v>
      </c>
      <c r="O20" s="18" t="n">
        <v>0</v>
      </c>
      <c r="P20" s="20" t="n">
        <v>0</v>
      </c>
      <c r="Q20" s="18" t="n">
        <v>0</v>
      </c>
      <c r="R20" s="20" t="n">
        <v>0</v>
      </c>
    </row>
    <row r="21" spans="1:18">
      <c r="A21" s="15" t="s">
        <v>443</v>
      </c>
      <c r="B21" s="17" t="n">
        <v>5741</v>
      </c>
      <c r="C21" s="18">
        <f>(4807.0/B21*100)</f>
        <v/>
      </c>
      <c r="D21" s="19" t="n">
        <v>934</v>
      </c>
      <c r="E21" s="18" t="n">
        <v>45.21200612</v>
      </c>
      <c r="F21" s="20" t="n">
        <v>1.67393758</v>
      </c>
      <c r="G21" s="18" t="n">
        <v>53.05722318</v>
      </c>
      <c r="H21" s="20" t="n">
        <v>1.67212137</v>
      </c>
      <c r="I21" s="18" t="n">
        <v>0</v>
      </c>
      <c r="J21" s="20" t="n">
        <v>0</v>
      </c>
      <c r="K21" s="18" t="n">
        <v>1.73077071</v>
      </c>
      <c r="L21" s="20" t="n">
        <v>0.43093166</v>
      </c>
      <c r="M21" s="18" t="n">
        <v>0</v>
      </c>
      <c r="N21" s="20" t="n">
        <v>0</v>
      </c>
      <c r="O21" s="18" t="n">
        <v>0</v>
      </c>
      <c r="P21" s="20" t="n">
        <v>0</v>
      </c>
      <c r="Q21" s="18" t="n">
        <v>0</v>
      </c>
      <c r="R21" s="20" t="n">
        <v>0</v>
      </c>
    </row>
    <row r="22" spans="1:18">
      <c r="A22" s="15" t="s">
        <v>444</v>
      </c>
      <c r="B22" s="17" t="n">
        <v>6598</v>
      </c>
      <c r="C22" s="18">
        <f>(5891.0/B22*100)</f>
        <v/>
      </c>
      <c r="D22" s="19" t="n">
        <v>707</v>
      </c>
      <c r="E22" s="18" t="n">
        <v>43.95386824</v>
      </c>
      <c r="F22" s="20" t="n">
        <v>1.98971414</v>
      </c>
      <c r="G22" s="18" t="n">
        <v>53.21187994</v>
      </c>
      <c r="H22" s="20" t="n">
        <v>1.8382545</v>
      </c>
      <c r="I22" s="18" t="n">
        <v>0</v>
      </c>
      <c r="J22" s="20" t="n">
        <v>0</v>
      </c>
      <c r="K22" s="18" t="n">
        <v>2.83425182</v>
      </c>
      <c r="L22" s="20" t="n">
        <v>0.72708002</v>
      </c>
      <c r="M22" s="18" t="n">
        <v>0</v>
      </c>
      <c r="N22" s="20" t="n">
        <v>0</v>
      </c>
      <c r="O22" s="18" t="n">
        <v>0</v>
      </c>
      <c r="P22" s="20" t="n">
        <v>0</v>
      </c>
      <c r="Q22" s="18" t="n">
        <v>0</v>
      </c>
      <c r="R22" s="20" t="n">
        <v>0</v>
      </c>
    </row>
    <row r="23" spans="1:18">
      <c r="A23" s="15" t="s">
        <v>445</v>
      </c>
      <c r="B23" s="17" t="n">
        <v>11583</v>
      </c>
      <c r="C23" s="18">
        <f>(10176.0/B23*100)</f>
        <v/>
      </c>
      <c r="D23" s="19" t="n">
        <v>1407</v>
      </c>
      <c r="E23" s="18" t="n">
        <v>33.62071715</v>
      </c>
      <c r="F23" s="20" t="n">
        <v>2.1458875</v>
      </c>
      <c r="G23" s="18" t="n">
        <v>64.16784923</v>
      </c>
      <c r="H23" s="20" t="n">
        <v>2.20096849</v>
      </c>
      <c r="I23" s="18" t="n">
        <v>0</v>
      </c>
      <c r="J23" s="20" t="n">
        <v>0</v>
      </c>
      <c r="K23" s="18" t="n">
        <v>2.21143362</v>
      </c>
      <c r="L23" s="20" t="n">
        <v>0.52400644</v>
      </c>
      <c r="M23" s="18" t="n">
        <v>0</v>
      </c>
      <c r="N23" s="20" t="n">
        <v>0</v>
      </c>
      <c r="O23" s="18" t="n">
        <v>0</v>
      </c>
      <c r="P23" s="20" t="n">
        <v>0</v>
      </c>
      <c r="Q23" s="18" t="n">
        <v>0</v>
      </c>
      <c r="R23" s="20" t="n">
        <v>0</v>
      </c>
    </row>
    <row r="24" spans="1:18">
      <c r="A24" s="15" t="s">
        <v>446</v>
      </c>
      <c r="B24" s="17" t="n">
        <v>6647</v>
      </c>
      <c r="C24" s="18">
        <f>(5883.0/B24*100)</f>
        <v/>
      </c>
      <c r="D24" s="19" t="n">
        <v>764</v>
      </c>
      <c r="E24" s="18" t="n">
        <v>36.00505962</v>
      </c>
      <c r="F24" s="20" t="n">
        <v>1.93573042</v>
      </c>
      <c r="G24" s="18" t="n">
        <v>61.59031364</v>
      </c>
      <c r="H24" s="20" t="n">
        <v>1.97501874</v>
      </c>
      <c r="I24" s="18" t="n">
        <v>0</v>
      </c>
      <c r="J24" s="20" t="n">
        <v>0</v>
      </c>
      <c r="K24" s="18" t="n">
        <v>2.40462674</v>
      </c>
      <c r="L24" s="20" t="n">
        <v>0.54971525</v>
      </c>
      <c r="M24" s="18" t="n">
        <v>0</v>
      </c>
      <c r="N24" s="20" t="n">
        <v>0</v>
      </c>
      <c r="O24" s="18" t="n">
        <v>0</v>
      </c>
      <c r="P24" s="20" t="n">
        <v>0</v>
      </c>
      <c r="Q24" s="18" t="n">
        <v>0</v>
      </c>
      <c r="R24" s="20" t="n">
        <v>0</v>
      </c>
    </row>
    <row r="25" spans="1:18">
      <c r="A25" s="15" t="s">
        <v>447</v>
      </c>
      <c r="B25" s="17" t="n">
        <v>5581</v>
      </c>
      <c r="C25" s="18">
        <f>(4908.0/B25*100)</f>
        <v/>
      </c>
      <c r="D25" s="19" t="n">
        <v>673</v>
      </c>
      <c r="E25" s="18" t="n">
        <v>25.56969557</v>
      </c>
      <c r="F25" s="20" t="n">
        <v>1.66084743</v>
      </c>
      <c r="G25" s="18" t="n">
        <v>73.55041326</v>
      </c>
      <c r="H25" s="20" t="n">
        <v>1.63250075</v>
      </c>
      <c r="I25" s="18" t="n">
        <v>0</v>
      </c>
      <c r="J25" s="20" t="n">
        <v>0</v>
      </c>
      <c r="K25" s="18" t="n">
        <v>0.8798911699999999</v>
      </c>
      <c r="L25" s="20" t="n">
        <v>0.36215933</v>
      </c>
      <c r="M25" s="18" t="n">
        <v>0</v>
      </c>
      <c r="N25" s="20" t="n">
        <v>0</v>
      </c>
      <c r="O25" s="18" t="n">
        <v>0</v>
      </c>
      <c r="P25" s="20" t="n">
        <v>0</v>
      </c>
      <c r="Q25" s="18" t="n">
        <v>0</v>
      </c>
      <c r="R25" s="20" t="n">
        <v>0</v>
      </c>
    </row>
    <row r="26" spans="1:18">
      <c r="A26" s="15" t="s">
        <v>448</v>
      </c>
      <c r="B26" s="17" t="n">
        <v>4869</v>
      </c>
      <c r="C26" s="18">
        <f>(4283.0/B26*100)</f>
        <v/>
      </c>
      <c r="D26" s="19" t="n">
        <v>586</v>
      </c>
      <c r="E26" s="18" t="n">
        <v>59.4389697</v>
      </c>
      <c r="F26" s="20" t="n">
        <v>2.48619515</v>
      </c>
      <c r="G26" s="18" t="n">
        <v>40.20289668</v>
      </c>
      <c r="H26" s="20" t="n">
        <v>2.43673448</v>
      </c>
      <c r="I26" s="18" t="n">
        <v>0</v>
      </c>
      <c r="J26" s="20" t="n">
        <v>0</v>
      </c>
      <c r="K26" s="18" t="n">
        <v>0.35813362</v>
      </c>
      <c r="L26" s="20" t="n">
        <v>0.25249377</v>
      </c>
      <c r="M26" s="18" t="n">
        <v>0</v>
      </c>
      <c r="N26" s="20" t="n">
        <v>0</v>
      </c>
      <c r="O26" s="18" t="n">
        <v>0</v>
      </c>
      <c r="P26" s="20" t="n">
        <v>0</v>
      </c>
      <c r="Q26" s="18" t="n">
        <v>0</v>
      </c>
      <c r="R26" s="20" t="n">
        <v>0</v>
      </c>
    </row>
    <row r="27" spans="1:18">
      <c r="A27" s="15" t="s">
        <v>449</v>
      </c>
      <c r="B27" s="17" t="n">
        <v>5299</v>
      </c>
      <c r="C27" s="18">
        <f>(4689.0/B27*100)</f>
        <v/>
      </c>
      <c r="D27" s="19" t="n">
        <v>610</v>
      </c>
      <c r="E27" s="18" t="n">
        <v>43.94196343</v>
      </c>
      <c r="F27" s="20" t="n">
        <v>1.70391916</v>
      </c>
      <c r="G27" s="18" t="n">
        <v>53.39650287</v>
      </c>
      <c r="H27" s="20" t="n">
        <v>1.83722494</v>
      </c>
      <c r="I27" s="18" t="n">
        <v>0</v>
      </c>
      <c r="J27" s="20" t="n">
        <v>0</v>
      </c>
      <c r="K27" s="18" t="n">
        <v>2.6615337</v>
      </c>
      <c r="L27" s="20" t="n">
        <v>0.70845766</v>
      </c>
      <c r="M27" s="18" t="n">
        <v>0</v>
      </c>
      <c r="N27" s="20" t="n">
        <v>0</v>
      </c>
      <c r="O27" s="18" t="n">
        <v>0</v>
      </c>
      <c r="P27" s="20" t="n">
        <v>0</v>
      </c>
      <c r="Q27" s="18" t="n">
        <v>0</v>
      </c>
      <c r="R27" s="20" t="n">
        <v>0</v>
      </c>
    </row>
    <row r="28" spans="1:18">
      <c r="A28" s="15" t="s">
        <v>450</v>
      </c>
      <c r="B28" s="17" t="n">
        <v>7568</v>
      </c>
      <c r="C28" s="18">
        <f>(6728.0/B28*100)</f>
        <v/>
      </c>
      <c r="D28" s="19" t="n">
        <v>840</v>
      </c>
      <c r="E28" s="18" t="n">
        <v>54.28134283</v>
      </c>
      <c r="F28" s="20" t="n">
        <v>1.91435468</v>
      </c>
      <c r="G28" s="18" t="n">
        <v>43.47606917</v>
      </c>
      <c r="H28" s="20" t="n">
        <v>1.95961144</v>
      </c>
      <c r="I28" s="18" t="n">
        <v>0</v>
      </c>
      <c r="J28" s="20" t="n">
        <v>0</v>
      </c>
      <c r="K28" s="18" t="n">
        <v>2.242588</v>
      </c>
      <c r="L28" s="20" t="n">
        <v>0.55028132</v>
      </c>
      <c r="M28" s="18" t="n">
        <v>0</v>
      </c>
      <c r="N28" s="20" t="n">
        <v>0</v>
      </c>
      <c r="O28" s="18" t="n">
        <v>0</v>
      </c>
      <c r="P28" s="20" t="n">
        <v>0</v>
      </c>
      <c r="Q28" s="18" t="n">
        <v>0</v>
      </c>
      <c r="R28" s="20" t="n">
        <v>0</v>
      </c>
    </row>
    <row r="29" spans="1:18">
      <c r="A29" s="15" t="s">
        <v>451</v>
      </c>
      <c r="B29" s="17" t="n">
        <v>5385</v>
      </c>
      <c r="C29" s="18">
        <f>(4739.0/B29*100)</f>
        <v/>
      </c>
      <c r="D29" s="19" t="n">
        <v>646</v>
      </c>
      <c r="E29" s="18" t="n">
        <v>41.82530782</v>
      </c>
      <c r="F29" s="20" t="n">
        <v>1.98650355</v>
      </c>
      <c r="G29" s="18" t="n">
        <v>57.73976397</v>
      </c>
      <c r="H29" s="20" t="n">
        <v>2.00581526</v>
      </c>
      <c r="I29" s="18" t="n">
        <v>0</v>
      </c>
      <c r="J29" s="20" t="n">
        <v>0</v>
      </c>
      <c r="K29" s="18" t="n">
        <v>0.4349282</v>
      </c>
      <c r="L29" s="20" t="n">
        <v>0.29990896</v>
      </c>
      <c r="M29" s="18" t="n">
        <v>0</v>
      </c>
      <c r="N29" s="20" t="n">
        <v>0</v>
      </c>
      <c r="O29" s="18" t="n">
        <v>0</v>
      </c>
      <c r="P29" s="20" t="n">
        <v>0</v>
      </c>
      <c r="Q29" s="18" t="n">
        <v>0</v>
      </c>
      <c r="R29" s="20" t="n">
        <v>0</v>
      </c>
    </row>
    <row r="30" spans="1:18">
      <c r="A30" s="15" t="s">
        <v>452</v>
      </c>
      <c r="B30" s="17" t="n">
        <v>4520</v>
      </c>
      <c r="C30" s="18">
        <f>(4005.0/B30*100)</f>
        <v/>
      </c>
      <c r="D30" s="19" t="n">
        <v>515</v>
      </c>
      <c r="E30" s="18" t="n">
        <v>45.59610272</v>
      </c>
      <c r="F30" s="20" t="n">
        <v>2.19484341</v>
      </c>
      <c r="G30" s="18" t="n">
        <v>50.32402224</v>
      </c>
      <c r="H30" s="20" t="n">
        <v>2.08440812</v>
      </c>
      <c r="I30" s="18" t="n">
        <v>0</v>
      </c>
      <c r="J30" s="20" t="n">
        <v>0</v>
      </c>
      <c r="K30" s="18" t="n">
        <v>4.07987504</v>
      </c>
      <c r="L30" s="20" t="n">
        <v>1.02729797</v>
      </c>
      <c r="M30" s="18" t="n">
        <v>0</v>
      </c>
      <c r="N30" s="20" t="n">
        <v>0</v>
      </c>
      <c r="O30" s="18" t="n">
        <v>0</v>
      </c>
      <c r="P30" s="20" t="n">
        <v>0</v>
      </c>
      <c r="Q30" s="18" t="n">
        <v>0</v>
      </c>
      <c r="R30" s="20" t="n">
        <v>0</v>
      </c>
    </row>
    <row r="31" spans="1:18">
      <c r="A31" s="15" t="s">
        <v>453</v>
      </c>
      <c r="B31" s="17" t="n">
        <v>5456</v>
      </c>
      <c r="C31" s="18">
        <f>(4809.0/B31*100)</f>
        <v/>
      </c>
      <c r="D31" s="19" t="n">
        <v>647</v>
      </c>
      <c r="E31" s="18" t="n">
        <v>55.33672726</v>
      </c>
      <c r="F31" s="20" t="n">
        <v>1.95046307</v>
      </c>
      <c r="G31" s="18" t="n">
        <v>41.61402864</v>
      </c>
      <c r="H31" s="20" t="n">
        <v>1.97659424</v>
      </c>
      <c r="I31" s="18" t="n">
        <v>0</v>
      </c>
      <c r="J31" s="20" t="n">
        <v>0</v>
      </c>
      <c r="K31" s="18" t="n">
        <v>3.0492441</v>
      </c>
      <c r="L31" s="20" t="n">
        <v>0.7691594899999999</v>
      </c>
      <c r="M31" s="18" t="n">
        <v>0</v>
      </c>
      <c r="N31" s="20" t="n">
        <v>0</v>
      </c>
      <c r="O31" s="18" t="n">
        <v>0</v>
      </c>
      <c r="P31" s="20" t="n">
        <v>0</v>
      </c>
      <c r="Q31" s="18" t="n">
        <v>0</v>
      </c>
      <c r="R31" s="20" t="n">
        <v>0</v>
      </c>
    </row>
    <row r="32" spans="1:18">
      <c r="A32" s="15" t="s">
        <v>454</v>
      </c>
      <c r="B32" s="17" t="n">
        <v>4478</v>
      </c>
      <c r="C32" s="18">
        <f>(3756.0/B32*100)</f>
        <v/>
      </c>
      <c r="D32" s="19" t="n">
        <v>722</v>
      </c>
      <c r="E32" s="18" t="n">
        <v>50.03581804</v>
      </c>
      <c r="F32" s="20" t="n">
        <v>2.03869235</v>
      </c>
      <c r="G32" s="18" t="n">
        <v>49.83107922</v>
      </c>
      <c r="H32" s="20" t="n">
        <v>2.03514876</v>
      </c>
      <c r="I32" s="18" t="n">
        <v>0</v>
      </c>
      <c r="J32" s="20" t="n">
        <v>0</v>
      </c>
      <c r="K32" s="18" t="n">
        <v>0.13310275</v>
      </c>
      <c r="L32" s="20" t="n">
        <v>0.14210146</v>
      </c>
      <c r="M32" s="18" t="n">
        <v>0</v>
      </c>
      <c r="N32" s="20" t="n">
        <v>0</v>
      </c>
      <c r="O32" s="18" t="n">
        <v>0</v>
      </c>
      <c r="P32" s="20" t="n">
        <v>0</v>
      </c>
      <c r="Q32" s="18" t="n">
        <v>0</v>
      </c>
      <c r="R32" s="20" t="n">
        <v>0</v>
      </c>
    </row>
    <row r="33" spans="1:18">
      <c r="A33" s="15" t="s">
        <v>455</v>
      </c>
      <c r="B33" s="17" t="n">
        <v>7325</v>
      </c>
      <c r="C33" s="18">
        <f>(6492.0/B33*100)</f>
        <v/>
      </c>
      <c r="D33" s="19" t="n">
        <v>833</v>
      </c>
      <c r="E33" s="18" t="n">
        <v>44.30705635</v>
      </c>
      <c r="F33" s="20" t="n">
        <v>2.0848745</v>
      </c>
      <c r="G33" s="18" t="n">
        <v>53.86661474</v>
      </c>
      <c r="H33" s="20" t="n">
        <v>1.93459401</v>
      </c>
      <c r="I33" s="18" t="n">
        <v>0</v>
      </c>
      <c r="J33" s="20" t="n">
        <v>0</v>
      </c>
      <c r="K33" s="18" t="n">
        <v>1.82632891</v>
      </c>
      <c r="L33" s="20" t="n">
        <v>0.61327082</v>
      </c>
      <c r="M33" s="18" t="n">
        <v>0</v>
      </c>
      <c r="N33" s="20" t="n">
        <v>0</v>
      </c>
      <c r="O33" s="18" t="n">
        <v>0</v>
      </c>
      <c r="P33" s="20" t="n">
        <v>0</v>
      </c>
      <c r="Q33" s="18" t="n">
        <v>0</v>
      </c>
      <c r="R33" s="20" t="n">
        <v>0</v>
      </c>
    </row>
    <row r="34" spans="1:18">
      <c r="A34" s="15" t="s">
        <v>456</v>
      </c>
      <c r="B34" s="17" t="n">
        <v>6350</v>
      </c>
      <c r="C34" s="18">
        <f>(5624.0/B34*100)</f>
        <v/>
      </c>
      <c r="D34" s="19" t="n">
        <v>726</v>
      </c>
      <c r="E34" s="18" t="n">
        <v>44.49613424</v>
      </c>
      <c r="F34" s="20" t="n">
        <v>1.83001318</v>
      </c>
      <c r="G34" s="18" t="n">
        <v>53.91751394</v>
      </c>
      <c r="H34" s="20" t="n">
        <v>1.81099634</v>
      </c>
      <c r="I34" s="18" t="n">
        <v>0</v>
      </c>
      <c r="J34" s="20" t="n">
        <v>0</v>
      </c>
      <c r="K34" s="18" t="n">
        <v>1.58635182</v>
      </c>
      <c r="L34" s="20" t="n">
        <v>0.48870963</v>
      </c>
      <c r="M34" s="18" t="n">
        <v>0</v>
      </c>
      <c r="N34" s="20" t="n">
        <v>0</v>
      </c>
      <c r="O34" s="18" t="n">
        <v>0</v>
      </c>
      <c r="P34" s="20" t="n">
        <v>0</v>
      </c>
      <c r="Q34" s="18" t="n">
        <v>0</v>
      </c>
      <c r="R34" s="20" t="n">
        <v>0</v>
      </c>
    </row>
    <row r="35" spans="1:18">
      <c r="A35" s="15" t="s">
        <v>457</v>
      </c>
      <c r="B35" s="17" t="n">
        <v>6406</v>
      </c>
      <c r="C35" s="18">
        <f>(5639.0/B35*100)</f>
        <v/>
      </c>
      <c r="D35" s="19" t="n">
        <v>767</v>
      </c>
      <c r="E35" s="18" t="n">
        <v>47.34016515</v>
      </c>
      <c r="F35" s="20" t="n">
        <v>2.28504378</v>
      </c>
      <c r="G35" s="18" t="n">
        <v>51.08769425</v>
      </c>
      <c r="H35" s="20" t="n">
        <v>2.31297476</v>
      </c>
      <c r="I35" s="18" t="n">
        <v>0</v>
      </c>
      <c r="J35" s="20" t="n">
        <v>0</v>
      </c>
      <c r="K35" s="18" t="n">
        <v>1.5721406</v>
      </c>
      <c r="L35" s="20" t="n">
        <v>0.62816167</v>
      </c>
      <c r="M35" s="18" t="n">
        <v>0</v>
      </c>
      <c r="N35" s="20" t="n">
        <v>0</v>
      </c>
      <c r="O35" s="18" t="n">
        <v>0</v>
      </c>
      <c r="P35" s="20" t="n">
        <v>0</v>
      </c>
      <c r="Q35" s="18" t="n">
        <v>0</v>
      </c>
      <c r="R35" s="20" t="n">
        <v>0</v>
      </c>
    </row>
    <row r="36" spans="1:18">
      <c r="A36" s="15" t="s">
        <v>458</v>
      </c>
      <c r="B36" s="17" t="n">
        <v>6736</v>
      </c>
      <c r="C36" s="18">
        <f>(5966.0/B36*100)</f>
        <v/>
      </c>
      <c r="D36" s="19" t="n">
        <v>770</v>
      </c>
      <c r="E36" s="18" t="n">
        <v>35.39274602</v>
      </c>
      <c r="F36" s="20" t="n">
        <v>1.75234803</v>
      </c>
      <c r="G36" s="18" t="n">
        <v>62.54656211</v>
      </c>
      <c r="H36" s="20" t="n">
        <v>1.7366984</v>
      </c>
      <c r="I36" s="18" t="n">
        <v>0</v>
      </c>
      <c r="J36" s="20" t="n">
        <v>0</v>
      </c>
      <c r="K36" s="18" t="n">
        <v>2.06069187</v>
      </c>
      <c r="L36" s="20" t="n">
        <v>0.46730657</v>
      </c>
      <c r="M36" s="18" t="n">
        <v>0</v>
      </c>
      <c r="N36" s="20" t="n">
        <v>0</v>
      </c>
      <c r="O36" s="18" t="n">
        <v>0</v>
      </c>
      <c r="P36" s="20" t="n">
        <v>0</v>
      </c>
      <c r="Q36" s="18" t="n">
        <v>0</v>
      </c>
      <c r="R36" s="20" t="n">
        <v>0</v>
      </c>
    </row>
    <row r="37" spans="1:18">
      <c r="A37" s="15" t="s">
        <v>459</v>
      </c>
      <c r="B37" s="17" t="n">
        <v>5458</v>
      </c>
      <c r="C37" s="18">
        <f>(4801.0/B37*100)</f>
        <v/>
      </c>
      <c r="D37" s="19" t="n">
        <v>657</v>
      </c>
      <c r="E37" s="18" t="n">
        <v>50.97134416</v>
      </c>
      <c r="F37" s="20" t="n">
        <v>2.11918875</v>
      </c>
      <c r="G37" s="18" t="n">
        <v>45.02391454</v>
      </c>
      <c r="H37" s="20" t="n">
        <v>2.08627619</v>
      </c>
      <c r="I37" s="18" t="n">
        <v>0</v>
      </c>
      <c r="J37" s="20" t="n">
        <v>0</v>
      </c>
      <c r="K37" s="18" t="n">
        <v>4.00474131</v>
      </c>
      <c r="L37" s="20" t="n">
        <v>0.76964682</v>
      </c>
      <c r="M37" s="18" t="n">
        <v>0</v>
      </c>
      <c r="N37" s="20" t="n">
        <v>0</v>
      </c>
      <c r="O37" s="18" t="n">
        <v>0</v>
      </c>
      <c r="P37" s="20" t="n">
        <v>0</v>
      </c>
      <c r="Q37" s="18" t="n">
        <v>0</v>
      </c>
      <c r="R37" s="20" t="n">
        <v>0</v>
      </c>
    </row>
    <row r="38" spans="1:18">
      <c r="A38" s="15" t="s">
        <v>460</v>
      </c>
      <c r="B38" s="17" t="n">
        <v>5860</v>
      </c>
      <c r="C38" s="18">
        <f>(4928.0/B38*100)</f>
        <v/>
      </c>
      <c r="D38" s="19" t="n">
        <v>932</v>
      </c>
      <c r="E38" s="18" t="n">
        <v>40.53628588</v>
      </c>
      <c r="F38" s="20" t="n">
        <v>1.94318151</v>
      </c>
      <c r="G38" s="18" t="n">
        <v>56.03503161</v>
      </c>
      <c r="H38" s="20" t="n">
        <v>1.97532205</v>
      </c>
      <c r="I38" s="18" t="n">
        <v>0</v>
      </c>
      <c r="J38" s="20" t="n">
        <v>0</v>
      </c>
      <c r="K38" s="18" t="n">
        <v>3.42868251</v>
      </c>
      <c r="L38" s="20" t="n">
        <v>0.5726443</v>
      </c>
      <c r="M38" s="18" t="n">
        <v>0</v>
      </c>
      <c r="N38" s="20" t="n">
        <v>0</v>
      </c>
      <c r="O38" s="18" t="n">
        <v>0</v>
      </c>
      <c r="P38" s="20" t="n">
        <v>0</v>
      </c>
      <c r="Q38" s="18" t="n">
        <v>0</v>
      </c>
      <c r="R38" s="20" t="n">
        <v>0</v>
      </c>
    </row>
    <row r="39" spans="1:18">
      <c r="A39" s="15" t="s">
        <v>461</v>
      </c>
      <c r="B39" s="17" t="n">
        <v>5895</v>
      </c>
      <c r="C39" s="18">
        <f>(5177.0/B39*100)</f>
        <v/>
      </c>
      <c r="D39" s="19" t="n">
        <v>718</v>
      </c>
      <c r="E39" s="18" t="n">
        <v>45.16721944</v>
      </c>
      <c r="F39" s="20" t="n">
        <v>2.06736584</v>
      </c>
      <c r="G39" s="18" t="n">
        <v>53.78266218</v>
      </c>
      <c r="H39" s="20" t="n">
        <v>2.10599189</v>
      </c>
      <c r="I39" s="18" t="n">
        <v>0</v>
      </c>
      <c r="J39" s="20" t="n">
        <v>0</v>
      </c>
      <c r="K39" s="18" t="n">
        <v>1.05011838</v>
      </c>
      <c r="L39" s="20" t="n">
        <v>0.389312</v>
      </c>
      <c r="M39" s="18" t="n">
        <v>0</v>
      </c>
      <c r="N39" s="20" t="n">
        <v>0</v>
      </c>
      <c r="O39" s="18" t="n">
        <v>0</v>
      </c>
      <c r="P39" s="20" t="n">
        <v>0</v>
      </c>
      <c r="Q39" s="18" t="n">
        <v>0</v>
      </c>
      <c r="R39" s="20" t="n">
        <v>0</v>
      </c>
    </row>
    <row r="40" spans="1:18">
      <c r="A40" s="15" t="s">
        <v>462</v>
      </c>
      <c r="B40" s="17" t="n">
        <v>14157</v>
      </c>
      <c r="C40" s="18">
        <f>(12458.0/B40*100)</f>
        <v/>
      </c>
      <c r="D40" s="19" t="n">
        <v>1699</v>
      </c>
      <c r="E40" s="18" t="n">
        <v>46.66654527</v>
      </c>
      <c r="F40" s="20" t="n">
        <v>1.91737099</v>
      </c>
      <c r="G40" s="18" t="n">
        <v>51.01009031</v>
      </c>
      <c r="H40" s="20" t="n">
        <v>2.04515866</v>
      </c>
      <c r="I40" s="18" t="n">
        <v>0</v>
      </c>
      <c r="J40" s="20" t="n">
        <v>0</v>
      </c>
      <c r="K40" s="18" t="n">
        <v>2.32336441</v>
      </c>
      <c r="L40" s="20" t="n">
        <v>0.57916039</v>
      </c>
      <c r="M40" s="18" t="n">
        <v>0</v>
      </c>
      <c r="N40" s="20" t="n">
        <v>0</v>
      </c>
      <c r="O40" s="18" t="n">
        <v>0</v>
      </c>
      <c r="P40" s="20" t="n">
        <v>0</v>
      </c>
      <c r="Q40" s="18" t="n">
        <v>0</v>
      </c>
      <c r="R40" s="20" t="n">
        <v>0</v>
      </c>
    </row>
    <row r="41" spans="1:18">
      <c r="A41" s="15" t="s">
        <v>463</v>
      </c>
      <c r="B41" s="17" t="n">
        <v>5712</v>
      </c>
      <c r="C41" s="18">
        <f>(5038.0/B41*100)</f>
        <v/>
      </c>
      <c r="D41" s="19" t="n">
        <v>674</v>
      </c>
      <c r="E41" s="18" t="n">
        <v>39.59741499</v>
      </c>
      <c r="F41" s="20" t="n">
        <v>2.05207668</v>
      </c>
      <c r="G41" s="18" t="n">
        <v>59.13623533</v>
      </c>
      <c r="H41" s="20" t="n">
        <v>2.11914389</v>
      </c>
      <c r="I41" s="18" t="n">
        <v>0</v>
      </c>
      <c r="J41" s="20" t="n">
        <v>0</v>
      </c>
      <c r="K41" s="18" t="n">
        <v>1.26634967</v>
      </c>
      <c r="L41" s="20" t="n">
        <v>0.44008179</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(21121.0/B46*100)</f>
        <v/>
      </c>
      <c r="D46" s="19" t="n">
        <v>2020</v>
      </c>
      <c r="E46" s="18" t="n">
        <v>53.14674266</v>
      </c>
      <c r="F46" s="20" t="n">
        <v>1.5412058</v>
      </c>
      <c r="G46" s="18" t="n">
        <v>42.75343578</v>
      </c>
      <c r="H46" s="20" t="n">
        <v>1.53833625</v>
      </c>
      <c r="I46" s="18" t="n">
        <v>0</v>
      </c>
      <c r="J46" s="20" t="n">
        <v>0</v>
      </c>
      <c r="K46" s="18" t="n">
        <v>4.09982155</v>
      </c>
      <c r="L46" s="20" t="n">
        <v>0.5781453</v>
      </c>
      <c r="M46" s="18" t="n">
        <v>0</v>
      </c>
      <c r="N46" s="20" t="n">
        <v>0</v>
      </c>
      <c r="O46" s="18" t="n">
        <v>0</v>
      </c>
      <c r="P46" s="20" t="n">
        <v>0</v>
      </c>
      <c r="Q46" s="18" t="n">
        <v>0</v>
      </c>
      <c r="R46" s="20" t="n">
        <v>0</v>
      </c>
    </row>
    <row r="47" spans="1:18">
      <c r="A47" s="15" t="s">
        <v>470</v>
      </c>
      <c r="B47" s="17" t="n">
        <v>5928</v>
      </c>
      <c r="C47" s="18">
        <f>(5212.0/B47*100)</f>
        <v/>
      </c>
      <c r="D47" s="19" t="n">
        <v>716</v>
      </c>
      <c r="E47" s="18" t="n">
        <v>48.16498602</v>
      </c>
      <c r="F47" s="20" t="n">
        <v>2.09527497</v>
      </c>
      <c r="G47" s="18" t="n">
        <v>48.90805561</v>
      </c>
      <c r="H47" s="20" t="n">
        <v>1.99171816</v>
      </c>
      <c r="I47" s="18" t="n">
        <v>0</v>
      </c>
      <c r="J47" s="20" t="n">
        <v>0</v>
      </c>
      <c r="K47" s="18" t="n">
        <v>2.92695837</v>
      </c>
      <c r="L47" s="20" t="n">
        <v>0.65489499</v>
      </c>
      <c r="M47" s="18" t="n">
        <v>0</v>
      </c>
      <c r="N47" s="20" t="n">
        <v>0</v>
      </c>
      <c r="O47" s="18" t="n">
        <v>0</v>
      </c>
      <c r="P47" s="20" t="n">
        <v>0</v>
      </c>
      <c r="Q47" s="18" t="n">
        <v>0</v>
      </c>
      <c r="R47" s="20" t="n">
        <v>0</v>
      </c>
    </row>
    <row r="48" spans="1:18">
      <c r="A48" s="15" t="s">
        <v>471</v>
      </c>
      <c r="B48" s="17" t="n">
        <v>9841</v>
      </c>
      <c r="C48" s="18">
        <f>(8645.0/B48*100)</f>
        <v/>
      </c>
      <c r="D48" s="19" t="n">
        <v>1196</v>
      </c>
      <c r="E48" s="18" t="n">
        <v>38.25842836</v>
      </c>
      <c r="F48" s="20" t="n">
        <v>2.01562774</v>
      </c>
      <c r="G48" s="18" t="n">
        <v>60.66111626</v>
      </c>
      <c r="H48" s="20" t="n">
        <v>2.02025169</v>
      </c>
      <c r="I48" s="18" t="n">
        <v>0</v>
      </c>
      <c r="J48" s="20" t="n">
        <v>0</v>
      </c>
      <c r="K48" s="18" t="n">
        <v>1.08045538</v>
      </c>
      <c r="L48" s="20" t="n">
        <v>0.39704836</v>
      </c>
      <c r="M48" s="18" t="n">
        <v>0</v>
      </c>
      <c r="N48" s="20" t="n">
        <v>0</v>
      </c>
      <c r="O48" s="18" t="n">
        <v>0</v>
      </c>
      <c r="P48" s="20" t="n">
        <v>0</v>
      </c>
      <c r="Q48" s="18" t="n">
        <v>0</v>
      </c>
      <c r="R48" s="20" t="n">
        <v>0</v>
      </c>
    </row>
    <row r="49" spans="1:18">
      <c r="A49" s="15" t="s">
        <v>472</v>
      </c>
      <c r="B49" s="17" t="n">
        <v>11795</v>
      </c>
      <c r="C49" s="18">
        <f>(10442.0/B49*100)</f>
        <v/>
      </c>
      <c r="D49" s="19" t="n">
        <v>1353</v>
      </c>
      <c r="E49" s="18" t="n">
        <v>56.475705</v>
      </c>
      <c r="F49" s="20" t="n">
        <v>1.94056828</v>
      </c>
      <c r="G49" s="18" t="n">
        <v>39.00652464</v>
      </c>
      <c r="H49" s="20" t="n">
        <v>1.9171277</v>
      </c>
      <c r="I49" s="18" t="n">
        <v>0</v>
      </c>
      <c r="J49" s="20" t="n">
        <v>0</v>
      </c>
      <c r="K49" s="18" t="n">
        <v>4.51777036</v>
      </c>
      <c r="L49" s="20" t="n">
        <v>0.94947614</v>
      </c>
      <c r="M49" s="18" t="n">
        <v>0</v>
      </c>
      <c r="N49" s="20" t="n">
        <v>0</v>
      </c>
      <c r="O49" s="18" t="n">
        <v>0</v>
      </c>
      <c r="P49" s="20" t="n">
        <v>0</v>
      </c>
      <c r="Q49" s="18" t="n">
        <v>0</v>
      </c>
      <c r="R49" s="20" t="n">
        <v>0</v>
      </c>
    </row>
    <row r="50" spans="1:18">
      <c r="A50" s="15" t="s">
        <v>473</v>
      </c>
      <c r="B50" s="17" t="n">
        <v>6866</v>
      </c>
      <c r="C50" s="18">
        <f>(6181.0/B50*100)</f>
        <v/>
      </c>
      <c r="D50" s="19" t="n">
        <v>685</v>
      </c>
      <c r="E50" s="18" t="n">
        <v>53.238063</v>
      </c>
      <c r="F50" s="20" t="n">
        <v>2.02628749</v>
      </c>
      <c r="G50" s="18" t="n">
        <v>44.58382575</v>
      </c>
      <c r="H50" s="20" t="n">
        <v>2.07160526</v>
      </c>
      <c r="I50" s="18" t="n">
        <v>0</v>
      </c>
      <c r="J50" s="20" t="n">
        <v>0</v>
      </c>
      <c r="K50" s="18" t="n">
        <v>2.17811125</v>
      </c>
      <c r="L50" s="20" t="n">
        <v>0.60818211</v>
      </c>
      <c r="M50" s="18" t="n">
        <v>0</v>
      </c>
      <c r="N50" s="20" t="n">
        <v>0</v>
      </c>
      <c r="O50" s="18" t="n">
        <v>0</v>
      </c>
      <c r="P50" s="20" t="n">
        <v>0</v>
      </c>
      <c r="Q50" s="18" t="n">
        <v>0</v>
      </c>
      <c r="R50" s="20" t="n">
        <v>0</v>
      </c>
    </row>
    <row r="51" spans="1:18">
      <c r="A51" s="15" t="s">
        <v>474</v>
      </c>
      <c r="B51" s="17" t="n">
        <v>5809</v>
      </c>
      <c r="C51" s="18">
        <f>(5089.0/B51*100)</f>
        <v/>
      </c>
      <c r="D51" s="19" t="n">
        <v>720</v>
      </c>
      <c r="E51" s="18" t="n">
        <v>37.12828887</v>
      </c>
      <c r="F51" s="20" t="n">
        <v>2.04579972</v>
      </c>
      <c r="G51" s="18" t="n">
        <v>61.2850469</v>
      </c>
      <c r="H51" s="20" t="n">
        <v>2.07569057</v>
      </c>
      <c r="I51" s="18" t="n">
        <v>0</v>
      </c>
      <c r="J51" s="20" t="n">
        <v>0</v>
      </c>
      <c r="K51" s="18" t="n">
        <v>1.58666424</v>
      </c>
      <c r="L51" s="20" t="n">
        <v>0.49945557</v>
      </c>
      <c r="M51" s="18" t="n">
        <v>0</v>
      </c>
      <c r="N51" s="20" t="n">
        <v>0</v>
      </c>
      <c r="O51" s="18" t="n">
        <v>0</v>
      </c>
      <c r="P51" s="20" t="n">
        <v>0</v>
      </c>
      <c r="Q51" s="18" t="n">
        <v>0</v>
      </c>
      <c r="R51" s="20" t="n">
        <v>0</v>
      </c>
    </row>
    <row r="52" spans="1:18">
      <c r="A52" s="15" t="s">
        <v>475</v>
      </c>
      <c r="B52" s="17" t="n">
        <v>5571</v>
      </c>
      <c r="C52" s="18">
        <f>(4924.0/B52*100)</f>
        <v/>
      </c>
      <c r="D52" s="19" t="n">
        <v>647</v>
      </c>
      <c r="E52" s="18" t="n">
        <v>52.80457042</v>
      </c>
      <c r="F52" s="20" t="n">
        <v>1.92645845</v>
      </c>
      <c r="G52" s="18" t="n">
        <v>44.47844019</v>
      </c>
      <c r="H52" s="20" t="n">
        <v>1.88880425</v>
      </c>
      <c r="I52" s="18" t="n">
        <v>0</v>
      </c>
      <c r="J52" s="20" t="n">
        <v>0</v>
      </c>
      <c r="K52" s="18" t="n">
        <v>2.71698939</v>
      </c>
      <c r="L52" s="20" t="n">
        <v>0.63476259</v>
      </c>
      <c r="M52" s="18" t="n">
        <v>0</v>
      </c>
      <c r="N52" s="20" t="n">
        <v>0</v>
      </c>
      <c r="O52" s="18" t="n">
        <v>0</v>
      </c>
      <c r="P52" s="20" t="n">
        <v>0</v>
      </c>
      <c r="Q52" s="18" t="n">
        <v>0</v>
      </c>
      <c r="R52" s="20" t="n">
        <v>0</v>
      </c>
    </row>
    <row r="53" spans="1:18">
      <c r="A53" s="15" t="s">
        <v>476</v>
      </c>
      <c r="B53" s="17" t="n">
        <v>4740</v>
      </c>
      <c r="C53" s="18">
        <f>(3982.0/B53*100)</f>
        <v/>
      </c>
      <c r="D53" s="19" t="n">
        <v>758</v>
      </c>
      <c r="E53" s="18" t="n">
        <v>50.53624232</v>
      </c>
      <c r="F53" s="20" t="n">
        <v>1.90996396</v>
      </c>
      <c r="G53" s="18" t="n">
        <v>24.19777246</v>
      </c>
      <c r="H53" s="20" t="n">
        <v>1.61401022</v>
      </c>
      <c r="I53" s="18" t="n">
        <v>0</v>
      </c>
      <c r="J53" s="20" t="n">
        <v>0</v>
      </c>
      <c r="K53" s="18" t="n">
        <v>25.26598523</v>
      </c>
      <c r="L53" s="20" t="n">
        <v>1.49459636</v>
      </c>
      <c r="M53" s="18" t="n">
        <v>0</v>
      </c>
      <c r="N53" s="20" t="n">
        <v>0</v>
      </c>
      <c r="O53" s="18" t="n">
        <v>0</v>
      </c>
      <c r="P53" s="20" t="n">
        <v>0</v>
      </c>
      <c r="Q53" s="18" t="n">
        <v>0</v>
      </c>
      <c r="R53" s="20" t="n">
        <v>0</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(4717.0/B55*100)</f>
        <v/>
      </c>
      <c r="D55" s="19" t="n">
        <v>642</v>
      </c>
      <c r="E55" s="18" t="n">
        <v>30.5918453</v>
      </c>
      <c r="F55" s="20" t="n">
        <v>1.80077263</v>
      </c>
      <c r="G55" s="18" t="n">
        <v>67.80804673999999</v>
      </c>
      <c r="H55" s="20" t="n">
        <v>1.85020394</v>
      </c>
      <c r="I55" s="18" t="n">
        <v>0</v>
      </c>
      <c r="J55" s="20" t="n">
        <v>0</v>
      </c>
      <c r="K55" s="18" t="n">
        <v>1.60010796</v>
      </c>
      <c r="L55" s="20" t="n">
        <v>0.50677967</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(5764.0/B61*100)</f>
        <v/>
      </c>
      <c r="D61" s="19" t="n">
        <v>761</v>
      </c>
      <c r="E61" s="18" t="n">
        <v>52.53078346</v>
      </c>
      <c r="F61" s="20" t="n">
        <v>1.98460722</v>
      </c>
      <c r="G61" s="18" t="n">
        <v>45.97386012</v>
      </c>
      <c r="H61" s="20" t="n">
        <v>1.99641853</v>
      </c>
      <c r="I61" s="18" t="n">
        <v>0</v>
      </c>
      <c r="J61" s="20" t="n">
        <v>0</v>
      </c>
      <c r="K61" s="18" t="n">
        <v>1.49535642</v>
      </c>
      <c r="L61" s="20" t="n">
        <v>0.40640917</v>
      </c>
      <c r="M61" s="18" t="n">
        <v>0</v>
      </c>
      <c r="N61" s="20" t="n">
        <v>0</v>
      </c>
      <c r="O61" s="18" t="n">
        <v>0</v>
      </c>
      <c r="P61" s="20" t="n">
        <v>0</v>
      </c>
      <c r="Q61" s="18" t="n">
        <v>0</v>
      </c>
      <c r="R61" s="20" t="n">
        <v>0</v>
      </c>
    </row>
    <row r="62" spans="1:18">
      <c r="A62" s="15" t="s">
        <v>486</v>
      </c>
      <c r="B62" s="17" t="n">
        <v>4476</v>
      </c>
      <c r="C62" s="18">
        <f>(3947.0/B62*100)</f>
        <v/>
      </c>
      <c r="D62" s="19" t="n">
        <v>529</v>
      </c>
      <c r="E62" s="18" t="n">
        <v>36.09434974</v>
      </c>
      <c r="F62" s="20" t="n">
        <v>2.37949385</v>
      </c>
      <c r="G62" s="18" t="n">
        <v>63.90565026</v>
      </c>
      <c r="H62" s="20" t="n">
        <v>2.37949385</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(5006.0/B67*100)</f>
        <v/>
      </c>
      <c r="D67" s="19" t="n">
        <v>659</v>
      </c>
      <c r="E67" s="18" t="n">
        <v>49.1203453</v>
      </c>
      <c r="F67" s="20" t="n">
        <v>2.08574172</v>
      </c>
      <c r="G67" s="18" t="n">
        <v>47.25124408</v>
      </c>
      <c r="H67" s="20" t="n">
        <v>2.13178287</v>
      </c>
      <c r="I67" s="18" t="n">
        <v>0</v>
      </c>
      <c r="J67" s="20" t="n">
        <v>0</v>
      </c>
      <c r="K67" s="18" t="n">
        <v>3.62841062</v>
      </c>
      <c r="L67" s="20" t="n">
        <v>0.70667634</v>
      </c>
      <c r="M67" s="18" t="n">
        <v>0</v>
      </c>
      <c r="N67" s="20" t="n">
        <v>0</v>
      </c>
      <c r="O67" s="18" t="n">
        <v>0</v>
      </c>
      <c r="P67" s="20" t="n">
        <v>0</v>
      </c>
      <c r="Q67" s="18" t="n">
        <v>0</v>
      </c>
      <c r="R67" s="20" t="n">
        <v>0</v>
      </c>
    </row>
    <row r="68" spans="1:18">
      <c r="A68" s="15" t="s">
        <v>492</v>
      </c>
      <c r="B68" s="17" t="n">
        <v>6971</v>
      </c>
      <c r="C68" s="18">
        <f>(6314.0/B68*100)</f>
        <v/>
      </c>
      <c r="D68" s="19" t="n">
        <v>657</v>
      </c>
      <c r="E68" s="18" t="n">
        <v>57.10176816</v>
      </c>
      <c r="F68" s="20" t="n">
        <v>2.09212458</v>
      </c>
      <c r="G68" s="18" t="n">
        <v>40.68110646</v>
      </c>
      <c r="H68" s="20" t="n">
        <v>2.12542559</v>
      </c>
      <c r="I68" s="18" t="n">
        <v>0</v>
      </c>
      <c r="J68" s="20" t="n">
        <v>0</v>
      </c>
      <c r="K68" s="18" t="n">
        <v>2.21712538</v>
      </c>
      <c r="L68" s="20" t="n">
        <v>0.648633</v>
      </c>
      <c r="M68" s="18" t="n">
        <v>0</v>
      </c>
      <c r="N68" s="20" t="n">
        <v>0</v>
      </c>
      <c r="O68" s="18" t="n">
        <v>0</v>
      </c>
      <c r="P68" s="20" t="n">
        <v>0</v>
      </c>
      <c r="Q68" s="18" t="n">
        <v>0</v>
      </c>
      <c r="R68" s="20" t="n">
        <v>0</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(10074.0/B70*100)</f>
        <v/>
      </c>
      <c r="D70" s="19" t="n">
        <v>2009</v>
      </c>
      <c r="E70" s="18" t="n">
        <v>52.17108286</v>
      </c>
      <c r="F70" s="20" t="n">
        <v>1.16471003</v>
      </c>
      <c r="G70" s="18" t="n">
        <v>40.74899155</v>
      </c>
      <c r="H70" s="20" t="n">
        <v>1.13810788</v>
      </c>
      <c r="I70" s="18" t="n">
        <v>0</v>
      </c>
      <c r="J70" s="20" t="n">
        <v>0</v>
      </c>
      <c r="K70" s="18" t="n">
        <v>7.07992559</v>
      </c>
      <c r="L70" s="20" t="n">
        <v>0.57405294</v>
      </c>
      <c r="M70" s="18" t="n">
        <v>0</v>
      </c>
      <c r="N70" s="20" t="n">
        <v>0</v>
      </c>
      <c r="O70" s="18" t="n">
        <v>0</v>
      </c>
      <c r="P70" s="20" t="n">
        <v>0</v>
      </c>
      <c r="Q70" s="18" t="n">
        <v>0</v>
      </c>
      <c r="R70" s="20" t="n">
        <v>0</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(5362.0/B72*100)</f>
        <v/>
      </c>
      <c r="D72" s="19" t="n">
        <v>674</v>
      </c>
      <c r="E72" s="18" t="n">
        <v>57.61225163</v>
      </c>
      <c r="F72" s="20" t="n">
        <v>1.68476499</v>
      </c>
      <c r="G72" s="18" t="n">
        <v>40.92586053</v>
      </c>
      <c r="H72" s="20" t="n">
        <v>1.62453255</v>
      </c>
      <c r="I72" s="18" t="n">
        <v>0</v>
      </c>
      <c r="J72" s="20" t="n">
        <v>0</v>
      </c>
      <c r="K72" s="18" t="n">
        <v>1.46188784</v>
      </c>
      <c r="L72" s="20" t="n">
        <v>0.49845002</v>
      </c>
      <c r="M72" s="18" t="n">
        <v>0</v>
      </c>
      <c r="N72" s="20" t="n">
        <v>0</v>
      </c>
      <c r="O72" s="18" t="n">
        <v>0</v>
      </c>
      <c r="P72" s="20" t="n">
        <v>0</v>
      </c>
      <c r="Q72" s="18" t="n">
        <v>0</v>
      </c>
      <c r="R72" s="20" t="n">
        <v>0</v>
      </c>
    </row>
    <row r="73" spans="1:18">
      <c r="A73" s="15" t="s">
        <v>497</v>
      </c>
      <c r="B73" s="17" t="n">
        <v>6115</v>
      </c>
      <c r="C73" s="18">
        <f>(5386.0/B73*100)</f>
        <v/>
      </c>
      <c r="D73" s="19" t="n">
        <v>729</v>
      </c>
      <c r="E73" s="18" t="n">
        <v>29.82818867</v>
      </c>
      <c r="F73" s="20" t="n">
        <v>1.66679593</v>
      </c>
      <c r="G73" s="18" t="n">
        <v>69.18057738</v>
      </c>
      <c r="H73" s="20" t="n">
        <v>1.73046127</v>
      </c>
      <c r="I73" s="18" t="n">
        <v>0</v>
      </c>
      <c r="J73" s="20" t="n">
        <v>0</v>
      </c>
      <c r="K73" s="18" t="n">
        <v>0.99123394</v>
      </c>
      <c r="L73" s="20" t="n">
        <v>0.35295375</v>
      </c>
      <c r="M73" s="18" t="n">
        <v>0</v>
      </c>
      <c r="N73" s="20" t="n">
        <v>0</v>
      </c>
      <c r="O73" s="18" t="n">
        <v>0</v>
      </c>
      <c r="P73" s="20" t="n">
        <v>0</v>
      </c>
      <c r="Q73" s="18" t="n">
        <v>0</v>
      </c>
      <c r="R73" s="20" t="n">
        <v>0</v>
      </c>
    </row>
    <row r="74" spans="1:18">
      <c r="A74" s="15" t="s">
        <v>498</v>
      </c>
      <c r="B74" s="17" t="n">
        <v>7708</v>
      </c>
      <c r="C74" s="18">
        <f>(6762.0/B74*100)</f>
        <v/>
      </c>
      <c r="D74" s="19" t="n">
        <v>946</v>
      </c>
      <c r="E74" s="18" t="n">
        <v>29.20260722</v>
      </c>
      <c r="F74" s="20" t="n">
        <v>1.70098946</v>
      </c>
      <c r="G74" s="18" t="n">
        <v>70.55892914</v>
      </c>
      <c r="H74" s="20" t="n">
        <v>1.72027961</v>
      </c>
      <c r="I74" s="18" t="n">
        <v>0</v>
      </c>
      <c r="J74" s="20" t="n">
        <v>0</v>
      </c>
      <c r="K74" s="18" t="n">
        <v>0.23846364</v>
      </c>
      <c r="L74" s="20" t="n">
        <v>0.13947586</v>
      </c>
      <c r="M74" s="18" t="n">
        <v>0</v>
      </c>
      <c r="N74" s="20" t="n">
        <v>0</v>
      </c>
      <c r="O74" s="18" t="n">
        <v>0</v>
      </c>
      <c r="P74" s="20" t="n">
        <v>0</v>
      </c>
      <c r="Q74" s="18" t="n">
        <v>0</v>
      </c>
      <c r="R74" s="20" t="n">
        <v>0</v>
      </c>
    </row>
    <row r="75" spans="1:18">
      <c r="A75" s="15" t="s">
        <v>499</v>
      </c>
      <c r="B75" s="17" t="n">
        <v>8249</v>
      </c>
      <c r="C75" s="18">
        <f>(7325.0/B75*100)</f>
        <v/>
      </c>
      <c r="D75" s="19" t="n">
        <v>924</v>
      </c>
      <c r="E75" s="18" t="n">
        <v>62.47454373</v>
      </c>
      <c r="F75" s="20" t="n">
        <v>1.81768393</v>
      </c>
      <c r="G75" s="18" t="n">
        <v>36.84573572</v>
      </c>
      <c r="H75" s="20" t="n">
        <v>1.79938433</v>
      </c>
      <c r="I75" s="18" t="n">
        <v>0</v>
      </c>
      <c r="J75" s="20" t="n">
        <v>0</v>
      </c>
      <c r="K75" s="18" t="n">
        <v>0.67972055</v>
      </c>
      <c r="L75" s="20" t="n">
        <v>0.31262294</v>
      </c>
      <c r="M75" s="18" t="n">
        <v>0</v>
      </c>
      <c r="N75" s="20" t="n">
        <v>0</v>
      </c>
      <c r="O75" s="18" t="n">
        <v>0</v>
      </c>
      <c r="P75" s="20" t="n">
        <v>0</v>
      </c>
      <c r="Q75" s="18" t="n">
        <v>0</v>
      </c>
      <c r="R75" s="20" t="n">
        <v>0</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(4823.0/B77*100)</f>
        <v/>
      </c>
      <c r="D77" s="19" t="n">
        <v>552</v>
      </c>
      <c r="E77" s="18" t="n">
        <v>59.59599154</v>
      </c>
      <c r="F77" s="20" t="n">
        <v>2.44142275</v>
      </c>
      <c r="G77" s="18" t="n">
        <v>30.53465871</v>
      </c>
      <c r="H77" s="20" t="n">
        <v>2.01651518</v>
      </c>
      <c r="I77" s="18" t="n">
        <v>0</v>
      </c>
      <c r="J77" s="20" t="n">
        <v>0</v>
      </c>
      <c r="K77" s="18" t="n">
        <v>9.86934975</v>
      </c>
      <c r="L77" s="20" t="n">
        <v>1.48200465</v>
      </c>
      <c r="M77" s="18" t="n">
        <v>0</v>
      </c>
      <c r="N77" s="20" t="n">
        <v>0</v>
      </c>
      <c r="O77" s="18" t="n">
        <v>0</v>
      </c>
      <c r="P77" s="20" t="n">
        <v>0</v>
      </c>
      <c r="Q77" s="18" t="n">
        <v>0</v>
      </c>
      <c r="R77" s="20" t="n">
        <v>0</v>
      </c>
    </row>
    <row r="78" spans="1:18">
      <c r="A78" s="15" t="s">
        <v>502</v>
      </c>
      <c r="B78" s="17" t="n">
        <v>14167</v>
      </c>
      <c r="C78" s="18">
        <f>(12498.0/B78*100)</f>
        <v/>
      </c>
      <c r="D78" s="19" t="n">
        <v>1669</v>
      </c>
      <c r="E78" s="18" t="n">
        <v>55.99969874</v>
      </c>
      <c r="F78" s="20" t="n">
        <v>1.5056769</v>
      </c>
      <c r="G78" s="18" t="n">
        <v>41.14231109</v>
      </c>
      <c r="H78" s="20" t="n">
        <v>1.51172853</v>
      </c>
      <c r="I78" s="18" t="n">
        <v>0</v>
      </c>
      <c r="J78" s="20" t="n">
        <v>0</v>
      </c>
      <c r="K78" s="18" t="n">
        <v>2.85799016</v>
      </c>
      <c r="L78" s="20" t="n">
        <v>0.50457439</v>
      </c>
      <c r="M78" s="18" t="n">
        <v>0</v>
      </c>
      <c r="N78" s="20" t="n">
        <v>0</v>
      </c>
      <c r="O78" s="18" t="n">
        <v>0</v>
      </c>
      <c r="P78" s="20" t="n">
        <v>0</v>
      </c>
      <c r="Q78" s="18" t="n">
        <v>0</v>
      </c>
      <c r="R78" s="20" t="n">
        <v>0</v>
      </c>
    </row>
    <row r="79" spans="1:18">
      <c r="A79" s="15" t="s">
        <v>503</v>
      </c>
      <c r="B79" s="17" t="n">
        <v>6062</v>
      </c>
      <c r="C79" s="18">
        <f>(5386.0/B79*100)</f>
        <v/>
      </c>
      <c r="D79" s="19" t="n">
        <v>676</v>
      </c>
      <c r="E79" s="18" t="n">
        <v>54.39432733</v>
      </c>
      <c r="F79" s="20" t="n">
        <v>2.15475959</v>
      </c>
      <c r="G79" s="18" t="n">
        <v>40.53864967</v>
      </c>
      <c r="H79" s="20" t="n">
        <v>2.1382697</v>
      </c>
      <c r="I79" s="18" t="n">
        <v>0</v>
      </c>
      <c r="J79" s="20" t="n">
        <v>0</v>
      </c>
      <c r="K79" s="18" t="n">
        <v>5.067023</v>
      </c>
      <c r="L79" s="20" t="n">
        <v>0.82416483</v>
      </c>
      <c r="M79" s="18" t="n">
        <v>0</v>
      </c>
      <c r="N79" s="20" t="n">
        <v>0</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(28476.0/B82*100)</f>
        <v/>
      </c>
      <c r="D82" s="19" t="n">
        <v>3854</v>
      </c>
      <c r="E82" s="18" t="n">
        <v>37.63428597</v>
      </c>
      <c r="F82" s="20" t="n">
        <v>1.02309534</v>
      </c>
      <c r="G82" s="18" t="n">
        <v>60.90753581</v>
      </c>
      <c r="H82" s="20" t="n">
        <v>1.11561586</v>
      </c>
      <c r="I82" s="18" t="n">
        <v>0</v>
      </c>
      <c r="J82" s="20" t="n">
        <v>0</v>
      </c>
      <c r="K82" s="18" t="n">
        <v>1.45817823</v>
      </c>
      <c r="L82" s="20" t="n">
        <v>0.27786522</v>
      </c>
      <c r="M82" s="18" t="n">
        <v>0</v>
      </c>
      <c r="N82" s="20" t="n">
        <v>0</v>
      </c>
      <c r="O82" s="18" t="n">
        <v>0</v>
      </c>
      <c r="P82" s="20" t="n">
        <v>0</v>
      </c>
      <c r="Q82" s="18" t="n">
        <v>0</v>
      </c>
      <c r="R82" s="20" t="n">
        <v>0</v>
      </c>
    </row>
    <row r="83" spans="1:18">
      <c r="A83" s="15" t="s">
        <v>507</v>
      </c>
      <c r="B83" s="17" t="n">
        <v>1652</v>
      </c>
      <c r="C83" s="18">
        <f>(1465.0/B83*100)</f>
        <v/>
      </c>
      <c r="D83" s="19" t="n">
        <v>187</v>
      </c>
      <c r="E83" s="18" t="n">
        <v>32.09371279</v>
      </c>
      <c r="F83" s="20" t="n">
        <v>3.26373037</v>
      </c>
      <c r="G83" s="18" t="n">
        <v>67.90628721</v>
      </c>
      <c r="H83" s="20" t="n">
        <v>3.26373037</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(1668.0/B84*100)</f>
        <v/>
      </c>
      <c r="D84" s="19" t="n">
        <v>219</v>
      </c>
      <c r="E84" s="18" t="n">
        <v>41.34850497</v>
      </c>
      <c r="F84" s="20" t="n">
        <v>3.89943239</v>
      </c>
      <c r="G84" s="18" t="n">
        <v>56.64577248</v>
      </c>
      <c r="H84" s="20" t="n">
        <v>3.90084464</v>
      </c>
      <c r="I84" s="18" t="n">
        <v>0</v>
      </c>
      <c r="J84" s="20" t="n">
        <v>0</v>
      </c>
      <c r="K84" s="18" t="n">
        <v>2.00572254</v>
      </c>
      <c r="L84" s="20" t="n">
        <v>1.21360021</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(12761.0/B7*100)</f>
        <v/>
      </c>
      <c r="D7" s="19" t="n">
        <v>1769</v>
      </c>
      <c r="E7" s="18" t="n">
        <v>4.14642581</v>
      </c>
      <c r="F7" s="20" t="n">
        <v>0.57259781</v>
      </c>
      <c r="G7" s="18" t="n">
        <v>95.13793051</v>
      </c>
      <c r="H7" s="20" t="n">
        <v>0.59191417</v>
      </c>
      <c r="I7" s="18" t="n">
        <v>0</v>
      </c>
      <c r="J7" s="20" t="n">
        <v>0</v>
      </c>
      <c r="K7" s="18" t="n">
        <v>0.18180168</v>
      </c>
      <c r="L7" s="20" t="n">
        <v>0.1035387</v>
      </c>
      <c r="M7" s="18" t="n">
        <v>0</v>
      </c>
      <c r="N7" s="20" t="n">
        <v>0</v>
      </c>
      <c r="O7" s="18" t="n">
        <v>0</v>
      </c>
      <c r="P7" s="20" t="n">
        <v>0</v>
      </c>
      <c r="Q7" s="18" t="n">
        <v>0.533842</v>
      </c>
      <c r="R7" s="20" t="n">
        <v>0.17451066</v>
      </c>
    </row>
    <row r="8" spans="1:18">
      <c r="A8" s="15" t="s">
        <v>430</v>
      </c>
      <c r="B8" s="17" t="n">
        <v>7007</v>
      </c>
      <c r="C8" s="18">
        <f>(6087.0/B8*100)</f>
        <v/>
      </c>
      <c r="D8" s="19" t="n">
        <v>920</v>
      </c>
      <c r="E8" s="18" t="n">
        <v>3.3292422</v>
      </c>
      <c r="F8" s="20" t="n">
        <v>0.6263937000000001</v>
      </c>
      <c r="G8" s="18" t="n">
        <v>96.45911493</v>
      </c>
      <c r="H8" s="20" t="n">
        <v>0.63401279</v>
      </c>
      <c r="I8" s="18" t="n">
        <v>0</v>
      </c>
      <c r="J8" s="20" t="n">
        <v>0</v>
      </c>
      <c r="K8" s="18" t="n">
        <v>0</v>
      </c>
      <c r="L8" s="20" t="n">
        <v>0</v>
      </c>
      <c r="M8" s="18" t="n">
        <v>0</v>
      </c>
      <c r="N8" s="20" t="n">
        <v>0</v>
      </c>
      <c r="O8" s="18" t="n">
        <v>0</v>
      </c>
      <c r="P8" s="20" t="n">
        <v>0</v>
      </c>
      <c r="Q8" s="18" t="n">
        <v>0.21164287</v>
      </c>
      <c r="R8" s="20" t="n">
        <v>0.1317713</v>
      </c>
    </row>
    <row r="9" spans="1:18">
      <c r="A9" s="15" t="s">
        <v>431</v>
      </c>
      <c r="B9" s="17" t="n">
        <v>9651</v>
      </c>
      <c r="C9" s="18">
        <f>(8257.0/B9*100)</f>
        <v/>
      </c>
      <c r="D9" s="19" t="n">
        <v>1394</v>
      </c>
      <c r="E9" s="18" t="n">
        <v>5.84999569</v>
      </c>
      <c r="F9" s="20" t="n">
        <v>0.8439172</v>
      </c>
      <c r="G9" s="18" t="n">
        <v>93.23426418</v>
      </c>
      <c r="H9" s="20" t="n">
        <v>0.9201049</v>
      </c>
      <c r="I9" s="18" t="n">
        <v>0</v>
      </c>
      <c r="J9" s="20" t="n">
        <v>0</v>
      </c>
      <c r="K9" s="18" t="n">
        <v>0.13659396</v>
      </c>
      <c r="L9" s="20" t="n">
        <v>0.07044642</v>
      </c>
      <c r="M9" s="18" t="n">
        <v>0</v>
      </c>
      <c r="N9" s="20" t="n">
        <v>0</v>
      </c>
      <c r="O9" s="18" t="n">
        <v>0</v>
      </c>
      <c r="P9" s="20" t="n">
        <v>0</v>
      </c>
      <c r="Q9" s="18" t="n">
        <v>0.77914617</v>
      </c>
      <c r="R9" s="20" t="n">
        <v>0.27388081</v>
      </c>
    </row>
    <row r="10" spans="1:18">
      <c r="A10" s="15" t="s">
        <v>432</v>
      </c>
      <c r="B10" s="17" t="n">
        <v>20058</v>
      </c>
      <c r="C10" s="18">
        <f>(17565.0/B10*100)</f>
        <v/>
      </c>
      <c r="D10" s="19" t="n">
        <v>2493</v>
      </c>
      <c r="E10" s="18" t="n">
        <v>3.16140048</v>
      </c>
      <c r="F10" s="20" t="n">
        <v>0.61219295</v>
      </c>
      <c r="G10" s="18" t="n">
        <v>96.16198297</v>
      </c>
      <c r="H10" s="20" t="n">
        <v>0.62258664</v>
      </c>
      <c r="I10" s="18" t="n">
        <v>0</v>
      </c>
      <c r="J10" s="20" t="n">
        <v>0</v>
      </c>
      <c r="K10" s="18" t="n">
        <v>0.22116887</v>
      </c>
      <c r="L10" s="20" t="n">
        <v>0.153877</v>
      </c>
      <c r="M10" s="18" t="n">
        <v>0</v>
      </c>
      <c r="N10" s="20" t="n">
        <v>0</v>
      </c>
      <c r="O10" s="18" t="n">
        <v>0</v>
      </c>
      <c r="P10" s="20" t="n">
        <v>0</v>
      </c>
      <c r="Q10" s="18" t="n">
        <v>0.45544768</v>
      </c>
      <c r="R10" s="20" t="n">
        <v>0.19181527</v>
      </c>
    </row>
    <row r="11" spans="1:18">
      <c r="A11" s="15" t="s">
        <v>433</v>
      </c>
      <c r="B11" s="17" t="n">
        <v>7053</v>
      </c>
      <c r="C11" s="18">
        <f>(6203.0/B11*100)</f>
        <v/>
      </c>
      <c r="D11" s="19" t="n">
        <v>850</v>
      </c>
      <c r="E11" s="18" t="n">
        <v>4.08510735</v>
      </c>
      <c r="F11" s="20" t="n">
        <v>0.98271422</v>
      </c>
      <c r="G11" s="18" t="n">
        <v>95.32712714</v>
      </c>
      <c r="H11" s="20" t="n">
        <v>1.04103507</v>
      </c>
      <c r="I11" s="18" t="n">
        <v>0</v>
      </c>
      <c r="J11" s="20" t="n">
        <v>0</v>
      </c>
      <c r="K11" s="18" t="n">
        <v>0.10315391</v>
      </c>
      <c r="L11" s="20" t="n">
        <v>0.09568633999999999</v>
      </c>
      <c r="M11" s="18" t="n">
        <v>0</v>
      </c>
      <c r="N11" s="20" t="n">
        <v>0</v>
      </c>
      <c r="O11" s="18" t="n">
        <v>0</v>
      </c>
      <c r="P11" s="20" t="n">
        <v>0</v>
      </c>
      <c r="Q11" s="18" t="n">
        <v>0.4846116</v>
      </c>
      <c r="R11" s="20" t="n">
        <v>0.29945639</v>
      </c>
    </row>
    <row r="12" spans="1:18">
      <c r="A12" s="15" t="s">
        <v>434</v>
      </c>
      <c r="B12" s="17" t="n">
        <v>6894</v>
      </c>
      <c r="C12" s="18">
        <f>(5980.0/B12*100)</f>
        <v/>
      </c>
      <c r="D12" s="19" t="n">
        <v>914</v>
      </c>
      <c r="E12" s="18" t="n">
        <v>4.53091049</v>
      </c>
      <c r="F12" s="20" t="n">
        <v>1.55110531</v>
      </c>
      <c r="G12" s="18" t="n">
        <v>94.52667211000001</v>
      </c>
      <c r="H12" s="20" t="n">
        <v>1.64374133</v>
      </c>
      <c r="I12" s="18" t="n">
        <v>0</v>
      </c>
      <c r="J12" s="20" t="n">
        <v>0</v>
      </c>
      <c r="K12" s="18" t="n">
        <v>0</v>
      </c>
      <c r="L12" s="20" t="n">
        <v>0</v>
      </c>
      <c r="M12" s="18" t="n">
        <v>0</v>
      </c>
      <c r="N12" s="20" t="n">
        <v>0</v>
      </c>
      <c r="O12" s="18" t="n">
        <v>0</v>
      </c>
      <c r="P12" s="20" t="n">
        <v>0</v>
      </c>
      <c r="Q12" s="18" t="n">
        <v>0.9424174</v>
      </c>
      <c r="R12" s="20" t="n">
        <v>0.49266364</v>
      </c>
    </row>
    <row r="13" spans="1:18">
      <c r="A13" s="15" t="s">
        <v>435</v>
      </c>
      <c r="B13" s="17" t="n">
        <v>7161</v>
      </c>
      <c r="C13" s="18">
        <f>(5980.0/B13*100)</f>
        <v/>
      </c>
      <c r="D13" s="19" t="n">
        <v>1181</v>
      </c>
      <c r="E13" s="18" t="n">
        <v>3.98919623</v>
      </c>
      <c r="F13" s="20" t="n">
        <v>0.71540477</v>
      </c>
      <c r="G13" s="18" t="n">
        <v>95.51795777</v>
      </c>
      <c r="H13" s="20" t="n">
        <v>0.7853636899999999</v>
      </c>
      <c r="I13" s="18" t="n">
        <v>0</v>
      </c>
      <c r="J13" s="20" t="n">
        <v>0</v>
      </c>
      <c r="K13" s="18" t="n">
        <v>0.36513381</v>
      </c>
      <c r="L13" s="20" t="n">
        <v>0.25518291</v>
      </c>
      <c r="M13" s="18" t="n">
        <v>0</v>
      </c>
      <c r="N13" s="20" t="n">
        <v>0</v>
      </c>
      <c r="O13" s="18" t="n">
        <v>0</v>
      </c>
      <c r="P13" s="20" t="n">
        <v>0</v>
      </c>
      <c r="Q13" s="18" t="n">
        <v>0.12771218</v>
      </c>
      <c r="R13" s="20" t="n">
        <v>0.07690147</v>
      </c>
    </row>
    <row r="14" spans="1:18">
      <c r="A14" s="15" t="s">
        <v>436</v>
      </c>
      <c r="B14" s="17" t="n">
        <v>5587</v>
      </c>
      <c r="C14" s="18">
        <f>(4896.0/B14*100)</f>
        <v/>
      </c>
      <c r="D14" s="19" t="n">
        <v>691</v>
      </c>
      <c r="E14" s="18" t="n">
        <v>0.38530051</v>
      </c>
      <c r="F14" s="20" t="n">
        <v>0.22584785</v>
      </c>
      <c r="G14" s="18" t="n">
        <v>99.61469949000001</v>
      </c>
      <c r="H14" s="20" t="n">
        <v>0.22584785</v>
      </c>
      <c r="I14" s="18" t="n">
        <v>0</v>
      </c>
      <c r="J14" s="20" t="n">
        <v>0</v>
      </c>
      <c r="K14" s="18" t="n">
        <v>0</v>
      </c>
      <c r="L14" s="20" t="n">
        <v>0</v>
      </c>
      <c r="M14" s="18" t="n">
        <v>0</v>
      </c>
      <c r="N14" s="20" t="n">
        <v>0</v>
      </c>
      <c r="O14" s="18" t="n">
        <v>0</v>
      </c>
      <c r="P14" s="20" t="n">
        <v>0</v>
      </c>
      <c r="Q14" s="18" t="n">
        <v>0</v>
      </c>
      <c r="R14" s="20" t="n">
        <v>0</v>
      </c>
    </row>
    <row r="15" spans="1:18">
      <c r="A15" s="15" t="s">
        <v>437</v>
      </c>
      <c r="B15" s="17" t="n">
        <v>5882</v>
      </c>
      <c r="C15" s="18">
        <f>(5140.0/B15*100)</f>
        <v/>
      </c>
      <c r="D15" s="19" t="n">
        <v>742</v>
      </c>
      <c r="E15" s="18" t="n">
        <v>4.56352157</v>
      </c>
      <c r="F15" s="20" t="n">
        <v>0.7833642</v>
      </c>
      <c r="G15" s="18" t="n">
        <v>94.59450948999999</v>
      </c>
      <c r="H15" s="20" t="n">
        <v>0.9302288399999999</v>
      </c>
      <c r="I15" s="18" t="n">
        <v>0</v>
      </c>
      <c r="J15" s="20" t="n">
        <v>0</v>
      </c>
      <c r="K15" s="18" t="n">
        <v>0.40170095</v>
      </c>
      <c r="L15" s="20" t="n">
        <v>0.31275209</v>
      </c>
      <c r="M15" s="18" t="n">
        <v>0</v>
      </c>
      <c r="N15" s="20" t="n">
        <v>0</v>
      </c>
      <c r="O15" s="18" t="n">
        <v>0</v>
      </c>
      <c r="P15" s="20" t="n">
        <v>0</v>
      </c>
      <c r="Q15" s="18" t="n">
        <v>0.44026799</v>
      </c>
      <c r="R15" s="20" t="n">
        <v>0.26912343</v>
      </c>
    </row>
    <row r="16" spans="1:18">
      <c r="A16" s="15" t="s">
        <v>438</v>
      </c>
      <c r="B16" s="17" t="n">
        <v>6108</v>
      </c>
      <c r="C16" s="18">
        <f>(5376.0/B16*100)</f>
        <v/>
      </c>
      <c r="D16" s="19" t="n">
        <v>732</v>
      </c>
      <c r="E16" s="18" t="n">
        <v>3.50515138</v>
      </c>
      <c r="F16" s="20" t="n">
        <v>0.7705333</v>
      </c>
      <c r="G16" s="18" t="n">
        <v>94.87756243</v>
      </c>
      <c r="H16" s="20" t="n">
        <v>0.9480549700000001</v>
      </c>
      <c r="I16" s="18" t="n">
        <v>0</v>
      </c>
      <c r="J16" s="20" t="n">
        <v>0</v>
      </c>
      <c r="K16" s="18" t="n">
        <v>0.5045830100000001</v>
      </c>
      <c r="L16" s="20" t="n">
        <v>0.30995367</v>
      </c>
      <c r="M16" s="18" t="n">
        <v>0</v>
      </c>
      <c r="N16" s="20" t="n">
        <v>0</v>
      </c>
      <c r="O16" s="18" t="n">
        <v>0</v>
      </c>
      <c r="P16" s="20" t="n">
        <v>0</v>
      </c>
      <c r="Q16" s="18" t="n">
        <v>1.11270318</v>
      </c>
      <c r="R16" s="20" t="n">
        <v>0.41910738</v>
      </c>
    </row>
    <row r="17" spans="1:18">
      <c r="A17" s="15" t="s">
        <v>439</v>
      </c>
      <c r="B17" s="17" t="n">
        <v>6504</v>
      </c>
      <c r="C17" s="18">
        <f>(5604.0/B17*100)</f>
        <v/>
      </c>
      <c r="D17" s="19" t="n">
        <v>900</v>
      </c>
      <c r="E17" s="18" t="n">
        <v>4.02902392</v>
      </c>
      <c r="F17" s="20" t="n">
        <v>0.86928404</v>
      </c>
      <c r="G17" s="18" t="n">
        <v>95.41632303999999</v>
      </c>
      <c r="H17" s="20" t="n">
        <v>0.8986061</v>
      </c>
      <c r="I17" s="18" t="n">
        <v>0</v>
      </c>
      <c r="J17" s="20" t="n">
        <v>0</v>
      </c>
      <c r="K17" s="18" t="n">
        <v>0.10241744</v>
      </c>
      <c r="L17" s="20" t="n">
        <v>0.10507347</v>
      </c>
      <c r="M17" s="18" t="n">
        <v>0</v>
      </c>
      <c r="N17" s="20" t="n">
        <v>0</v>
      </c>
      <c r="O17" s="18" t="n">
        <v>0</v>
      </c>
      <c r="P17" s="20" t="n">
        <v>0</v>
      </c>
      <c r="Q17" s="18" t="n">
        <v>0.4522356</v>
      </c>
      <c r="R17" s="20" t="n">
        <v>0.19681829</v>
      </c>
    </row>
    <row r="18" spans="1:18">
      <c r="A18" s="15" t="s">
        <v>440</v>
      </c>
      <c r="B18" s="17" t="n">
        <v>5532</v>
      </c>
      <c r="C18" s="18">
        <f>(4851.0/B18*100)</f>
        <v/>
      </c>
      <c r="D18" s="19" t="n">
        <v>681</v>
      </c>
      <c r="E18" s="18" t="n">
        <v>10.03022162</v>
      </c>
      <c r="F18" s="20" t="n">
        <v>1.60943079</v>
      </c>
      <c r="G18" s="18" t="n">
        <v>89.24811184000001</v>
      </c>
      <c r="H18" s="20" t="n">
        <v>1.64742724</v>
      </c>
      <c r="I18" s="18" t="n">
        <v>0</v>
      </c>
      <c r="J18" s="20" t="n">
        <v>0</v>
      </c>
      <c r="K18" s="18" t="n">
        <v>0</v>
      </c>
      <c r="L18" s="20" t="n">
        <v>0</v>
      </c>
      <c r="M18" s="18" t="n">
        <v>0</v>
      </c>
      <c r="N18" s="20" t="n">
        <v>0</v>
      </c>
      <c r="O18" s="18" t="n">
        <v>0</v>
      </c>
      <c r="P18" s="20" t="n">
        <v>0</v>
      </c>
      <c r="Q18" s="18" t="n">
        <v>0.72166654</v>
      </c>
      <c r="R18" s="20" t="n">
        <v>0.32810551</v>
      </c>
    </row>
    <row r="19" spans="1:18">
      <c r="A19" s="15" t="s">
        <v>441</v>
      </c>
      <c r="B19" s="17" t="n">
        <v>5658</v>
      </c>
      <c r="C19" s="18">
        <f>(4953.0/B19*100)</f>
        <v/>
      </c>
      <c r="D19" s="19" t="n">
        <v>705</v>
      </c>
      <c r="E19" s="18" t="n">
        <v>8.000868049999999</v>
      </c>
      <c r="F19" s="20" t="n">
        <v>1.13568417</v>
      </c>
      <c r="G19" s="18" t="n">
        <v>91.38972842</v>
      </c>
      <c r="H19" s="20" t="n">
        <v>1.14429632</v>
      </c>
      <c r="I19" s="18" t="n">
        <v>0</v>
      </c>
      <c r="J19" s="20" t="n">
        <v>0</v>
      </c>
      <c r="K19" s="18" t="n">
        <v>0</v>
      </c>
      <c r="L19" s="20" t="n">
        <v>0</v>
      </c>
      <c r="M19" s="18" t="n">
        <v>0</v>
      </c>
      <c r="N19" s="20" t="n">
        <v>0</v>
      </c>
      <c r="O19" s="18" t="n">
        <v>0</v>
      </c>
      <c r="P19" s="20" t="n">
        <v>0</v>
      </c>
      <c r="Q19" s="18" t="n">
        <v>0.60940354</v>
      </c>
      <c r="R19" s="20" t="n">
        <v>0.44937395</v>
      </c>
    </row>
    <row r="20" spans="1:18">
      <c r="A20" s="15" t="s">
        <v>442</v>
      </c>
      <c r="B20" s="17" t="n">
        <v>3371</v>
      </c>
      <c r="C20" s="18">
        <f>(2960.0/B20*100)</f>
        <v/>
      </c>
      <c r="D20" s="19" t="n">
        <v>411</v>
      </c>
      <c r="E20" s="18" t="n">
        <v>1.83273079</v>
      </c>
      <c r="F20" s="20" t="n">
        <v>0.62897714</v>
      </c>
      <c r="G20" s="18" t="n">
        <v>97.28053903</v>
      </c>
      <c r="H20" s="20" t="n">
        <v>0.79423664</v>
      </c>
      <c r="I20" s="18" t="n">
        <v>0</v>
      </c>
      <c r="J20" s="20" t="n">
        <v>0</v>
      </c>
      <c r="K20" s="18" t="n">
        <v>0.27794131</v>
      </c>
      <c r="L20" s="20" t="n">
        <v>0.28114726</v>
      </c>
      <c r="M20" s="18" t="n">
        <v>0</v>
      </c>
      <c r="N20" s="20" t="n">
        <v>0</v>
      </c>
      <c r="O20" s="18" t="n">
        <v>0</v>
      </c>
      <c r="P20" s="20" t="n">
        <v>0</v>
      </c>
      <c r="Q20" s="18" t="n">
        <v>0.60878887</v>
      </c>
      <c r="R20" s="20" t="n">
        <v>0.44341279</v>
      </c>
    </row>
    <row r="21" spans="1:18">
      <c r="A21" s="15" t="s">
        <v>443</v>
      </c>
      <c r="B21" s="17" t="n">
        <v>5741</v>
      </c>
      <c r="C21" s="18">
        <f>(4782.0/B21*100)</f>
        <v/>
      </c>
      <c r="D21" s="19" t="n">
        <v>959</v>
      </c>
      <c r="E21" s="18" t="n">
        <v>1.34545781</v>
      </c>
      <c r="F21" s="20" t="n">
        <v>0.36920202</v>
      </c>
      <c r="G21" s="18" t="n">
        <v>98.65454219</v>
      </c>
      <c r="H21" s="20" t="n">
        <v>0.36920202</v>
      </c>
      <c r="I21" s="18" t="n">
        <v>0</v>
      </c>
      <c r="J21" s="20" t="n">
        <v>0</v>
      </c>
      <c r="K21" s="18" t="n">
        <v>0</v>
      </c>
      <c r="L21" s="20" t="n">
        <v>0</v>
      </c>
      <c r="M21" s="18" t="n">
        <v>0</v>
      </c>
      <c r="N21" s="20" t="n">
        <v>0</v>
      </c>
      <c r="O21" s="18" t="n">
        <v>0</v>
      </c>
      <c r="P21" s="20" t="n">
        <v>0</v>
      </c>
      <c r="Q21" s="18" t="n">
        <v>0</v>
      </c>
      <c r="R21" s="20" t="n">
        <v>0</v>
      </c>
    </row>
    <row r="22" spans="1:18">
      <c r="A22" s="15" t="s">
        <v>444</v>
      </c>
      <c r="B22" s="17" t="n">
        <v>6598</v>
      </c>
      <c r="C22" s="18">
        <f>(5759.0/B22*100)</f>
        <v/>
      </c>
      <c r="D22" s="19" t="n">
        <v>839</v>
      </c>
      <c r="E22" s="18" t="n">
        <v>5.3570863</v>
      </c>
      <c r="F22" s="20" t="n">
        <v>0.87308227</v>
      </c>
      <c r="G22" s="18" t="n">
        <v>92.96836141</v>
      </c>
      <c r="H22" s="20" t="n">
        <v>1.02514497</v>
      </c>
      <c r="I22" s="18" t="n">
        <v>0</v>
      </c>
      <c r="J22" s="20" t="n">
        <v>0</v>
      </c>
      <c r="K22" s="18" t="n">
        <v>0.31437895</v>
      </c>
      <c r="L22" s="20" t="n">
        <v>0.23220434</v>
      </c>
      <c r="M22" s="18" t="n">
        <v>0</v>
      </c>
      <c r="N22" s="20" t="n">
        <v>0</v>
      </c>
      <c r="O22" s="18" t="n">
        <v>0</v>
      </c>
      <c r="P22" s="20" t="n">
        <v>0</v>
      </c>
      <c r="Q22" s="18" t="n">
        <v>1.36017335</v>
      </c>
      <c r="R22" s="20" t="n">
        <v>0.45365935</v>
      </c>
    </row>
    <row r="23" spans="1:18">
      <c r="A23" s="15" t="s">
        <v>445</v>
      </c>
      <c r="B23" s="17" t="n">
        <v>11583</v>
      </c>
      <c r="C23" s="18">
        <f>(10128.0/B23*100)</f>
        <v/>
      </c>
      <c r="D23" s="19" t="n">
        <v>1455</v>
      </c>
      <c r="E23" s="18" t="n">
        <v>2.44585709</v>
      </c>
      <c r="F23" s="20" t="n">
        <v>0.6780501799999999</v>
      </c>
      <c r="G23" s="18" t="n">
        <v>96.89576846999999</v>
      </c>
      <c r="H23" s="20" t="n">
        <v>0.86327836</v>
      </c>
      <c r="I23" s="18" t="n">
        <v>0</v>
      </c>
      <c r="J23" s="20" t="n">
        <v>0</v>
      </c>
      <c r="K23" s="18" t="n">
        <v>0.20787835</v>
      </c>
      <c r="L23" s="20" t="n">
        <v>0.22695656</v>
      </c>
      <c r="M23" s="18" t="n">
        <v>0</v>
      </c>
      <c r="N23" s="20" t="n">
        <v>0</v>
      </c>
      <c r="O23" s="18" t="n">
        <v>0</v>
      </c>
      <c r="P23" s="20" t="n">
        <v>0</v>
      </c>
      <c r="Q23" s="18" t="n">
        <v>0.45049609</v>
      </c>
      <c r="R23" s="20" t="n">
        <v>0.29662797</v>
      </c>
    </row>
    <row r="24" spans="1:18">
      <c r="A24" s="15" t="s">
        <v>446</v>
      </c>
      <c r="B24" s="17" t="n">
        <v>6647</v>
      </c>
      <c r="C24" s="18">
        <f>(5872.0/B24*100)</f>
        <v/>
      </c>
      <c r="D24" s="19" t="n">
        <v>775</v>
      </c>
      <c r="E24" s="18" t="n">
        <v>3.25262607</v>
      </c>
      <c r="F24" s="20" t="n">
        <v>0.72211154</v>
      </c>
      <c r="G24" s="18" t="n">
        <v>96.63150226</v>
      </c>
      <c r="H24" s="20" t="n">
        <v>0.75233237</v>
      </c>
      <c r="I24" s="18" t="n">
        <v>0</v>
      </c>
      <c r="J24" s="20" t="n">
        <v>0</v>
      </c>
      <c r="K24" s="18" t="n">
        <v>0</v>
      </c>
      <c r="L24" s="20" t="n">
        <v>0</v>
      </c>
      <c r="M24" s="18" t="n">
        <v>0</v>
      </c>
      <c r="N24" s="20" t="n">
        <v>0</v>
      </c>
      <c r="O24" s="18" t="n">
        <v>0</v>
      </c>
      <c r="P24" s="20" t="n">
        <v>0</v>
      </c>
      <c r="Q24" s="18" t="n">
        <v>0.11587168</v>
      </c>
      <c r="R24" s="20" t="n">
        <v>0.12127445</v>
      </c>
    </row>
    <row r="25" spans="1:18">
      <c r="A25" s="15" t="s">
        <v>447</v>
      </c>
      <c r="B25" s="17" t="n">
        <v>5581</v>
      </c>
      <c r="C25" s="18">
        <f>(4889.0/B25*100)</f>
        <v/>
      </c>
      <c r="D25" s="19" t="n">
        <v>692</v>
      </c>
      <c r="E25" s="18" t="n">
        <v>3.57644793</v>
      </c>
      <c r="F25" s="20" t="n">
        <v>0.79250803</v>
      </c>
      <c r="G25" s="18" t="n">
        <v>95.28078805</v>
      </c>
      <c r="H25" s="20" t="n">
        <v>0.88965451</v>
      </c>
      <c r="I25" s="18" t="n">
        <v>0</v>
      </c>
      <c r="J25" s="20" t="n">
        <v>0</v>
      </c>
      <c r="K25" s="18" t="n">
        <v>0.28005806</v>
      </c>
      <c r="L25" s="20" t="n">
        <v>0.1989898</v>
      </c>
      <c r="M25" s="18" t="n">
        <v>0</v>
      </c>
      <c r="N25" s="20" t="n">
        <v>0</v>
      </c>
      <c r="O25" s="18" t="n">
        <v>0</v>
      </c>
      <c r="P25" s="20" t="n">
        <v>0</v>
      </c>
      <c r="Q25" s="18" t="n">
        <v>0.86270597</v>
      </c>
      <c r="R25" s="20" t="n">
        <v>0.34887041</v>
      </c>
    </row>
    <row r="26" spans="1:18">
      <c r="A26" s="15" t="s">
        <v>448</v>
      </c>
      <c r="B26" s="17" t="n">
        <v>4869</v>
      </c>
      <c r="C26" s="18">
        <f>(4269.0/B26*100)</f>
        <v/>
      </c>
      <c r="D26" s="19" t="n">
        <v>600</v>
      </c>
      <c r="E26" s="18" t="n">
        <v>3.49747295</v>
      </c>
      <c r="F26" s="20" t="n">
        <v>0.87496469</v>
      </c>
      <c r="G26" s="18" t="n">
        <v>96.05485197</v>
      </c>
      <c r="H26" s="20" t="n">
        <v>0.92224762</v>
      </c>
      <c r="I26" s="18" t="n">
        <v>0</v>
      </c>
      <c r="J26" s="20" t="n">
        <v>0</v>
      </c>
      <c r="K26" s="18" t="n">
        <v>0</v>
      </c>
      <c r="L26" s="20" t="n">
        <v>0</v>
      </c>
      <c r="M26" s="18" t="n">
        <v>0</v>
      </c>
      <c r="N26" s="20" t="n">
        <v>0</v>
      </c>
      <c r="O26" s="18" t="n">
        <v>0</v>
      </c>
      <c r="P26" s="20" t="n">
        <v>0</v>
      </c>
      <c r="Q26" s="18" t="n">
        <v>0.44767508</v>
      </c>
      <c r="R26" s="20" t="n">
        <v>0.33820384</v>
      </c>
    </row>
    <row r="27" spans="1:18">
      <c r="A27" s="15" t="s">
        <v>449</v>
      </c>
      <c r="B27" s="17" t="n">
        <v>5299</v>
      </c>
      <c r="C27" s="18">
        <f>(4638.0/B27*100)</f>
        <v/>
      </c>
      <c r="D27" s="19" t="n">
        <v>661</v>
      </c>
      <c r="E27" s="18" t="n">
        <v>3.37170078</v>
      </c>
      <c r="F27" s="20" t="n">
        <v>0.70836339</v>
      </c>
      <c r="G27" s="18" t="n">
        <v>95.84785339</v>
      </c>
      <c r="H27" s="20" t="n">
        <v>0.80792188</v>
      </c>
      <c r="I27" s="18" t="n">
        <v>0</v>
      </c>
      <c r="J27" s="20" t="n">
        <v>0</v>
      </c>
      <c r="K27" s="18" t="n">
        <v>0.16544006</v>
      </c>
      <c r="L27" s="20" t="n">
        <v>0.15920171</v>
      </c>
      <c r="M27" s="18" t="n">
        <v>0</v>
      </c>
      <c r="N27" s="20" t="n">
        <v>0</v>
      </c>
      <c r="O27" s="18" t="n">
        <v>0</v>
      </c>
      <c r="P27" s="20" t="n">
        <v>0</v>
      </c>
      <c r="Q27" s="18" t="n">
        <v>0.61500576</v>
      </c>
      <c r="R27" s="20" t="n">
        <v>0.30498653</v>
      </c>
    </row>
    <row r="28" spans="1:18">
      <c r="A28" s="15" t="s">
        <v>450</v>
      </c>
      <c r="B28" s="17" t="n">
        <v>7568</v>
      </c>
      <c r="C28" s="18">
        <f>(6659.0/B28*100)</f>
        <v/>
      </c>
      <c r="D28" s="19" t="n">
        <v>909</v>
      </c>
      <c r="E28" s="18" t="n">
        <v>6.09649429</v>
      </c>
      <c r="F28" s="20" t="n">
        <v>0.94887639</v>
      </c>
      <c r="G28" s="18" t="n">
        <v>93.44639243</v>
      </c>
      <c r="H28" s="20" t="n">
        <v>0.96899262</v>
      </c>
      <c r="I28" s="18" t="n">
        <v>0</v>
      </c>
      <c r="J28" s="20" t="n">
        <v>0</v>
      </c>
      <c r="K28" s="18" t="n">
        <v>0.1177299</v>
      </c>
      <c r="L28" s="20" t="n">
        <v>0.11995053</v>
      </c>
      <c r="M28" s="18" t="n">
        <v>0</v>
      </c>
      <c r="N28" s="20" t="n">
        <v>0</v>
      </c>
      <c r="O28" s="18" t="n">
        <v>0</v>
      </c>
      <c r="P28" s="20" t="n">
        <v>0</v>
      </c>
      <c r="Q28" s="18" t="n">
        <v>0.33938338</v>
      </c>
      <c r="R28" s="20" t="n">
        <v>0.21108422</v>
      </c>
    </row>
    <row r="29" spans="1:18">
      <c r="A29" s="15" t="s">
        <v>451</v>
      </c>
      <c r="B29" s="17" t="n">
        <v>5385</v>
      </c>
      <c r="C29" s="18">
        <f>(4629.0/B29*100)</f>
        <v/>
      </c>
      <c r="D29" s="19" t="n">
        <v>756</v>
      </c>
      <c r="E29" s="18" t="n">
        <v>4.20011301</v>
      </c>
      <c r="F29" s="20" t="n">
        <v>0.96170928</v>
      </c>
      <c r="G29" s="18" t="n">
        <v>95.19162457</v>
      </c>
      <c r="H29" s="20" t="n">
        <v>1.07224051</v>
      </c>
      <c r="I29" s="18" t="n">
        <v>0</v>
      </c>
      <c r="J29" s="20" t="n">
        <v>0</v>
      </c>
      <c r="K29" s="18" t="n">
        <v>0.16760022</v>
      </c>
      <c r="L29" s="20" t="n">
        <v>0.16601537</v>
      </c>
      <c r="M29" s="18" t="n">
        <v>0</v>
      </c>
      <c r="N29" s="20" t="n">
        <v>0</v>
      </c>
      <c r="O29" s="18" t="n">
        <v>0</v>
      </c>
      <c r="P29" s="20" t="n">
        <v>0</v>
      </c>
      <c r="Q29" s="18" t="n">
        <v>0.44066219</v>
      </c>
      <c r="R29" s="20" t="n">
        <v>0.21505418</v>
      </c>
    </row>
    <row r="30" spans="1:18">
      <c r="A30" s="15" t="s">
        <v>452</v>
      </c>
      <c r="B30" s="17" t="n">
        <v>4520</v>
      </c>
      <c r="C30" s="18">
        <f>(4001.0/B30*100)</f>
        <v/>
      </c>
      <c r="D30" s="19" t="n">
        <v>519</v>
      </c>
      <c r="E30" s="18" t="n">
        <v>2.77167475</v>
      </c>
      <c r="F30" s="20" t="n">
        <v>0.73256137</v>
      </c>
      <c r="G30" s="18" t="n">
        <v>96.85458094000001</v>
      </c>
      <c r="H30" s="20" t="n">
        <v>0.77814741</v>
      </c>
      <c r="I30" s="18" t="n">
        <v>0</v>
      </c>
      <c r="J30" s="20" t="n">
        <v>0</v>
      </c>
      <c r="K30" s="18" t="n">
        <v>0</v>
      </c>
      <c r="L30" s="20" t="n">
        <v>0</v>
      </c>
      <c r="M30" s="18" t="n">
        <v>0</v>
      </c>
      <c r="N30" s="20" t="n">
        <v>0</v>
      </c>
      <c r="O30" s="18" t="n">
        <v>0</v>
      </c>
      <c r="P30" s="20" t="n">
        <v>0</v>
      </c>
      <c r="Q30" s="18" t="n">
        <v>0.37374432</v>
      </c>
      <c r="R30" s="20" t="n">
        <v>0.2685173</v>
      </c>
    </row>
    <row r="31" spans="1:18">
      <c r="A31" s="15" t="s">
        <v>453</v>
      </c>
      <c r="B31" s="17" t="n">
        <v>5456</v>
      </c>
      <c r="C31" s="18">
        <f>(4798.0/B31*100)</f>
        <v/>
      </c>
      <c r="D31" s="19" t="n">
        <v>658</v>
      </c>
      <c r="E31" s="18" t="n">
        <v>3.76062693</v>
      </c>
      <c r="F31" s="20" t="n">
        <v>0.65897901</v>
      </c>
      <c r="G31" s="18" t="n">
        <v>95.9264147</v>
      </c>
      <c r="H31" s="20" t="n">
        <v>0.67056313</v>
      </c>
      <c r="I31" s="18" t="n">
        <v>0</v>
      </c>
      <c r="J31" s="20" t="n">
        <v>0</v>
      </c>
      <c r="K31" s="18" t="n">
        <v>0.14928091</v>
      </c>
      <c r="L31" s="20" t="n">
        <v>0.15484352</v>
      </c>
      <c r="M31" s="18" t="n">
        <v>0</v>
      </c>
      <c r="N31" s="20" t="n">
        <v>0</v>
      </c>
      <c r="O31" s="18" t="n">
        <v>0</v>
      </c>
      <c r="P31" s="20" t="n">
        <v>0</v>
      </c>
      <c r="Q31" s="18" t="n">
        <v>0.16367746</v>
      </c>
      <c r="R31" s="20" t="n">
        <v>0.15917199</v>
      </c>
    </row>
    <row r="32" spans="1:18">
      <c r="A32" s="15" t="s">
        <v>454</v>
      </c>
      <c r="B32" s="17" t="n">
        <v>4478</v>
      </c>
      <c r="C32" s="18">
        <f>(3735.0/B32*100)</f>
        <v/>
      </c>
      <c r="D32" s="19" t="n">
        <v>743</v>
      </c>
      <c r="E32" s="18" t="n">
        <v>1.54895624</v>
      </c>
      <c r="F32" s="20" t="n">
        <v>0.48852516</v>
      </c>
      <c r="G32" s="18" t="n">
        <v>97.42075414</v>
      </c>
      <c r="H32" s="20" t="n">
        <v>0.60686009</v>
      </c>
      <c r="I32" s="18" t="n">
        <v>0</v>
      </c>
      <c r="J32" s="20" t="n">
        <v>0</v>
      </c>
      <c r="K32" s="18" t="n">
        <v>0.12994118</v>
      </c>
      <c r="L32" s="20" t="n">
        <v>0.12231666</v>
      </c>
      <c r="M32" s="18" t="n">
        <v>0</v>
      </c>
      <c r="N32" s="20" t="n">
        <v>0</v>
      </c>
      <c r="O32" s="18" t="n">
        <v>0</v>
      </c>
      <c r="P32" s="20" t="n">
        <v>0</v>
      </c>
      <c r="Q32" s="18" t="n">
        <v>0.90034845</v>
      </c>
      <c r="R32" s="20" t="n">
        <v>0.33756512</v>
      </c>
    </row>
    <row r="33" spans="1:18">
      <c r="A33" s="15" t="s">
        <v>455</v>
      </c>
      <c r="B33" s="17" t="n">
        <v>7325</v>
      </c>
      <c r="C33" s="18">
        <f>(6423.0/B33*100)</f>
        <v/>
      </c>
      <c r="D33" s="19" t="n">
        <v>902</v>
      </c>
      <c r="E33" s="18" t="n">
        <v>1.88408096</v>
      </c>
      <c r="F33" s="20" t="n">
        <v>0.43797052</v>
      </c>
      <c r="G33" s="18" t="n">
        <v>97.42153149000001</v>
      </c>
      <c r="H33" s="20" t="n">
        <v>0.52971408</v>
      </c>
      <c r="I33" s="18" t="n">
        <v>0</v>
      </c>
      <c r="J33" s="20" t="n">
        <v>0</v>
      </c>
      <c r="K33" s="18" t="n">
        <v>0</v>
      </c>
      <c r="L33" s="20" t="n">
        <v>0</v>
      </c>
      <c r="M33" s="18" t="n">
        <v>0</v>
      </c>
      <c r="N33" s="20" t="n">
        <v>0</v>
      </c>
      <c r="O33" s="18" t="n">
        <v>0</v>
      </c>
      <c r="P33" s="20" t="n">
        <v>0</v>
      </c>
      <c r="Q33" s="18" t="n">
        <v>0.69438755</v>
      </c>
      <c r="R33" s="20" t="n">
        <v>0.29324959</v>
      </c>
    </row>
    <row r="34" spans="1:18">
      <c r="A34" s="15" t="s">
        <v>456</v>
      </c>
      <c r="B34" s="17" t="n">
        <v>6350</v>
      </c>
      <c r="C34" s="18">
        <f>(5466.0/B34*100)</f>
        <v/>
      </c>
      <c r="D34" s="19" t="n">
        <v>884</v>
      </c>
      <c r="E34" s="18" t="n">
        <v>10.89256004</v>
      </c>
      <c r="F34" s="20" t="n">
        <v>1.73056015</v>
      </c>
      <c r="G34" s="18" t="n">
        <v>88.33299173</v>
      </c>
      <c r="H34" s="20" t="n">
        <v>1.71015185</v>
      </c>
      <c r="I34" s="18" t="n">
        <v>0</v>
      </c>
      <c r="J34" s="20" t="n">
        <v>0</v>
      </c>
      <c r="K34" s="18" t="n">
        <v>0</v>
      </c>
      <c r="L34" s="20" t="n">
        <v>0</v>
      </c>
      <c r="M34" s="18" t="n">
        <v>0</v>
      </c>
      <c r="N34" s="20" t="n">
        <v>0</v>
      </c>
      <c r="O34" s="18" t="n">
        <v>0</v>
      </c>
      <c r="P34" s="20" t="n">
        <v>0</v>
      </c>
      <c r="Q34" s="18" t="n">
        <v>0.77444823</v>
      </c>
      <c r="R34" s="20" t="n">
        <v>0.29999696</v>
      </c>
    </row>
    <row r="35" spans="1:18">
      <c r="A35" s="15" t="s">
        <v>457</v>
      </c>
      <c r="B35" s="17" t="n">
        <v>6406</v>
      </c>
      <c r="C35" s="18">
        <f>(5507.0/B35*100)</f>
        <v/>
      </c>
      <c r="D35" s="19" t="n">
        <v>899</v>
      </c>
      <c r="E35" s="18" t="n">
        <v>2.66477775</v>
      </c>
      <c r="F35" s="20" t="n">
        <v>0.45736791</v>
      </c>
      <c r="G35" s="18" t="n">
        <v>96.86945418000001</v>
      </c>
      <c r="H35" s="20" t="n">
        <v>0.49790435</v>
      </c>
      <c r="I35" s="18" t="n">
        <v>0</v>
      </c>
      <c r="J35" s="20" t="n">
        <v>0</v>
      </c>
      <c r="K35" s="18" t="n">
        <v>0</v>
      </c>
      <c r="L35" s="20" t="n">
        <v>0</v>
      </c>
      <c r="M35" s="18" t="n">
        <v>0</v>
      </c>
      <c r="N35" s="20" t="n">
        <v>0</v>
      </c>
      <c r="O35" s="18" t="n">
        <v>0</v>
      </c>
      <c r="P35" s="20" t="n">
        <v>0</v>
      </c>
      <c r="Q35" s="18" t="n">
        <v>0.46576807</v>
      </c>
      <c r="R35" s="20" t="n">
        <v>0.2131628</v>
      </c>
    </row>
    <row r="36" spans="1:18">
      <c r="A36" s="15" t="s">
        <v>458</v>
      </c>
      <c r="B36" s="17" t="n">
        <v>6736</v>
      </c>
      <c r="C36" s="18">
        <f>(5907.0/B36*100)</f>
        <v/>
      </c>
      <c r="D36" s="19" t="n">
        <v>829</v>
      </c>
      <c r="E36" s="18" t="n">
        <v>2.65288958</v>
      </c>
      <c r="F36" s="20" t="n">
        <v>0.59718933</v>
      </c>
      <c r="G36" s="18" t="n">
        <v>96.92129749999999</v>
      </c>
      <c r="H36" s="20" t="n">
        <v>0.65899523</v>
      </c>
      <c r="I36" s="18" t="n">
        <v>0</v>
      </c>
      <c r="J36" s="20" t="n">
        <v>0</v>
      </c>
      <c r="K36" s="18" t="n">
        <v>0</v>
      </c>
      <c r="L36" s="20" t="n">
        <v>0</v>
      </c>
      <c r="M36" s="18" t="n">
        <v>0</v>
      </c>
      <c r="N36" s="20" t="n">
        <v>0</v>
      </c>
      <c r="O36" s="18" t="n">
        <v>0</v>
      </c>
      <c r="P36" s="20" t="n">
        <v>0</v>
      </c>
      <c r="Q36" s="18" t="n">
        <v>0.42581293</v>
      </c>
      <c r="R36" s="20" t="n">
        <v>0.25485473</v>
      </c>
    </row>
    <row r="37" spans="1:18">
      <c r="A37" s="15" t="s">
        <v>459</v>
      </c>
      <c r="B37" s="17" t="n">
        <v>5458</v>
      </c>
      <c r="C37" s="18">
        <f>(4772.0/B37*100)</f>
        <v/>
      </c>
      <c r="D37" s="19" t="n">
        <v>686</v>
      </c>
      <c r="E37" s="18" t="n">
        <v>6.53405553</v>
      </c>
      <c r="F37" s="20" t="n">
        <v>0.96843153</v>
      </c>
      <c r="G37" s="18" t="n">
        <v>92.6322199</v>
      </c>
      <c r="H37" s="20" t="n">
        <v>1.0114093</v>
      </c>
      <c r="I37" s="18" t="n">
        <v>0</v>
      </c>
      <c r="J37" s="20" t="n">
        <v>0</v>
      </c>
      <c r="K37" s="18" t="n">
        <v>0.12765667</v>
      </c>
      <c r="L37" s="20" t="n">
        <v>0.18085619</v>
      </c>
      <c r="M37" s="18" t="n">
        <v>0</v>
      </c>
      <c r="N37" s="20" t="n">
        <v>0</v>
      </c>
      <c r="O37" s="18" t="n">
        <v>0</v>
      </c>
      <c r="P37" s="20" t="n">
        <v>0</v>
      </c>
      <c r="Q37" s="18" t="n">
        <v>0.70606789</v>
      </c>
      <c r="R37" s="20" t="n">
        <v>0.42392694</v>
      </c>
    </row>
    <row r="38" spans="1:18">
      <c r="A38" s="15" t="s">
        <v>460</v>
      </c>
      <c r="B38" s="17" t="n">
        <v>5860</v>
      </c>
      <c r="C38" s="18">
        <f>(4864.0/B38*100)</f>
        <v/>
      </c>
      <c r="D38" s="19" t="n">
        <v>996</v>
      </c>
      <c r="E38" s="18" t="n">
        <v>2.5695154</v>
      </c>
      <c r="F38" s="20" t="n">
        <v>0.5208736899999999</v>
      </c>
      <c r="G38" s="18" t="n">
        <v>97.03673839</v>
      </c>
      <c r="H38" s="20" t="n">
        <v>0.5995445700000001</v>
      </c>
      <c r="I38" s="18" t="n">
        <v>0</v>
      </c>
      <c r="J38" s="20" t="n">
        <v>0</v>
      </c>
      <c r="K38" s="18" t="n">
        <v>0.08293663</v>
      </c>
      <c r="L38" s="20" t="n">
        <v>0.08283741</v>
      </c>
      <c r="M38" s="18" t="n">
        <v>0</v>
      </c>
      <c r="N38" s="20" t="n">
        <v>0</v>
      </c>
      <c r="O38" s="18" t="n">
        <v>0</v>
      </c>
      <c r="P38" s="20" t="n">
        <v>0</v>
      </c>
      <c r="Q38" s="18" t="n">
        <v>0.31080958</v>
      </c>
      <c r="R38" s="20" t="n">
        <v>0.18313872</v>
      </c>
    </row>
    <row r="39" spans="1:18">
      <c r="A39" s="15" t="s">
        <v>461</v>
      </c>
      <c r="B39" s="17" t="n">
        <v>5895</v>
      </c>
      <c r="C39" s="18">
        <f>(5173.0/B39*100)</f>
        <v/>
      </c>
      <c r="D39" s="19" t="n">
        <v>722</v>
      </c>
      <c r="E39" s="18" t="n">
        <v>4.24194186</v>
      </c>
      <c r="F39" s="20" t="n">
        <v>0.75202865</v>
      </c>
      <c r="G39" s="18" t="n">
        <v>95.55716626</v>
      </c>
      <c r="H39" s="20" t="n">
        <v>0.77651318</v>
      </c>
      <c r="I39" s="18" t="n">
        <v>0</v>
      </c>
      <c r="J39" s="20" t="n">
        <v>0</v>
      </c>
      <c r="K39" s="18" t="n">
        <v>0.20089188</v>
      </c>
      <c r="L39" s="20" t="n">
        <v>0.20136022</v>
      </c>
      <c r="M39" s="18" t="n">
        <v>0</v>
      </c>
      <c r="N39" s="20" t="n">
        <v>0</v>
      </c>
      <c r="O39" s="18" t="n">
        <v>0</v>
      </c>
      <c r="P39" s="20" t="n">
        <v>0</v>
      </c>
      <c r="Q39" s="18" t="n">
        <v>0</v>
      </c>
      <c r="R39" s="20" t="n">
        <v>0</v>
      </c>
    </row>
    <row r="40" spans="1:18">
      <c r="A40" s="15" t="s">
        <v>462</v>
      </c>
      <c r="B40" s="17" t="n">
        <v>14157</v>
      </c>
      <c r="C40" s="18">
        <f>(12432.0/B40*100)</f>
        <v/>
      </c>
      <c r="D40" s="19" t="n">
        <v>1725</v>
      </c>
      <c r="E40" s="18" t="n">
        <v>2.12388162</v>
      </c>
      <c r="F40" s="20" t="n">
        <v>0.48706867</v>
      </c>
      <c r="G40" s="18" t="n">
        <v>97.01088184</v>
      </c>
      <c r="H40" s="20" t="n">
        <v>0.56043922</v>
      </c>
      <c r="I40" s="18" t="n">
        <v>0</v>
      </c>
      <c r="J40" s="20" t="n">
        <v>0</v>
      </c>
      <c r="K40" s="18" t="n">
        <v>0.04825157</v>
      </c>
      <c r="L40" s="20" t="n">
        <v>0.0311975</v>
      </c>
      <c r="M40" s="18" t="n">
        <v>0</v>
      </c>
      <c r="N40" s="20" t="n">
        <v>0</v>
      </c>
      <c r="O40" s="18" t="n">
        <v>0</v>
      </c>
      <c r="P40" s="20" t="n">
        <v>0</v>
      </c>
      <c r="Q40" s="18" t="n">
        <v>0.81698497</v>
      </c>
      <c r="R40" s="20" t="n">
        <v>0.40165031</v>
      </c>
    </row>
    <row r="41" spans="1:18">
      <c r="A41" s="15" t="s">
        <v>463</v>
      </c>
      <c r="B41" s="17" t="n">
        <v>5712</v>
      </c>
      <c r="C41" s="18">
        <f>(4972.0/B41*100)</f>
        <v/>
      </c>
      <c r="D41" s="19" t="n">
        <v>740</v>
      </c>
      <c r="E41" s="18" t="n">
        <v>3.93211564</v>
      </c>
      <c r="F41" s="20" t="n">
        <v>0.75799975</v>
      </c>
      <c r="G41" s="18" t="n">
        <v>95.59263970000001</v>
      </c>
      <c r="H41" s="20" t="n">
        <v>0.8053174</v>
      </c>
      <c r="I41" s="18" t="n">
        <v>0</v>
      </c>
      <c r="J41" s="20" t="n">
        <v>0</v>
      </c>
      <c r="K41" s="18" t="n">
        <v>0.21468223</v>
      </c>
      <c r="L41" s="20" t="n">
        <v>0.20869747</v>
      </c>
      <c r="M41" s="18" t="n">
        <v>0</v>
      </c>
      <c r="N41" s="20" t="n">
        <v>0</v>
      </c>
      <c r="O41" s="18" t="n">
        <v>0</v>
      </c>
      <c r="P41" s="20" t="n">
        <v>0</v>
      </c>
      <c r="Q41" s="18" t="n">
        <v>0.26056243</v>
      </c>
      <c r="R41" s="20" t="n">
        <v>0.16302191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(20523.0/B46*100)</f>
        <v/>
      </c>
      <c r="D46" s="19" t="n">
        <v>2618</v>
      </c>
      <c r="E46" s="18" t="n">
        <v>8.08591292</v>
      </c>
      <c r="F46" s="20" t="n">
        <v>0.7476242400000001</v>
      </c>
      <c r="G46" s="18" t="n">
        <v>89.94559322000001</v>
      </c>
      <c r="H46" s="20" t="n">
        <v>0.85103053</v>
      </c>
      <c r="I46" s="18" t="n">
        <v>0</v>
      </c>
      <c r="J46" s="20" t="n">
        <v>0</v>
      </c>
      <c r="K46" s="18" t="n">
        <v>0.34748364</v>
      </c>
      <c r="L46" s="20" t="n">
        <v>0.08496674</v>
      </c>
      <c r="M46" s="18" t="n">
        <v>0</v>
      </c>
      <c r="N46" s="20" t="n">
        <v>0</v>
      </c>
      <c r="O46" s="18" t="n">
        <v>0</v>
      </c>
      <c r="P46" s="20" t="n">
        <v>0</v>
      </c>
      <c r="Q46" s="18" t="n">
        <v>1.62101023</v>
      </c>
      <c r="R46" s="20" t="n">
        <v>0.33235119</v>
      </c>
    </row>
    <row r="47" spans="1:18">
      <c r="A47" s="15" t="s">
        <v>470</v>
      </c>
      <c r="B47" s="17" t="n">
        <v>5928</v>
      </c>
      <c r="C47" s="18">
        <f>(5190.0/B47*100)</f>
        <v/>
      </c>
      <c r="D47" s="19" t="n">
        <v>738</v>
      </c>
      <c r="E47" s="18" t="n">
        <v>11.27550397</v>
      </c>
      <c r="F47" s="20" t="n">
        <v>1.21629846</v>
      </c>
      <c r="G47" s="18" t="n">
        <v>87.07501334</v>
      </c>
      <c r="H47" s="20" t="n">
        <v>1.44060177</v>
      </c>
      <c r="I47" s="18" t="n">
        <v>0</v>
      </c>
      <c r="J47" s="20" t="n">
        <v>0</v>
      </c>
      <c r="K47" s="18" t="n">
        <v>0.14031809</v>
      </c>
      <c r="L47" s="20" t="n">
        <v>0.13997562</v>
      </c>
      <c r="M47" s="18" t="n">
        <v>0</v>
      </c>
      <c r="N47" s="20" t="n">
        <v>0</v>
      </c>
      <c r="O47" s="18" t="n">
        <v>0</v>
      </c>
      <c r="P47" s="20" t="n">
        <v>0</v>
      </c>
      <c r="Q47" s="18" t="n">
        <v>1.5091646</v>
      </c>
      <c r="R47" s="20" t="n">
        <v>0.52398554</v>
      </c>
    </row>
    <row r="48" spans="1:18">
      <c r="A48" s="15" t="s">
        <v>471</v>
      </c>
      <c r="B48" s="17" t="n">
        <v>9841</v>
      </c>
      <c r="C48" s="18">
        <f>(8643.0/B48*100)</f>
        <v/>
      </c>
      <c r="D48" s="19" t="n">
        <v>1198</v>
      </c>
      <c r="E48" s="18" t="n">
        <v>4.83456007</v>
      </c>
      <c r="F48" s="20" t="n">
        <v>0.91142801</v>
      </c>
      <c r="G48" s="18" t="n">
        <v>93.46816228</v>
      </c>
      <c r="H48" s="20" t="n">
        <v>1.11502987</v>
      </c>
      <c r="I48" s="18" t="n">
        <v>0</v>
      </c>
      <c r="J48" s="20" t="n">
        <v>0</v>
      </c>
      <c r="K48" s="18" t="n">
        <v>0.81158757</v>
      </c>
      <c r="L48" s="20" t="n">
        <v>0.34582549</v>
      </c>
      <c r="M48" s="18" t="n">
        <v>0</v>
      </c>
      <c r="N48" s="20" t="n">
        <v>0</v>
      </c>
      <c r="O48" s="18" t="n">
        <v>0</v>
      </c>
      <c r="P48" s="20" t="n">
        <v>0</v>
      </c>
      <c r="Q48" s="18" t="n">
        <v>0.88569008</v>
      </c>
      <c r="R48" s="20" t="n">
        <v>0.34648963</v>
      </c>
    </row>
    <row r="49" spans="1:18">
      <c r="A49" s="15" t="s">
        <v>472</v>
      </c>
      <c r="B49" s="17" t="n">
        <v>11795</v>
      </c>
      <c r="C49" s="18">
        <f>(10342.0/B49*100)</f>
        <v/>
      </c>
      <c r="D49" s="19" t="n">
        <v>1453</v>
      </c>
      <c r="E49" s="18" t="n">
        <v>5.41495329</v>
      </c>
      <c r="F49" s="20" t="n">
        <v>0.82610678</v>
      </c>
      <c r="G49" s="18" t="n">
        <v>92.51982848</v>
      </c>
      <c r="H49" s="20" t="n">
        <v>1.03065835</v>
      </c>
      <c r="I49" s="18" t="n">
        <v>0</v>
      </c>
      <c r="J49" s="20" t="n">
        <v>0</v>
      </c>
      <c r="K49" s="18" t="n">
        <v>0.9565838</v>
      </c>
      <c r="L49" s="20" t="n">
        <v>0.33275495</v>
      </c>
      <c r="M49" s="18" t="n">
        <v>0</v>
      </c>
      <c r="N49" s="20" t="n">
        <v>0</v>
      </c>
      <c r="O49" s="18" t="n">
        <v>0</v>
      </c>
      <c r="P49" s="20" t="n">
        <v>0</v>
      </c>
      <c r="Q49" s="18" t="n">
        <v>1.10863443</v>
      </c>
      <c r="R49" s="20" t="n">
        <v>0.4410842</v>
      </c>
    </row>
    <row r="50" spans="1:18">
      <c r="A50" s="15" t="s">
        <v>473</v>
      </c>
      <c r="B50" s="17" t="n">
        <v>6866</v>
      </c>
      <c r="C50" s="18">
        <f>(5408.0/B50*100)</f>
        <v/>
      </c>
      <c r="D50" s="19" t="n">
        <v>1458</v>
      </c>
      <c r="E50" s="18" t="n">
        <v>2.83869824</v>
      </c>
      <c r="F50" s="20" t="n">
        <v>0.44810058</v>
      </c>
      <c r="G50" s="18" t="n">
        <v>96.26134945</v>
      </c>
      <c r="H50" s="20" t="n">
        <v>0.55282639</v>
      </c>
      <c r="I50" s="18" t="n">
        <v>0</v>
      </c>
      <c r="J50" s="20" t="n">
        <v>0</v>
      </c>
      <c r="K50" s="18" t="n">
        <v>0.15660017</v>
      </c>
      <c r="L50" s="20" t="n">
        <v>0.11406813</v>
      </c>
      <c r="M50" s="18" t="n">
        <v>0</v>
      </c>
      <c r="N50" s="20" t="n">
        <v>0</v>
      </c>
      <c r="O50" s="18" t="n">
        <v>0</v>
      </c>
      <c r="P50" s="20" t="n">
        <v>0</v>
      </c>
      <c r="Q50" s="18" t="n">
        <v>0.74335213</v>
      </c>
      <c r="R50" s="20" t="n">
        <v>0.22280523</v>
      </c>
    </row>
    <row r="51" spans="1:18">
      <c r="A51" s="15" t="s">
        <v>474</v>
      </c>
      <c r="B51" s="17" t="n">
        <v>5809</v>
      </c>
      <c r="C51" s="18">
        <f>(5103.0/B51*100)</f>
        <v/>
      </c>
      <c r="D51" s="19" t="n">
        <v>706</v>
      </c>
      <c r="E51" s="18" t="n">
        <v>4.60428999</v>
      </c>
      <c r="F51" s="20" t="n">
        <v>0.73157091</v>
      </c>
      <c r="G51" s="18" t="n">
        <v>94.95968452</v>
      </c>
      <c r="H51" s="20" t="n">
        <v>0.73468693</v>
      </c>
      <c r="I51" s="18" t="n">
        <v>0</v>
      </c>
      <c r="J51" s="20" t="n">
        <v>0</v>
      </c>
      <c r="K51" s="18" t="n">
        <v>0.17799156</v>
      </c>
      <c r="L51" s="20" t="n">
        <v>0.17944848</v>
      </c>
      <c r="M51" s="18" t="n">
        <v>0</v>
      </c>
      <c r="N51" s="20" t="n">
        <v>0</v>
      </c>
      <c r="O51" s="18" t="n">
        <v>0</v>
      </c>
      <c r="P51" s="20" t="n">
        <v>0</v>
      </c>
      <c r="Q51" s="18" t="n">
        <v>0.25803392</v>
      </c>
      <c r="R51" s="20" t="n">
        <v>0.18260947</v>
      </c>
    </row>
    <row r="52" spans="1:18">
      <c r="A52" s="15" t="s">
        <v>475</v>
      </c>
      <c r="B52" s="17" t="n">
        <v>5571</v>
      </c>
      <c r="C52" s="18">
        <f>(4904.0/B52*100)</f>
        <v/>
      </c>
      <c r="D52" s="19" t="n">
        <v>667</v>
      </c>
      <c r="E52" s="18" t="n">
        <v>13.76284892</v>
      </c>
      <c r="F52" s="20" t="n">
        <v>1.40693729</v>
      </c>
      <c r="G52" s="18" t="n">
        <v>85.53588175</v>
      </c>
      <c r="H52" s="20" t="n">
        <v>1.43645793</v>
      </c>
      <c r="I52" s="18" t="n">
        <v>0</v>
      </c>
      <c r="J52" s="20" t="n">
        <v>0</v>
      </c>
      <c r="K52" s="18" t="n">
        <v>0</v>
      </c>
      <c r="L52" s="20" t="n">
        <v>0</v>
      </c>
      <c r="M52" s="18" t="n">
        <v>0</v>
      </c>
      <c r="N52" s="20" t="n">
        <v>0</v>
      </c>
      <c r="O52" s="18" t="n">
        <v>0</v>
      </c>
      <c r="P52" s="20" t="n">
        <v>0</v>
      </c>
      <c r="Q52" s="18" t="n">
        <v>0.70126933</v>
      </c>
      <c r="R52" s="20" t="n">
        <v>0.31897483</v>
      </c>
    </row>
    <row r="53" spans="1:18">
      <c r="A53" s="15" t="s">
        <v>476</v>
      </c>
      <c r="B53" s="17" t="n">
        <v>4740</v>
      </c>
      <c r="C53" s="18">
        <f>(3967.0/B53*100)</f>
        <v/>
      </c>
      <c r="D53" s="19" t="n">
        <v>773</v>
      </c>
      <c r="E53" s="18" t="n">
        <v>10.90623877</v>
      </c>
      <c r="F53" s="20" t="n">
        <v>1.27326407</v>
      </c>
      <c r="G53" s="18" t="n">
        <v>80.81651124</v>
      </c>
      <c r="H53" s="20" t="n">
        <v>1.59577307</v>
      </c>
      <c r="I53" s="18" t="n">
        <v>0</v>
      </c>
      <c r="J53" s="20" t="n">
        <v>0</v>
      </c>
      <c r="K53" s="18" t="n">
        <v>6.30352173</v>
      </c>
      <c r="L53" s="20" t="n">
        <v>0.90361619</v>
      </c>
      <c r="M53" s="18" t="n">
        <v>0</v>
      </c>
      <c r="N53" s="20" t="n">
        <v>0</v>
      </c>
      <c r="O53" s="18" t="n">
        <v>0</v>
      </c>
      <c r="P53" s="20" t="n">
        <v>0</v>
      </c>
      <c r="Q53" s="18" t="n">
        <v>1.97372826</v>
      </c>
      <c r="R53" s="20" t="n">
        <v>0.54824496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(4701.0/B55*100)</f>
        <v/>
      </c>
      <c r="D55" s="19" t="n">
        <v>658</v>
      </c>
      <c r="E55" s="18" t="n">
        <v>1.65713446</v>
      </c>
      <c r="F55" s="20" t="n">
        <v>0.39130234</v>
      </c>
      <c r="G55" s="18" t="n">
        <v>97.30768513</v>
      </c>
      <c r="H55" s="20" t="n">
        <v>0.49039593</v>
      </c>
      <c r="I55" s="18" t="n">
        <v>0</v>
      </c>
      <c r="J55" s="20" t="n">
        <v>0</v>
      </c>
      <c r="K55" s="18" t="n">
        <v>0.19430145</v>
      </c>
      <c r="L55" s="20" t="n">
        <v>0.16479863</v>
      </c>
      <c r="M55" s="18" t="n">
        <v>0</v>
      </c>
      <c r="N55" s="20" t="n">
        <v>0</v>
      </c>
      <c r="O55" s="18" t="n">
        <v>0</v>
      </c>
      <c r="P55" s="20" t="n">
        <v>0</v>
      </c>
      <c r="Q55" s="18" t="n">
        <v>0.84087896</v>
      </c>
      <c r="R55" s="20" t="n">
        <v>0.25866183</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(5731.0/B61*100)</f>
        <v/>
      </c>
      <c r="D61" s="19" t="n">
        <v>794</v>
      </c>
      <c r="E61" s="18" t="n">
        <v>3.37421368</v>
      </c>
      <c r="F61" s="20" t="n">
        <v>0.81073151</v>
      </c>
      <c r="G61" s="18" t="n">
        <v>95.60651235</v>
      </c>
      <c r="H61" s="20" t="n">
        <v>0.9047545</v>
      </c>
      <c r="I61" s="18" t="n">
        <v>0</v>
      </c>
      <c r="J61" s="20" t="n">
        <v>0</v>
      </c>
      <c r="K61" s="18" t="n">
        <v>0</v>
      </c>
      <c r="L61" s="20" t="n">
        <v>0</v>
      </c>
      <c r="M61" s="18" t="n">
        <v>0</v>
      </c>
      <c r="N61" s="20" t="n">
        <v>0</v>
      </c>
      <c r="O61" s="18" t="n">
        <v>0</v>
      </c>
      <c r="P61" s="20" t="n">
        <v>0</v>
      </c>
      <c r="Q61" s="18" t="n">
        <v>1.01927397</v>
      </c>
      <c r="R61" s="20" t="n">
        <v>0.34004163</v>
      </c>
    </row>
    <row r="62" spans="1:18">
      <c r="A62" s="15" t="s">
        <v>486</v>
      </c>
      <c r="B62" s="17" t="n">
        <v>4476</v>
      </c>
      <c r="C62" s="18">
        <f>(3918.0/B62*100)</f>
        <v/>
      </c>
      <c r="D62" s="19" t="n">
        <v>558</v>
      </c>
      <c r="E62" s="18" t="n">
        <v>2.50401233</v>
      </c>
      <c r="F62" s="20" t="n">
        <v>0.6660669299999999</v>
      </c>
      <c r="G62" s="18" t="n">
        <v>97.31619184</v>
      </c>
      <c r="H62" s="20" t="n">
        <v>0.68891803</v>
      </c>
      <c r="I62" s="18" t="n">
        <v>0</v>
      </c>
      <c r="J62" s="20" t="n">
        <v>0</v>
      </c>
      <c r="K62" s="18" t="n">
        <v>0</v>
      </c>
      <c r="L62" s="20" t="n">
        <v>0</v>
      </c>
      <c r="M62" s="18" t="n">
        <v>0</v>
      </c>
      <c r="N62" s="20" t="n">
        <v>0</v>
      </c>
      <c r="O62" s="18" t="n">
        <v>0</v>
      </c>
      <c r="P62" s="20" t="n">
        <v>0</v>
      </c>
      <c r="Q62" s="18" t="n">
        <v>0.17979583</v>
      </c>
      <c r="R62" s="20" t="n">
        <v>0.17920032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(4969.0/B67*100)</f>
        <v/>
      </c>
      <c r="D67" s="19" t="n">
        <v>696</v>
      </c>
      <c r="E67" s="18" t="n">
        <v>6.26075625</v>
      </c>
      <c r="F67" s="20" t="n">
        <v>0.92240323</v>
      </c>
      <c r="G67" s="18" t="n">
        <v>92.47570695</v>
      </c>
      <c r="H67" s="20" t="n">
        <v>0.9642436599999999</v>
      </c>
      <c r="I67" s="18" t="n">
        <v>0</v>
      </c>
      <c r="J67" s="20" t="n">
        <v>0</v>
      </c>
      <c r="K67" s="18" t="n">
        <v>0</v>
      </c>
      <c r="L67" s="20" t="n">
        <v>0</v>
      </c>
      <c r="M67" s="18" t="n">
        <v>0</v>
      </c>
      <c r="N67" s="20" t="n">
        <v>0</v>
      </c>
      <c r="O67" s="18" t="n">
        <v>0</v>
      </c>
      <c r="P67" s="20" t="n">
        <v>0</v>
      </c>
      <c r="Q67" s="18" t="n">
        <v>1.2635368</v>
      </c>
      <c r="R67" s="20" t="n">
        <v>0.38234889</v>
      </c>
    </row>
    <row r="68" spans="1:18">
      <c r="A68" s="15" t="s">
        <v>492</v>
      </c>
      <c r="B68" s="17" t="n">
        <v>6971</v>
      </c>
      <c r="C68" s="18">
        <f>(6142.0/B68*100)</f>
        <v/>
      </c>
      <c r="D68" s="19" t="n">
        <v>829</v>
      </c>
      <c r="E68" s="18" t="n">
        <v>6.40881416</v>
      </c>
      <c r="F68" s="20" t="n">
        <v>0.95643516</v>
      </c>
      <c r="G68" s="18" t="n">
        <v>92.23298452</v>
      </c>
      <c r="H68" s="20" t="n">
        <v>0.94590275</v>
      </c>
      <c r="I68" s="18" t="n">
        <v>0</v>
      </c>
      <c r="J68" s="20" t="n">
        <v>0</v>
      </c>
      <c r="K68" s="18" t="n">
        <v>0.12464759</v>
      </c>
      <c r="L68" s="20" t="n">
        <v>0.1246026</v>
      </c>
      <c r="M68" s="18" t="n">
        <v>0</v>
      </c>
      <c r="N68" s="20" t="n">
        <v>0</v>
      </c>
      <c r="O68" s="18" t="n">
        <v>0</v>
      </c>
      <c r="P68" s="20" t="n">
        <v>0</v>
      </c>
      <c r="Q68" s="18" t="n">
        <v>1.23355373</v>
      </c>
      <c r="R68" s="20" t="n">
        <v>0.40644872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(10075.0/B70*100)</f>
        <v/>
      </c>
      <c r="D70" s="19" t="n">
        <v>2008</v>
      </c>
      <c r="E70" s="18" t="n">
        <v>9.944846589999999</v>
      </c>
      <c r="F70" s="20" t="n">
        <v>0.58018492</v>
      </c>
      <c r="G70" s="18" t="n">
        <v>87.3135202</v>
      </c>
      <c r="H70" s="20" t="n">
        <v>0.68521722</v>
      </c>
      <c r="I70" s="18" t="n">
        <v>0</v>
      </c>
      <c r="J70" s="20" t="n">
        <v>0</v>
      </c>
      <c r="K70" s="18" t="n">
        <v>0.85685864</v>
      </c>
      <c r="L70" s="20" t="n">
        <v>0.21751945</v>
      </c>
      <c r="M70" s="18" t="n">
        <v>0</v>
      </c>
      <c r="N70" s="20" t="n">
        <v>0</v>
      </c>
      <c r="O70" s="18" t="n">
        <v>0</v>
      </c>
      <c r="P70" s="20" t="n">
        <v>0</v>
      </c>
      <c r="Q70" s="18" t="n">
        <v>1.88477457</v>
      </c>
      <c r="R70" s="20" t="n">
        <v>0.30039065</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(5307.0/B72*100)</f>
        <v/>
      </c>
      <c r="D72" s="19" t="n">
        <v>729</v>
      </c>
      <c r="E72" s="18" t="n">
        <v>1.36558832</v>
      </c>
      <c r="F72" s="20" t="n">
        <v>0.49067547</v>
      </c>
      <c r="G72" s="18" t="n">
        <v>98.06100986</v>
      </c>
      <c r="H72" s="20" t="n">
        <v>0.62155686</v>
      </c>
      <c r="I72" s="18" t="n">
        <v>0</v>
      </c>
      <c r="J72" s="20" t="n">
        <v>0</v>
      </c>
      <c r="K72" s="18" t="n">
        <v>0.10786286</v>
      </c>
      <c r="L72" s="20" t="n">
        <v>0.10804348</v>
      </c>
      <c r="M72" s="18" t="n">
        <v>0</v>
      </c>
      <c r="N72" s="20" t="n">
        <v>0</v>
      </c>
      <c r="O72" s="18" t="n">
        <v>0</v>
      </c>
      <c r="P72" s="20" t="n">
        <v>0</v>
      </c>
      <c r="Q72" s="18" t="n">
        <v>0.46553896</v>
      </c>
      <c r="R72" s="20" t="n">
        <v>0.32844379</v>
      </c>
    </row>
    <row r="73" spans="1:18">
      <c r="A73" s="15" t="s">
        <v>497</v>
      </c>
      <c r="B73" s="17" t="n">
        <v>6115</v>
      </c>
      <c r="C73" s="18">
        <f>(5359.0/B73*100)</f>
        <v/>
      </c>
      <c r="D73" s="19" t="n">
        <v>756</v>
      </c>
      <c r="E73" s="18" t="n">
        <v>1.94919407</v>
      </c>
      <c r="F73" s="20" t="n">
        <v>0.55969571</v>
      </c>
      <c r="G73" s="18" t="n">
        <v>97.56204425999999</v>
      </c>
      <c r="H73" s="20" t="n">
        <v>0.6112047900000001</v>
      </c>
      <c r="I73" s="18" t="n">
        <v>0</v>
      </c>
      <c r="J73" s="20" t="n">
        <v>0</v>
      </c>
      <c r="K73" s="18" t="n">
        <v>0.14224902</v>
      </c>
      <c r="L73" s="20" t="n">
        <v>0.13546598</v>
      </c>
      <c r="M73" s="18" t="n">
        <v>0</v>
      </c>
      <c r="N73" s="20" t="n">
        <v>0</v>
      </c>
      <c r="O73" s="18" t="n">
        <v>0</v>
      </c>
      <c r="P73" s="20" t="n">
        <v>0</v>
      </c>
      <c r="Q73" s="18" t="n">
        <v>0.34651264</v>
      </c>
      <c r="R73" s="20" t="n">
        <v>0.20179993</v>
      </c>
    </row>
    <row r="74" spans="1:18">
      <c r="A74" s="15" t="s">
        <v>498</v>
      </c>
      <c r="B74" s="17" t="n">
        <v>7708</v>
      </c>
      <c r="C74" s="18">
        <f>(6759.0/B74*100)</f>
        <v/>
      </c>
      <c r="D74" s="19" t="n">
        <v>949</v>
      </c>
      <c r="E74" s="18" t="n">
        <v>2.262643</v>
      </c>
      <c r="F74" s="20" t="n">
        <v>0.4609269</v>
      </c>
      <c r="G74" s="18" t="n">
        <v>97.15508477</v>
      </c>
      <c r="H74" s="20" t="n">
        <v>0.53704955</v>
      </c>
      <c r="I74" s="18" t="n">
        <v>0</v>
      </c>
      <c r="J74" s="20" t="n">
        <v>0</v>
      </c>
      <c r="K74" s="18" t="n">
        <v>0</v>
      </c>
      <c r="L74" s="20" t="n">
        <v>0</v>
      </c>
      <c r="M74" s="18" t="n">
        <v>0</v>
      </c>
      <c r="N74" s="20" t="n">
        <v>0</v>
      </c>
      <c r="O74" s="18" t="n">
        <v>0</v>
      </c>
      <c r="P74" s="20" t="n">
        <v>0</v>
      </c>
      <c r="Q74" s="18" t="n">
        <v>0.58227222</v>
      </c>
      <c r="R74" s="20" t="n">
        <v>0.27030263</v>
      </c>
    </row>
    <row r="75" spans="1:18">
      <c r="A75" s="15" t="s">
        <v>499</v>
      </c>
      <c r="B75" s="17" t="n">
        <v>8249</v>
      </c>
      <c r="C75" s="18">
        <f>(7258.0/B75*100)</f>
        <v/>
      </c>
      <c r="D75" s="19" t="n">
        <v>991</v>
      </c>
      <c r="E75" s="18" t="n">
        <v>14.04339205</v>
      </c>
      <c r="F75" s="20" t="n">
        <v>1.66213028</v>
      </c>
      <c r="G75" s="18" t="n">
        <v>85.41858748</v>
      </c>
      <c r="H75" s="20" t="n">
        <v>1.68317558</v>
      </c>
      <c r="I75" s="18" t="n">
        <v>0</v>
      </c>
      <c r="J75" s="20" t="n">
        <v>0</v>
      </c>
      <c r="K75" s="18" t="n">
        <v>0</v>
      </c>
      <c r="L75" s="20" t="n">
        <v>0</v>
      </c>
      <c r="M75" s="18" t="n">
        <v>0</v>
      </c>
      <c r="N75" s="20" t="n">
        <v>0</v>
      </c>
      <c r="O75" s="18" t="n">
        <v>0</v>
      </c>
      <c r="P75" s="20" t="n">
        <v>0</v>
      </c>
      <c r="Q75" s="18" t="n">
        <v>0.53802047</v>
      </c>
      <c r="R75" s="20" t="n">
        <v>0.28989356</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(4748.0/B77*100)</f>
        <v/>
      </c>
      <c r="D77" s="19" t="n">
        <v>627</v>
      </c>
      <c r="E77" s="18" t="n">
        <v>7.73998255</v>
      </c>
      <c r="F77" s="20" t="n">
        <v>1.13214876</v>
      </c>
      <c r="G77" s="18" t="n">
        <v>88.93568881</v>
      </c>
      <c r="H77" s="20" t="n">
        <v>1.36152073</v>
      </c>
      <c r="I77" s="18" t="n">
        <v>0</v>
      </c>
      <c r="J77" s="20" t="n">
        <v>0</v>
      </c>
      <c r="K77" s="18" t="n">
        <v>1.24354075</v>
      </c>
      <c r="L77" s="20" t="n">
        <v>0.41413351</v>
      </c>
      <c r="M77" s="18" t="n">
        <v>0</v>
      </c>
      <c r="N77" s="20" t="n">
        <v>0</v>
      </c>
      <c r="O77" s="18" t="n">
        <v>0</v>
      </c>
      <c r="P77" s="20" t="n">
        <v>0</v>
      </c>
      <c r="Q77" s="18" t="n">
        <v>2.08078789</v>
      </c>
      <c r="R77" s="20" t="n">
        <v>0.6812806300000001</v>
      </c>
    </row>
    <row r="78" spans="1:18">
      <c r="A78" s="15" t="s">
        <v>502</v>
      </c>
      <c r="B78" s="17" t="n">
        <v>14167</v>
      </c>
      <c r="C78" s="18">
        <f>(12406.0/B78*100)</f>
        <v/>
      </c>
      <c r="D78" s="19" t="n">
        <v>1761</v>
      </c>
      <c r="E78" s="18" t="n">
        <v>6.09954595</v>
      </c>
      <c r="F78" s="20" t="n">
        <v>0.69305473</v>
      </c>
      <c r="G78" s="18" t="n">
        <v>91.92120137000001</v>
      </c>
      <c r="H78" s="20" t="n">
        <v>0.74478683</v>
      </c>
      <c r="I78" s="18" t="n">
        <v>0</v>
      </c>
      <c r="J78" s="20" t="n">
        <v>0</v>
      </c>
      <c r="K78" s="18" t="n">
        <v>0.43798934</v>
      </c>
      <c r="L78" s="20" t="n">
        <v>0.19241217</v>
      </c>
      <c r="M78" s="18" t="n">
        <v>0</v>
      </c>
      <c r="N78" s="20" t="n">
        <v>0</v>
      </c>
      <c r="O78" s="18" t="n">
        <v>0</v>
      </c>
      <c r="P78" s="20" t="n">
        <v>0</v>
      </c>
      <c r="Q78" s="18" t="n">
        <v>1.54126333</v>
      </c>
      <c r="R78" s="20" t="n">
        <v>0.3615557</v>
      </c>
    </row>
    <row r="79" spans="1:18">
      <c r="A79" s="15" t="s">
        <v>503</v>
      </c>
      <c r="B79" s="17" t="n">
        <v>6062</v>
      </c>
      <c r="C79" s="18">
        <f>(5335.0/B79*100)</f>
        <v/>
      </c>
      <c r="D79" s="19" t="n">
        <v>727</v>
      </c>
      <c r="E79" s="18" t="n">
        <v>6.24481589</v>
      </c>
      <c r="F79" s="20" t="n">
        <v>1.1838613</v>
      </c>
      <c r="G79" s="18" t="n">
        <v>92.63329161999999</v>
      </c>
      <c r="H79" s="20" t="n">
        <v>1.30938271</v>
      </c>
      <c r="I79" s="18" t="n">
        <v>0</v>
      </c>
      <c r="J79" s="20" t="n">
        <v>0</v>
      </c>
      <c r="K79" s="18" t="n">
        <v>0.35104281</v>
      </c>
      <c r="L79" s="20" t="n">
        <v>0.25824361</v>
      </c>
      <c r="M79" s="18" t="n">
        <v>0</v>
      </c>
      <c r="N79" s="20" t="n">
        <v>0</v>
      </c>
      <c r="O79" s="18" t="n">
        <v>0</v>
      </c>
      <c r="P79" s="20" t="n">
        <v>0</v>
      </c>
      <c r="Q79" s="18" t="n">
        <v>0.77084968</v>
      </c>
      <c r="R79" s="20" t="n">
        <v>0.32990885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(28373.0/B82*100)</f>
        <v/>
      </c>
      <c r="D82" s="19" t="n">
        <v>3957</v>
      </c>
      <c r="E82" s="18" t="n">
        <v>2.89334115</v>
      </c>
      <c r="F82" s="20" t="n">
        <v>0.36124894</v>
      </c>
      <c r="G82" s="18" t="n">
        <v>96.70991290000001</v>
      </c>
      <c r="H82" s="20" t="n">
        <v>0.40081072</v>
      </c>
      <c r="I82" s="18" t="n">
        <v>0</v>
      </c>
      <c r="J82" s="20" t="n">
        <v>0</v>
      </c>
      <c r="K82" s="18" t="n">
        <v>0.03873522</v>
      </c>
      <c r="L82" s="20" t="n">
        <v>0.02133466</v>
      </c>
      <c r="M82" s="18" t="n">
        <v>0</v>
      </c>
      <c r="N82" s="20" t="n">
        <v>0</v>
      </c>
      <c r="O82" s="18" t="n">
        <v>0</v>
      </c>
      <c r="P82" s="20" t="n">
        <v>0</v>
      </c>
      <c r="Q82" s="18" t="n">
        <v>0.35801073</v>
      </c>
      <c r="R82" s="20" t="n">
        <v>0.1293553</v>
      </c>
    </row>
    <row r="83" spans="1:18">
      <c r="A83" s="15" t="s">
        <v>507</v>
      </c>
      <c r="B83" s="17" t="n">
        <v>1652</v>
      </c>
      <c r="C83" s="18">
        <f>(1426.0/B83*100)</f>
        <v/>
      </c>
      <c r="D83" s="19" t="n">
        <v>226</v>
      </c>
      <c r="E83" s="18" t="n">
        <v>2.71683283</v>
      </c>
      <c r="F83" s="20" t="n">
        <v>1.06661056</v>
      </c>
      <c r="G83" s="18" t="n">
        <v>97.28316717</v>
      </c>
      <c r="H83" s="20" t="n">
        <v>1.06661056</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(1611.0/B84*100)</f>
        <v/>
      </c>
      <c r="D84" s="19" t="n">
        <v>276</v>
      </c>
      <c r="E84" s="18" t="n">
        <v>3.49984331</v>
      </c>
      <c r="F84" s="20" t="n">
        <v>1.01801341</v>
      </c>
      <c r="G84" s="18" t="n">
        <v>95.84831106</v>
      </c>
      <c r="H84" s="20" t="n">
        <v>1.00312187</v>
      </c>
      <c r="I84" s="18" t="n">
        <v>0</v>
      </c>
      <c r="J84" s="20" t="n">
        <v>0</v>
      </c>
      <c r="K84" s="18" t="n">
        <v>0</v>
      </c>
      <c r="L84" s="20" t="n">
        <v>0</v>
      </c>
      <c r="M84" s="18" t="n">
        <v>0</v>
      </c>
      <c r="N84" s="20" t="n">
        <v>0</v>
      </c>
      <c r="O84" s="18" t="n">
        <v>0</v>
      </c>
      <c r="P84" s="20" t="n">
        <v>0</v>
      </c>
      <c r="Q84" s="18" t="n">
        <v>0.65184563</v>
      </c>
      <c r="R84" s="20" t="n">
        <v>0.47237444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(12762.0/B7*100)</f>
        <v/>
      </c>
      <c r="D7" s="19" t="n">
        <v>1768</v>
      </c>
      <c r="E7" s="18" t="n">
        <v>17.86649976</v>
      </c>
      <c r="F7" s="20" t="n">
        <v>1.19688323</v>
      </c>
      <c r="G7" s="18" t="n">
        <v>80.20554129999999</v>
      </c>
      <c r="H7" s="20" t="n">
        <v>1.31452967</v>
      </c>
      <c r="I7" s="18" t="n">
        <v>0</v>
      </c>
      <c r="J7" s="20" t="n">
        <v>0</v>
      </c>
      <c r="K7" s="18" t="n">
        <v>0.1817857</v>
      </c>
      <c r="L7" s="20" t="n">
        <v>0.1035286</v>
      </c>
      <c r="M7" s="18" t="n">
        <v>0.03891364</v>
      </c>
      <c r="N7" s="20" t="n">
        <v>0.01939587</v>
      </c>
      <c r="O7" s="18" t="n">
        <v>0</v>
      </c>
      <c r="P7" s="20" t="n">
        <v>0</v>
      </c>
      <c r="Q7" s="18" t="n">
        <v>1.70725961</v>
      </c>
      <c r="R7" s="20" t="n">
        <v>0.34036285</v>
      </c>
    </row>
    <row r="8" spans="1:18">
      <c r="A8" s="15" t="s">
        <v>430</v>
      </c>
      <c r="B8" s="17" t="n">
        <v>7007</v>
      </c>
      <c r="C8" s="18">
        <f>(6087.0/B8*100)</f>
        <v/>
      </c>
      <c r="D8" s="19" t="n">
        <v>920</v>
      </c>
      <c r="E8" s="18" t="n">
        <v>24.71072709</v>
      </c>
      <c r="F8" s="20" t="n">
        <v>1.58948303</v>
      </c>
      <c r="G8" s="18" t="n">
        <v>72.68534606</v>
      </c>
      <c r="H8" s="20" t="n">
        <v>1.70382524</v>
      </c>
      <c r="I8" s="18" t="n">
        <v>0</v>
      </c>
      <c r="J8" s="20" t="n">
        <v>0</v>
      </c>
      <c r="K8" s="18" t="n">
        <v>0</v>
      </c>
      <c r="L8" s="20" t="n">
        <v>0</v>
      </c>
      <c r="M8" s="18" t="n">
        <v>0</v>
      </c>
      <c r="N8" s="20" t="n">
        <v>0</v>
      </c>
      <c r="O8" s="18" t="n">
        <v>0</v>
      </c>
      <c r="P8" s="20" t="n">
        <v>0</v>
      </c>
      <c r="Q8" s="18" t="n">
        <v>2.60392685</v>
      </c>
      <c r="R8" s="20" t="n">
        <v>0.6028127599999999</v>
      </c>
    </row>
    <row r="9" spans="1:18">
      <c r="A9" s="15" t="s">
        <v>431</v>
      </c>
      <c r="B9" s="17" t="n">
        <v>9651</v>
      </c>
      <c r="C9" s="18">
        <f>(8257.0/B9*100)</f>
        <v/>
      </c>
      <c r="D9" s="19" t="n">
        <v>1394</v>
      </c>
      <c r="E9" s="18" t="n">
        <v>28.53665457</v>
      </c>
      <c r="F9" s="20" t="n">
        <v>1.448012</v>
      </c>
      <c r="G9" s="18" t="n">
        <v>68.62405052</v>
      </c>
      <c r="H9" s="20" t="n">
        <v>1.59920341</v>
      </c>
      <c r="I9" s="18" t="n">
        <v>0</v>
      </c>
      <c r="J9" s="20" t="n">
        <v>0</v>
      </c>
      <c r="K9" s="18" t="n">
        <v>0.13659396</v>
      </c>
      <c r="L9" s="20" t="n">
        <v>0.07044642</v>
      </c>
      <c r="M9" s="18" t="n">
        <v>0.21138445</v>
      </c>
      <c r="N9" s="20" t="n">
        <v>0.07154006</v>
      </c>
      <c r="O9" s="18" t="n">
        <v>0</v>
      </c>
      <c r="P9" s="20" t="n">
        <v>0</v>
      </c>
      <c r="Q9" s="18" t="n">
        <v>2.49131649</v>
      </c>
      <c r="R9" s="20" t="n">
        <v>0.46551916</v>
      </c>
    </row>
    <row r="10" spans="1:18">
      <c r="A10" s="15" t="s">
        <v>432</v>
      </c>
      <c r="B10" s="17" t="n">
        <v>20058</v>
      </c>
      <c r="C10" s="18">
        <f>(17566.0/B10*100)</f>
        <v/>
      </c>
      <c r="D10" s="19" t="n">
        <v>2492</v>
      </c>
      <c r="E10" s="18" t="n">
        <v>13.94211138</v>
      </c>
      <c r="F10" s="20" t="n">
        <v>0.90257775</v>
      </c>
      <c r="G10" s="18" t="n">
        <v>85.0408485</v>
      </c>
      <c r="H10" s="20" t="n">
        <v>0.99893105</v>
      </c>
      <c r="I10" s="18" t="n">
        <v>0</v>
      </c>
      <c r="J10" s="20" t="n">
        <v>0</v>
      </c>
      <c r="K10" s="18" t="n">
        <v>0.22501643</v>
      </c>
      <c r="L10" s="20" t="n">
        <v>0.15411304</v>
      </c>
      <c r="M10" s="18" t="n">
        <v>0</v>
      </c>
      <c r="N10" s="20" t="n">
        <v>0</v>
      </c>
      <c r="O10" s="18" t="n">
        <v>0</v>
      </c>
      <c r="P10" s="20" t="n">
        <v>0</v>
      </c>
      <c r="Q10" s="18" t="n">
        <v>0.7920237</v>
      </c>
      <c r="R10" s="20" t="n">
        <v>0.27017589</v>
      </c>
    </row>
    <row r="11" spans="1:18">
      <c r="A11" s="15" t="s">
        <v>433</v>
      </c>
      <c r="B11" s="17" t="n">
        <v>7053</v>
      </c>
      <c r="C11" s="18">
        <f>(6204.0/B11*100)</f>
        <v/>
      </c>
      <c r="D11" s="19" t="n">
        <v>849</v>
      </c>
      <c r="E11" s="18" t="n">
        <v>24.15299332</v>
      </c>
      <c r="F11" s="20" t="n">
        <v>1.79425718</v>
      </c>
      <c r="G11" s="18" t="n">
        <v>71.27374355000001</v>
      </c>
      <c r="H11" s="20" t="n">
        <v>1.85385815</v>
      </c>
      <c r="I11" s="18" t="n">
        <v>0</v>
      </c>
      <c r="J11" s="20" t="n">
        <v>0</v>
      </c>
      <c r="K11" s="18" t="n">
        <v>0.10330051</v>
      </c>
      <c r="L11" s="20" t="n">
        <v>0.09582348</v>
      </c>
      <c r="M11" s="18" t="n">
        <v>0</v>
      </c>
      <c r="N11" s="20" t="n">
        <v>0</v>
      </c>
      <c r="O11" s="18" t="n">
        <v>0</v>
      </c>
      <c r="P11" s="20" t="n">
        <v>0</v>
      </c>
      <c r="Q11" s="18" t="n">
        <v>4.46996262</v>
      </c>
      <c r="R11" s="20" t="n">
        <v>0.89526952</v>
      </c>
    </row>
    <row r="12" spans="1:18">
      <c r="A12" s="15" t="s">
        <v>434</v>
      </c>
      <c r="B12" s="17" t="n">
        <v>6894</v>
      </c>
      <c r="C12" s="18">
        <f>(5981.0/B12*100)</f>
        <v/>
      </c>
      <c r="D12" s="19" t="n">
        <v>913</v>
      </c>
      <c r="E12" s="18" t="n">
        <v>21.95493395</v>
      </c>
      <c r="F12" s="20" t="n">
        <v>2.21016831</v>
      </c>
      <c r="G12" s="18" t="n">
        <v>73.91613215</v>
      </c>
      <c r="H12" s="20" t="n">
        <v>2.70232175</v>
      </c>
      <c r="I12" s="18" t="n">
        <v>0</v>
      </c>
      <c r="J12" s="20" t="n">
        <v>0</v>
      </c>
      <c r="K12" s="18" t="n">
        <v>0</v>
      </c>
      <c r="L12" s="20" t="n">
        <v>0</v>
      </c>
      <c r="M12" s="18" t="n">
        <v>0.27783534</v>
      </c>
      <c r="N12" s="20" t="n">
        <v>0.21188085</v>
      </c>
      <c r="O12" s="18" t="n">
        <v>0</v>
      </c>
      <c r="P12" s="20" t="n">
        <v>0</v>
      </c>
      <c r="Q12" s="18" t="n">
        <v>3.85109856</v>
      </c>
      <c r="R12" s="20" t="n">
        <v>0.87478307</v>
      </c>
    </row>
    <row r="13" spans="1:18">
      <c r="A13" s="15" t="s">
        <v>435</v>
      </c>
      <c r="B13" s="17" t="n">
        <v>7161</v>
      </c>
      <c r="C13" s="18">
        <f>(5980.0/B13*100)</f>
        <v/>
      </c>
      <c r="D13" s="19" t="n">
        <v>1181</v>
      </c>
      <c r="E13" s="18" t="n">
        <v>30.07022907</v>
      </c>
      <c r="F13" s="20" t="n">
        <v>1.84952194</v>
      </c>
      <c r="G13" s="18" t="n">
        <v>68.28108946</v>
      </c>
      <c r="H13" s="20" t="n">
        <v>1.75795815</v>
      </c>
      <c r="I13" s="18" t="n">
        <v>0</v>
      </c>
      <c r="J13" s="20" t="n">
        <v>0</v>
      </c>
      <c r="K13" s="18" t="n">
        <v>0.37711815</v>
      </c>
      <c r="L13" s="20" t="n">
        <v>0.25561673</v>
      </c>
      <c r="M13" s="18" t="n">
        <v>0</v>
      </c>
      <c r="N13" s="20" t="n">
        <v>0</v>
      </c>
      <c r="O13" s="18" t="n">
        <v>0</v>
      </c>
      <c r="P13" s="20" t="n">
        <v>0</v>
      </c>
      <c r="Q13" s="18" t="n">
        <v>1.27156331</v>
      </c>
      <c r="R13" s="20" t="n">
        <v>0.44385023</v>
      </c>
    </row>
    <row r="14" spans="1:18">
      <c r="A14" s="15" t="s">
        <v>436</v>
      </c>
      <c r="B14" s="17" t="n">
        <v>5587</v>
      </c>
      <c r="C14" s="18">
        <f>(4897.0/B14*100)</f>
        <v/>
      </c>
      <c r="D14" s="19" t="n">
        <v>690</v>
      </c>
      <c r="E14" s="18" t="n">
        <v>17.38146041</v>
      </c>
      <c r="F14" s="20" t="n">
        <v>1.66831893</v>
      </c>
      <c r="G14" s="18" t="n">
        <v>81.95717987</v>
      </c>
      <c r="H14" s="20" t="n">
        <v>1.71092708</v>
      </c>
      <c r="I14" s="18" t="n">
        <v>0</v>
      </c>
      <c r="J14" s="20" t="n">
        <v>0</v>
      </c>
      <c r="K14" s="18" t="n">
        <v>0</v>
      </c>
      <c r="L14" s="20" t="n">
        <v>0</v>
      </c>
      <c r="M14" s="18" t="n">
        <v>0</v>
      </c>
      <c r="N14" s="20" t="n">
        <v>0</v>
      </c>
      <c r="O14" s="18" t="n">
        <v>0</v>
      </c>
      <c r="P14" s="20" t="n">
        <v>0</v>
      </c>
      <c r="Q14" s="18" t="n">
        <v>0.66135973</v>
      </c>
      <c r="R14" s="20" t="n">
        <v>0.30481364</v>
      </c>
    </row>
    <row r="15" spans="1:18">
      <c r="A15" s="15" t="s">
        <v>437</v>
      </c>
      <c r="B15" s="17" t="n">
        <v>5882</v>
      </c>
      <c r="C15" s="18">
        <f>(5141.0/B15*100)</f>
        <v/>
      </c>
      <c r="D15" s="19" t="n">
        <v>741</v>
      </c>
      <c r="E15" s="18" t="n">
        <v>19.34687847</v>
      </c>
      <c r="F15" s="20" t="n">
        <v>1.81407503</v>
      </c>
      <c r="G15" s="18" t="n">
        <v>78.48962072</v>
      </c>
      <c r="H15" s="20" t="n">
        <v>2.26890877</v>
      </c>
      <c r="I15" s="18" t="n">
        <v>0</v>
      </c>
      <c r="J15" s="20" t="n">
        <v>0</v>
      </c>
      <c r="K15" s="18" t="n">
        <v>0.40225189</v>
      </c>
      <c r="L15" s="20" t="n">
        <v>0.31316629</v>
      </c>
      <c r="M15" s="18" t="n">
        <v>0</v>
      </c>
      <c r="N15" s="20" t="n">
        <v>0</v>
      </c>
      <c r="O15" s="18" t="n">
        <v>0</v>
      </c>
      <c r="P15" s="20" t="n">
        <v>0</v>
      </c>
      <c r="Q15" s="18" t="n">
        <v>1.76124892</v>
      </c>
      <c r="R15" s="20" t="n">
        <v>0.63665809</v>
      </c>
    </row>
    <row r="16" spans="1:18">
      <c r="A16" s="15" t="s">
        <v>438</v>
      </c>
      <c r="B16" s="17" t="n">
        <v>6108</v>
      </c>
      <c r="C16" s="18">
        <f>(5376.0/B16*100)</f>
        <v/>
      </c>
      <c r="D16" s="19" t="n">
        <v>732</v>
      </c>
      <c r="E16" s="18" t="n">
        <v>29.37951336</v>
      </c>
      <c r="F16" s="20" t="n">
        <v>1.66735847</v>
      </c>
      <c r="G16" s="18" t="n">
        <v>66.77152932</v>
      </c>
      <c r="H16" s="20" t="n">
        <v>1.60636948</v>
      </c>
      <c r="I16" s="18" t="n">
        <v>0</v>
      </c>
      <c r="J16" s="20" t="n">
        <v>0</v>
      </c>
      <c r="K16" s="18" t="n">
        <v>0.64186305</v>
      </c>
      <c r="L16" s="20" t="n">
        <v>0.34365402</v>
      </c>
      <c r="M16" s="18" t="n">
        <v>0</v>
      </c>
      <c r="N16" s="20" t="n">
        <v>0</v>
      </c>
      <c r="O16" s="18" t="n">
        <v>0</v>
      </c>
      <c r="P16" s="20" t="n">
        <v>0</v>
      </c>
      <c r="Q16" s="18" t="n">
        <v>3.20709426</v>
      </c>
      <c r="R16" s="20" t="n">
        <v>0.74961268</v>
      </c>
    </row>
    <row r="17" spans="1:18">
      <c r="A17" s="15" t="s">
        <v>439</v>
      </c>
      <c r="B17" s="17" t="n">
        <v>6504</v>
      </c>
      <c r="C17" s="18">
        <f>(5603.0/B17*100)</f>
        <v/>
      </c>
      <c r="D17" s="19" t="n">
        <v>901</v>
      </c>
      <c r="E17" s="18" t="n">
        <v>10.53963766</v>
      </c>
      <c r="F17" s="20" t="n">
        <v>0.97616773</v>
      </c>
      <c r="G17" s="18" t="n">
        <v>85.3848443</v>
      </c>
      <c r="H17" s="20" t="n">
        <v>1.4021325</v>
      </c>
      <c r="I17" s="18" t="n">
        <v>0</v>
      </c>
      <c r="J17" s="20" t="n">
        <v>0</v>
      </c>
      <c r="K17" s="18" t="n">
        <v>0.39318084</v>
      </c>
      <c r="L17" s="20" t="n">
        <v>0.23240839</v>
      </c>
      <c r="M17" s="18" t="n">
        <v>0</v>
      </c>
      <c r="N17" s="20" t="n">
        <v>0</v>
      </c>
      <c r="O17" s="18" t="n">
        <v>0</v>
      </c>
      <c r="P17" s="20" t="n">
        <v>0</v>
      </c>
      <c r="Q17" s="18" t="n">
        <v>3.6823372</v>
      </c>
      <c r="R17" s="20" t="n">
        <v>0.65839266</v>
      </c>
    </row>
    <row r="18" spans="1:18">
      <c r="A18" s="15" t="s">
        <v>440</v>
      </c>
      <c r="B18" s="17" t="n">
        <v>5532</v>
      </c>
      <c r="C18" s="18">
        <f>(4851.0/B18*100)</f>
        <v/>
      </c>
      <c r="D18" s="19" t="n">
        <v>681</v>
      </c>
      <c r="E18" s="18" t="n">
        <v>19.428178</v>
      </c>
      <c r="F18" s="20" t="n">
        <v>1.36507803</v>
      </c>
      <c r="G18" s="18" t="n">
        <v>76.09403929</v>
      </c>
      <c r="H18" s="20" t="n">
        <v>1.72958346</v>
      </c>
      <c r="I18" s="18" t="n">
        <v>0</v>
      </c>
      <c r="J18" s="20" t="n">
        <v>0</v>
      </c>
      <c r="K18" s="18" t="n">
        <v>0.27447804</v>
      </c>
      <c r="L18" s="20" t="n">
        <v>0.27173499</v>
      </c>
      <c r="M18" s="18" t="n">
        <v>0</v>
      </c>
      <c r="N18" s="20" t="n">
        <v>0</v>
      </c>
      <c r="O18" s="18" t="n">
        <v>0</v>
      </c>
      <c r="P18" s="20" t="n">
        <v>0</v>
      </c>
      <c r="Q18" s="18" t="n">
        <v>4.20330468</v>
      </c>
      <c r="R18" s="20" t="n">
        <v>1.12676677</v>
      </c>
    </row>
    <row r="19" spans="1:18">
      <c r="A19" s="15" t="s">
        <v>441</v>
      </c>
      <c r="B19" s="17" t="n">
        <v>5658</v>
      </c>
      <c r="C19" s="18">
        <f>(4954.0/B19*100)</f>
        <v/>
      </c>
      <c r="D19" s="19" t="n">
        <v>704</v>
      </c>
      <c r="E19" s="18" t="n">
        <v>31.98601927</v>
      </c>
      <c r="F19" s="20" t="n">
        <v>1.72177827</v>
      </c>
      <c r="G19" s="18" t="n">
        <v>63.89275328</v>
      </c>
      <c r="H19" s="20" t="n">
        <v>1.8061817</v>
      </c>
      <c r="I19" s="18" t="n">
        <v>0</v>
      </c>
      <c r="J19" s="20" t="n">
        <v>0</v>
      </c>
      <c r="K19" s="18" t="n">
        <v>0</v>
      </c>
      <c r="L19" s="20" t="n">
        <v>0</v>
      </c>
      <c r="M19" s="18" t="n">
        <v>0</v>
      </c>
      <c r="N19" s="20" t="n">
        <v>0</v>
      </c>
      <c r="O19" s="18" t="n">
        <v>0</v>
      </c>
      <c r="P19" s="20" t="n">
        <v>0</v>
      </c>
      <c r="Q19" s="18" t="n">
        <v>4.12122745</v>
      </c>
      <c r="R19" s="20" t="n">
        <v>0.90096949</v>
      </c>
    </row>
    <row r="20" spans="1:18">
      <c r="A20" s="15" t="s">
        <v>442</v>
      </c>
      <c r="B20" s="17" t="n">
        <v>3371</v>
      </c>
      <c r="C20" s="18">
        <f>(2961.0/B20*100)</f>
        <v/>
      </c>
      <c r="D20" s="19" t="n">
        <v>410</v>
      </c>
      <c r="E20" s="18" t="n">
        <v>12.25909894</v>
      </c>
      <c r="F20" s="20" t="n">
        <v>1.43240799</v>
      </c>
      <c r="G20" s="18" t="n">
        <v>85.58296217</v>
      </c>
      <c r="H20" s="20" t="n">
        <v>1.6926299</v>
      </c>
      <c r="I20" s="18" t="n">
        <v>0</v>
      </c>
      <c r="J20" s="20" t="n">
        <v>0</v>
      </c>
      <c r="K20" s="18" t="n">
        <v>0.2786138</v>
      </c>
      <c r="L20" s="20" t="n">
        <v>0.28181282</v>
      </c>
      <c r="M20" s="18" t="n">
        <v>0.37808335</v>
      </c>
      <c r="N20" s="20" t="n">
        <v>0.27319248</v>
      </c>
      <c r="O20" s="18" t="n">
        <v>0</v>
      </c>
      <c r="P20" s="20" t="n">
        <v>0</v>
      </c>
      <c r="Q20" s="18" t="n">
        <v>1.50124175</v>
      </c>
      <c r="R20" s="20" t="n">
        <v>0.62535778</v>
      </c>
    </row>
    <row r="21" spans="1:18">
      <c r="A21" s="15" t="s">
        <v>443</v>
      </c>
      <c r="B21" s="17" t="n">
        <v>5741</v>
      </c>
      <c r="C21" s="18">
        <f>(4781.0/B21*100)</f>
        <v/>
      </c>
      <c r="D21" s="19" t="n">
        <v>960</v>
      </c>
      <c r="E21" s="18" t="n">
        <v>9.978843469999999</v>
      </c>
      <c r="F21" s="20" t="n">
        <v>0.86427652</v>
      </c>
      <c r="G21" s="18" t="n">
        <v>89.54753334</v>
      </c>
      <c r="H21" s="20" t="n">
        <v>0.8964998</v>
      </c>
      <c r="I21" s="18" t="n">
        <v>0</v>
      </c>
      <c r="J21" s="20" t="n">
        <v>0</v>
      </c>
      <c r="K21" s="18" t="n">
        <v>0</v>
      </c>
      <c r="L21" s="20" t="n">
        <v>0</v>
      </c>
      <c r="M21" s="18" t="n">
        <v>0</v>
      </c>
      <c r="N21" s="20" t="n">
        <v>0</v>
      </c>
      <c r="O21" s="18" t="n">
        <v>0</v>
      </c>
      <c r="P21" s="20" t="n">
        <v>0</v>
      </c>
      <c r="Q21" s="18" t="n">
        <v>0.47362319</v>
      </c>
      <c r="R21" s="20" t="n">
        <v>0.20882242</v>
      </c>
    </row>
    <row r="22" spans="1:18">
      <c r="A22" s="15" t="s">
        <v>444</v>
      </c>
      <c r="B22" s="17" t="n">
        <v>6598</v>
      </c>
      <c r="C22" s="18">
        <f>(5762.0/B22*100)</f>
        <v/>
      </c>
      <c r="D22" s="19" t="n">
        <v>836</v>
      </c>
      <c r="E22" s="18" t="n">
        <v>23.20459385</v>
      </c>
      <c r="F22" s="20" t="n">
        <v>1.72372867</v>
      </c>
      <c r="G22" s="18" t="n">
        <v>73.27805025000001</v>
      </c>
      <c r="H22" s="20" t="n">
        <v>1.58573797</v>
      </c>
      <c r="I22" s="18" t="n">
        <v>0</v>
      </c>
      <c r="J22" s="20" t="n">
        <v>0</v>
      </c>
      <c r="K22" s="18" t="n">
        <v>0.31544387</v>
      </c>
      <c r="L22" s="20" t="n">
        <v>0.23297826</v>
      </c>
      <c r="M22" s="18" t="n">
        <v>0</v>
      </c>
      <c r="N22" s="20" t="n">
        <v>0</v>
      </c>
      <c r="O22" s="18" t="n">
        <v>0</v>
      </c>
      <c r="P22" s="20" t="n">
        <v>0</v>
      </c>
      <c r="Q22" s="18" t="n">
        <v>3.20191203</v>
      </c>
      <c r="R22" s="20" t="n">
        <v>0.64981267</v>
      </c>
    </row>
    <row r="23" spans="1:18">
      <c r="A23" s="15" t="s">
        <v>445</v>
      </c>
      <c r="B23" s="17" t="n">
        <v>11583</v>
      </c>
      <c r="C23" s="18">
        <f>(10128.0/B23*100)</f>
        <v/>
      </c>
      <c r="D23" s="19" t="n">
        <v>1455</v>
      </c>
      <c r="E23" s="18" t="n">
        <v>31.08720358</v>
      </c>
      <c r="F23" s="20" t="n">
        <v>1.41737183</v>
      </c>
      <c r="G23" s="18" t="n">
        <v>65.12846308</v>
      </c>
      <c r="H23" s="20" t="n">
        <v>1.58462316</v>
      </c>
      <c r="I23" s="18" t="n">
        <v>0</v>
      </c>
      <c r="J23" s="20" t="n">
        <v>0</v>
      </c>
      <c r="K23" s="18" t="n">
        <v>0.34723337</v>
      </c>
      <c r="L23" s="20" t="n">
        <v>0.27151731</v>
      </c>
      <c r="M23" s="18" t="n">
        <v>0.33383434</v>
      </c>
      <c r="N23" s="20" t="n">
        <v>0.17935422</v>
      </c>
      <c r="O23" s="18" t="n">
        <v>0</v>
      </c>
      <c r="P23" s="20" t="n">
        <v>0</v>
      </c>
      <c r="Q23" s="18" t="n">
        <v>3.10326563</v>
      </c>
      <c r="R23" s="20" t="n">
        <v>0.95776462</v>
      </c>
    </row>
    <row r="24" spans="1:18">
      <c r="A24" s="15" t="s">
        <v>446</v>
      </c>
      <c r="B24" s="17" t="n">
        <v>6647</v>
      </c>
      <c r="C24" s="18">
        <f>(5872.0/B24*100)</f>
        <v/>
      </c>
      <c r="D24" s="19" t="n">
        <v>775</v>
      </c>
      <c r="E24" s="18" t="n">
        <v>10.90679076</v>
      </c>
      <c r="F24" s="20" t="n">
        <v>1.13509975</v>
      </c>
      <c r="G24" s="18" t="n">
        <v>86.80291486</v>
      </c>
      <c r="H24" s="20" t="n">
        <v>1.25151446</v>
      </c>
      <c r="I24" s="18" t="n">
        <v>0</v>
      </c>
      <c r="J24" s="20" t="n">
        <v>0</v>
      </c>
      <c r="K24" s="18" t="n">
        <v>0</v>
      </c>
      <c r="L24" s="20" t="n">
        <v>0</v>
      </c>
      <c r="M24" s="18" t="n">
        <v>0</v>
      </c>
      <c r="N24" s="20" t="n">
        <v>0</v>
      </c>
      <c r="O24" s="18" t="n">
        <v>0</v>
      </c>
      <c r="P24" s="20" t="n">
        <v>0</v>
      </c>
      <c r="Q24" s="18" t="n">
        <v>2.29029438</v>
      </c>
      <c r="R24" s="20" t="n">
        <v>0.56576289</v>
      </c>
    </row>
    <row r="25" spans="1:18">
      <c r="A25" s="15" t="s">
        <v>447</v>
      </c>
      <c r="B25" s="17" t="n">
        <v>5581</v>
      </c>
      <c r="C25" s="18">
        <f>(4889.0/B25*100)</f>
        <v/>
      </c>
      <c r="D25" s="19" t="n">
        <v>692</v>
      </c>
      <c r="E25" s="18" t="n">
        <v>16.89026259</v>
      </c>
      <c r="F25" s="20" t="n">
        <v>1.35781934</v>
      </c>
      <c r="G25" s="18" t="n">
        <v>81.11072795</v>
      </c>
      <c r="H25" s="20" t="n">
        <v>1.39473205</v>
      </c>
      <c r="I25" s="18" t="n">
        <v>0</v>
      </c>
      <c r="J25" s="20" t="n">
        <v>0</v>
      </c>
      <c r="K25" s="18" t="n">
        <v>0.68947271</v>
      </c>
      <c r="L25" s="20" t="n">
        <v>0.3162923</v>
      </c>
      <c r="M25" s="18" t="n">
        <v>0</v>
      </c>
      <c r="N25" s="20" t="n">
        <v>0</v>
      </c>
      <c r="O25" s="18" t="n">
        <v>0</v>
      </c>
      <c r="P25" s="20" t="n">
        <v>0</v>
      </c>
      <c r="Q25" s="18" t="n">
        <v>1.30953675</v>
      </c>
      <c r="R25" s="20" t="n">
        <v>0.49007966</v>
      </c>
    </row>
    <row r="26" spans="1:18">
      <c r="A26" s="15" t="s">
        <v>448</v>
      </c>
      <c r="B26" s="17" t="n">
        <v>4869</v>
      </c>
      <c r="C26" s="18">
        <f>(4269.0/B26*100)</f>
        <v/>
      </c>
      <c r="D26" s="19" t="n">
        <v>600</v>
      </c>
      <c r="E26" s="18" t="n">
        <v>14.87945345</v>
      </c>
      <c r="F26" s="20" t="n">
        <v>1.49728409</v>
      </c>
      <c r="G26" s="18" t="n">
        <v>84.11302306</v>
      </c>
      <c r="H26" s="20" t="n">
        <v>1.51654403</v>
      </c>
      <c r="I26" s="18" t="n">
        <v>0</v>
      </c>
      <c r="J26" s="20" t="n">
        <v>0</v>
      </c>
      <c r="K26" s="18" t="n">
        <v>0</v>
      </c>
      <c r="L26" s="20" t="n">
        <v>0</v>
      </c>
      <c r="M26" s="18" t="n">
        <v>0.1152882</v>
      </c>
      <c r="N26" s="20" t="n">
        <v>0.11554269</v>
      </c>
      <c r="O26" s="18" t="n">
        <v>0</v>
      </c>
      <c r="P26" s="20" t="n">
        <v>0</v>
      </c>
      <c r="Q26" s="18" t="n">
        <v>0.89223529</v>
      </c>
      <c r="R26" s="20" t="n">
        <v>0.42493154</v>
      </c>
    </row>
    <row r="27" spans="1:18">
      <c r="A27" s="15" t="s">
        <v>449</v>
      </c>
      <c r="B27" s="17" t="n">
        <v>5299</v>
      </c>
      <c r="C27" s="18">
        <f>(4638.0/B27*100)</f>
        <v/>
      </c>
      <c r="D27" s="19" t="n">
        <v>661</v>
      </c>
      <c r="E27" s="18" t="n">
        <v>15.33253842</v>
      </c>
      <c r="F27" s="20" t="n">
        <v>1.37439885</v>
      </c>
      <c r="G27" s="18" t="n">
        <v>82.45757025</v>
      </c>
      <c r="H27" s="20" t="n">
        <v>1.31469225</v>
      </c>
      <c r="I27" s="18" t="n">
        <v>0</v>
      </c>
      <c r="J27" s="20" t="n">
        <v>0</v>
      </c>
      <c r="K27" s="18" t="n">
        <v>0.16544006</v>
      </c>
      <c r="L27" s="20" t="n">
        <v>0.15920171</v>
      </c>
      <c r="M27" s="18" t="n">
        <v>0</v>
      </c>
      <c r="N27" s="20" t="n">
        <v>0</v>
      </c>
      <c r="O27" s="18" t="n">
        <v>0</v>
      </c>
      <c r="P27" s="20" t="n">
        <v>0</v>
      </c>
      <c r="Q27" s="18" t="n">
        <v>2.04445127</v>
      </c>
      <c r="R27" s="20" t="n">
        <v>0.59278285</v>
      </c>
    </row>
    <row r="28" spans="1:18">
      <c r="A28" s="15" t="s">
        <v>450</v>
      </c>
      <c r="B28" s="17" t="n">
        <v>7568</v>
      </c>
      <c r="C28" s="18">
        <f>(6660.0/B28*100)</f>
        <v/>
      </c>
      <c r="D28" s="19" t="n">
        <v>908</v>
      </c>
      <c r="E28" s="18" t="n">
        <v>40.70070347</v>
      </c>
      <c r="F28" s="20" t="n">
        <v>1.95912152</v>
      </c>
      <c r="G28" s="18" t="n">
        <v>57.33926143</v>
      </c>
      <c r="H28" s="20" t="n">
        <v>2.02076663</v>
      </c>
      <c r="I28" s="18" t="n">
        <v>0</v>
      </c>
      <c r="J28" s="20" t="n">
        <v>0</v>
      </c>
      <c r="K28" s="18" t="n">
        <v>0.1178263</v>
      </c>
      <c r="L28" s="20" t="n">
        <v>0.12005155</v>
      </c>
      <c r="M28" s="18" t="n">
        <v>0.09083418</v>
      </c>
      <c r="N28" s="20" t="n">
        <v>0.09048977</v>
      </c>
      <c r="O28" s="18" t="n">
        <v>0</v>
      </c>
      <c r="P28" s="20" t="n">
        <v>0</v>
      </c>
      <c r="Q28" s="18" t="n">
        <v>1.75137462</v>
      </c>
      <c r="R28" s="20" t="n">
        <v>0.38233887</v>
      </c>
    </row>
    <row r="29" spans="1:18">
      <c r="A29" s="15" t="s">
        <v>451</v>
      </c>
      <c r="B29" s="17" t="n">
        <v>5385</v>
      </c>
      <c r="C29" s="18">
        <f>(4629.0/B29*100)</f>
        <v/>
      </c>
      <c r="D29" s="19" t="n">
        <v>756</v>
      </c>
      <c r="E29" s="18" t="n">
        <v>29.68100111</v>
      </c>
      <c r="F29" s="20" t="n">
        <v>1.98534752</v>
      </c>
      <c r="G29" s="18" t="n">
        <v>69.43108331000001</v>
      </c>
      <c r="H29" s="20" t="n">
        <v>2.03409717</v>
      </c>
      <c r="I29" s="18" t="n">
        <v>0</v>
      </c>
      <c r="J29" s="20" t="n">
        <v>0</v>
      </c>
      <c r="K29" s="18" t="n">
        <v>0.16760022</v>
      </c>
      <c r="L29" s="20" t="n">
        <v>0.16601537</v>
      </c>
      <c r="M29" s="18" t="n">
        <v>0</v>
      </c>
      <c r="N29" s="20" t="n">
        <v>0</v>
      </c>
      <c r="O29" s="18" t="n">
        <v>0</v>
      </c>
      <c r="P29" s="20" t="n">
        <v>0</v>
      </c>
      <c r="Q29" s="18" t="n">
        <v>0.72031536</v>
      </c>
      <c r="R29" s="20" t="n">
        <v>0.35503522</v>
      </c>
    </row>
    <row r="30" spans="1:18">
      <c r="A30" s="15" t="s">
        <v>452</v>
      </c>
      <c r="B30" s="17" t="n">
        <v>4520</v>
      </c>
      <c r="C30" s="18">
        <f>(4001.0/B30*100)</f>
        <v/>
      </c>
      <c r="D30" s="19" t="n">
        <v>519</v>
      </c>
      <c r="E30" s="18" t="n">
        <v>9.32628532</v>
      </c>
      <c r="F30" s="20" t="n">
        <v>1.34735939</v>
      </c>
      <c r="G30" s="18" t="n">
        <v>88.96770733</v>
      </c>
      <c r="H30" s="20" t="n">
        <v>1.49667838</v>
      </c>
      <c r="I30" s="18" t="n">
        <v>0</v>
      </c>
      <c r="J30" s="20" t="n">
        <v>0</v>
      </c>
      <c r="K30" s="18" t="n">
        <v>0</v>
      </c>
      <c r="L30" s="20" t="n">
        <v>0</v>
      </c>
      <c r="M30" s="18" t="n">
        <v>0</v>
      </c>
      <c r="N30" s="20" t="n">
        <v>0</v>
      </c>
      <c r="O30" s="18" t="n">
        <v>0</v>
      </c>
      <c r="P30" s="20" t="n">
        <v>0</v>
      </c>
      <c r="Q30" s="18" t="n">
        <v>1.70600734</v>
      </c>
      <c r="R30" s="20" t="n">
        <v>0.56472755</v>
      </c>
    </row>
    <row r="31" spans="1:18">
      <c r="A31" s="15" t="s">
        <v>453</v>
      </c>
      <c r="B31" s="17" t="n">
        <v>5456</v>
      </c>
      <c r="C31" s="18">
        <f>(4798.0/B31*100)</f>
        <v/>
      </c>
      <c r="D31" s="19" t="n">
        <v>658</v>
      </c>
      <c r="E31" s="18" t="n">
        <v>4.83371098</v>
      </c>
      <c r="F31" s="20" t="n">
        <v>0.7302357</v>
      </c>
      <c r="G31" s="18" t="n">
        <v>93.57159126000001</v>
      </c>
      <c r="H31" s="20" t="n">
        <v>0.85996371</v>
      </c>
      <c r="I31" s="18" t="n">
        <v>0</v>
      </c>
      <c r="J31" s="20" t="n">
        <v>0</v>
      </c>
      <c r="K31" s="18" t="n">
        <v>0.14928091</v>
      </c>
      <c r="L31" s="20" t="n">
        <v>0.15484352</v>
      </c>
      <c r="M31" s="18" t="n">
        <v>0</v>
      </c>
      <c r="N31" s="20" t="n">
        <v>0</v>
      </c>
      <c r="O31" s="18" t="n">
        <v>0</v>
      </c>
      <c r="P31" s="20" t="n">
        <v>0</v>
      </c>
      <c r="Q31" s="18" t="n">
        <v>1.44541686</v>
      </c>
      <c r="R31" s="20" t="n">
        <v>0.5054642499999999</v>
      </c>
    </row>
    <row r="32" spans="1:18">
      <c r="A32" s="15" t="s">
        <v>454</v>
      </c>
      <c r="B32" s="17" t="n">
        <v>4478</v>
      </c>
      <c r="C32" s="18">
        <f>(3735.0/B32*100)</f>
        <v/>
      </c>
      <c r="D32" s="19" t="n">
        <v>743</v>
      </c>
      <c r="E32" s="18" t="n">
        <v>18.85963051</v>
      </c>
      <c r="F32" s="20" t="n">
        <v>1.31460436</v>
      </c>
      <c r="G32" s="18" t="n">
        <v>79.41271892</v>
      </c>
      <c r="H32" s="20" t="n">
        <v>1.31456334</v>
      </c>
      <c r="I32" s="18" t="n">
        <v>0</v>
      </c>
      <c r="J32" s="20" t="n">
        <v>0</v>
      </c>
      <c r="K32" s="18" t="n">
        <v>0.12994118</v>
      </c>
      <c r="L32" s="20" t="n">
        <v>0.12231666</v>
      </c>
      <c r="M32" s="18" t="n">
        <v>0.12659805</v>
      </c>
      <c r="N32" s="20" t="n">
        <v>0.12643158</v>
      </c>
      <c r="O32" s="18" t="n">
        <v>0</v>
      </c>
      <c r="P32" s="20" t="n">
        <v>0</v>
      </c>
      <c r="Q32" s="18" t="n">
        <v>1.47111134</v>
      </c>
      <c r="R32" s="20" t="n">
        <v>0.44093648</v>
      </c>
    </row>
    <row r="33" spans="1:18">
      <c r="A33" s="15" t="s">
        <v>455</v>
      </c>
      <c r="B33" s="17" t="n">
        <v>7325</v>
      </c>
      <c r="C33" s="18">
        <f>(6428.0/B33*100)</f>
        <v/>
      </c>
      <c r="D33" s="19" t="n">
        <v>897</v>
      </c>
      <c r="E33" s="18" t="n">
        <v>18.56530738</v>
      </c>
      <c r="F33" s="20" t="n">
        <v>1.42324367</v>
      </c>
      <c r="G33" s="18" t="n">
        <v>80.30212503</v>
      </c>
      <c r="H33" s="20" t="n">
        <v>1.47477218</v>
      </c>
      <c r="I33" s="18" t="n">
        <v>0</v>
      </c>
      <c r="J33" s="20" t="n">
        <v>0</v>
      </c>
      <c r="K33" s="18" t="n">
        <v>0</v>
      </c>
      <c r="L33" s="20" t="n">
        <v>0</v>
      </c>
      <c r="M33" s="18" t="n">
        <v>0</v>
      </c>
      <c r="N33" s="20" t="n">
        <v>0</v>
      </c>
      <c r="O33" s="18" t="n">
        <v>0</v>
      </c>
      <c r="P33" s="20" t="n">
        <v>0</v>
      </c>
      <c r="Q33" s="18" t="n">
        <v>1.13256759</v>
      </c>
      <c r="R33" s="20" t="n">
        <v>0.38454771</v>
      </c>
    </row>
    <row r="34" spans="1:18">
      <c r="A34" s="15" t="s">
        <v>456</v>
      </c>
      <c r="B34" s="17" t="n">
        <v>6350</v>
      </c>
      <c r="C34" s="18">
        <f>(5467.0/B34*100)</f>
        <v/>
      </c>
      <c r="D34" s="19" t="n">
        <v>883</v>
      </c>
      <c r="E34" s="18" t="n">
        <v>32.68962198</v>
      </c>
      <c r="F34" s="20" t="n">
        <v>2.34299329</v>
      </c>
      <c r="G34" s="18" t="n">
        <v>62.29811344</v>
      </c>
      <c r="H34" s="20" t="n">
        <v>2.451923</v>
      </c>
      <c r="I34" s="18" t="n">
        <v>0</v>
      </c>
      <c r="J34" s="20" t="n">
        <v>0</v>
      </c>
      <c r="K34" s="18" t="n">
        <v>0</v>
      </c>
      <c r="L34" s="20" t="n">
        <v>0</v>
      </c>
      <c r="M34" s="18" t="n">
        <v>0.09698727</v>
      </c>
      <c r="N34" s="20" t="n">
        <v>0.09719993</v>
      </c>
      <c r="O34" s="18" t="n">
        <v>0</v>
      </c>
      <c r="P34" s="20" t="n">
        <v>0</v>
      </c>
      <c r="Q34" s="18" t="n">
        <v>4.9152773</v>
      </c>
      <c r="R34" s="20" t="n">
        <v>0.85057779</v>
      </c>
    </row>
    <row r="35" spans="1:18">
      <c r="A35" s="15" t="s">
        <v>457</v>
      </c>
      <c r="B35" s="17" t="n">
        <v>6406</v>
      </c>
      <c r="C35" s="18">
        <f>(5509.0/B35*100)</f>
        <v/>
      </c>
      <c r="D35" s="19" t="n">
        <v>897</v>
      </c>
      <c r="E35" s="18" t="n">
        <v>26.88747135</v>
      </c>
      <c r="F35" s="20" t="n">
        <v>1.79996586</v>
      </c>
      <c r="G35" s="18" t="n">
        <v>70.42899211</v>
      </c>
      <c r="H35" s="20" t="n">
        <v>1.83043021</v>
      </c>
      <c r="I35" s="18" t="n">
        <v>0</v>
      </c>
      <c r="J35" s="20" t="n">
        <v>0</v>
      </c>
      <c r="K35" s="18" t="n">
        <v>0.05162509</v>
      </c>
      <c r="L35" s="20" t="n">
        <v>0.05192373</v>
      </c>
      <c r="M35" s="18" t="n">
        <v>0.21009076</v>
      </c>
      <c r="N35" s="20" t="n">
        <v>0.20926993</v>
      </c>
      <c r="O35" s="18" t="n">
        <v>0</v>
      </c>
      <c r="P35" s="20" t="n">
        <v>0</v>
      </c>
      <c r="Q35" s="18" t="n">
        <v>2.42182069</v>
      </c>
      <c r="R35" s="20" t="n">
        <v>0.4510826</v>
      </c>
    </row>
    <row r="36" spans="1:18">
      <c r="A36" s="15" t="s">
        <v>458</v>
      </c>
      <c r="B36" s="17" t="n">
        <v>6736</v>
      </c>
      <c r="C36" s="18">
        <f>(5908.0/B36*100)</f>
        <v/>
      </c>
      <c r="D36" s="19" t="n">
        <v>828</v>
      </c>
      <c r="E36" s="18" t="n">
        <v>17.15011712</v>
      </c>
      <c r="F36" s="20" t="n">
        <v>1.20262773</v>
      </c>
      <c r="G36" s="18" t="n">
        <v>81.06745205999999</v>
      </c>
      <c r="H36" s="20" t="n">
        <v>1.32808135</v>
      </c>
      <c r="I36" s="18" t="n">
        <v>0</v>
      </c>
      <c r="J36" s="20" t="n">
        <v>0</v>
      </c>
      <c r="K36" s="18" t="n">
        <v>0</v>
      </c>
      <c r="L36" s="20" t="n">
        <v>0</v>
      </c>
      <c r="M36" s="18" t="n">
        <v>0</v>
      </c>
      <c r="N36" s="20" t="n">
        <v>0</v>
      </c>
      <c r="O36" s="18" t="n">
        <v>0</v>
      </c>
      <c r="P36" s="20" t="n">
        <v>0</v>
      </c>
      <c r="Q36" s="18" t="n">
        <v>1.78243082</v>
      </c>
      <c r="R36" s="20" t="n">
        <v>0.46269508</v>
      </c>
    </row>
    <row r="37" spans="1:18">
      <c r="A37" s="15" t="s">
        <v>459</v>
      </c>
      <c r="B37" s="17" t="n">
        <v>5458</v>
      </c>
      <c r="C37" s="18">
        <f>(4773.0/B37*100)</f>
        <v/>
      </c>
      <c r="D37" s="19" t="n">
        <v>685</v>
      </c>
      <c r="E37" s="18" t="n">
        <v>19.71783835</v>
      </c>
      <c r="F37" s="20" t="n">
        <v>1.66413116</v>
      </c>
      <c r="G37" s="18" t="n">
        <v>78.26595594</v>
      </c>
      <c r="H37" s="20" t="n">
        <v>1.71539378</v>
      </c>
      <c r="I37" s="18" t="n">
        <v>0</v>
      </c>
      <c r="J37" s="20" t="n">
        <v>0</v>
      </c>
      <c r="K37" s="18" t="n">
        <v>0.12785713</v>
      </c>
      <c r="L37" s="20" t="n">
        <v>0.18114504</v>
      </c>
      <c r="M37" s="18" t="n">
        <v>0</v>
      </c>
      <c r="N37" s="20" t="n">
        <v>0</v>
      </c>
      <c r="O37" s="18" t="n">
        <v>0</v>
      </c>
      <c r="P37" s="20" t="n">
        <v>0</v>
      </c>
      <c r="Q37" s="18" t="n">
        <v>1.88834859</v>
      </c>
      <c r="R37" s="20" t="n">
        <v>0.53850929</v>
      </c>
    </row>
    <row r="38" spans="1:18">
      <c r="A38" s="15" t="s">
        <v>460</v>
      </c>
      <c r="B38" s="17" t="n">
        <v>5860</v>
      </c>
      <c r="C38" s="18">
        <f>(4864.0/B38*100)</f>
        <v/>
      </c>
      <c r="D38" s="19" t="n">
        <v>996</v>
      </c>
      <c r="E38" s="18" t="n">
        <v>26.14845344</v>
      </c>
      <c r="F38" s="20" t="n">
        <v>1.61765729</v>
      </c>
      <c r="G38" s="18" t="n">
        <v>72.47729335</v>
      </c>
      <c r="H38" s="20" t="n">
        <v>1.66570365</v>
      </c>
      <c r="I38" s="18" t="n">
        <v>0</v>
      </c>
      <c r="J38" s="20" t="n">
        <v>0</v>
      </c>
      <c r="K38" s="18" t="n">
        <v>0.08293663</v>
      </c>
      <c r="L38" s="20" t="n">
        <v>0.08283741</v>
      </c>
      <c r="M38" s="18" t="n">
        <v>0.10821224</v>
      </c>
      <c r="N38" s="20" t="n">
        <v>0.06522790000000001</v>
      </c>
      <c r="O38" s="18" t="n">
        <v>0</v>
      </c>
      <c r="P38" s="20" t="n">
        <v>0</v>
      </c>
      <c r="Q38" s="18" t="n">
        <v>1.18310435</v>
      </c>
      <c r="R38" s="20" t="n">
        <v>0.34215025</v>
      </c>
    </row>
    <row r="39" spans="1:18">
      <c r="A39" s="15" t="s">
        <v>461</v>
      </c>
      <c r="B39" s="17" t="n">
        <v>5895</v>
      </c>
      <c r="C39" s="18">
        <f>(5173.0/B39*100)</f>
        <v/>
      </c>
      <c r="D39" s="19" t="n">
        <v>722</v>
      </c>
      <c r="E39" s="18" t="n">
        <v>19.99150491</v>
      </c>
      <c r="F39" s="20" t="n">
        <v>1.68082758</v>
      </c>
      <c r="G39" s="18" t="n">
        <v>78.08391305000001</v>
      </c>
      <c r="H39" s="20" t="n">
        <v>1.7163988</v>
      </c>
      <c r="I39" s="18" t="n">
        <v>0</v>
      </c>
      <c r="J39" s="20" t="n">
        <v>0</v>
      </c>
      <c r="K39" s="18" t="n">
        <v>0.20089188</v>
      </c>
      <c r="L39" s="20" t="n">
        <v>0.20136022</v>
      </c>
      <c r="M39" s="18" t="n">
        <v>0.06141504</v>
      </c>
      <c r="N39" s="20" t="n">
        <v>0.04394169</v>
      </c>
      <c r="O39" s="18" t="n">
        <v>0</v>
      </c>
      <c r="P39" s="20" t="n">
        <v>0</v>
      </c>
      <c r="Q39" s="18" t="n">
        <v>1.66227513</v>
      </c>
      <c r="R39" s="20" t="n">
        <v>0.5252667600000001</v>
      </c>
    </row>
    <row r="40" spans="1:18">
      <c r="A40" s="15" t="s">
        <v>462</v>
      </c>
      <c r="B40" s="17" t="n">
        <v>14157</v>
      </c>
      <c r="C40" s="18">
        <f>(12432.0/B40*100)</f>
        <v/>
      </c>
      <c r="D40" s="19" t="n">
        <v>1725</v>
      </c>
      <c r="E40" s="18" t="n">
        <v>12.2790372</v>
      </c>
      <c r="F40" s="20" t="n">
        <v>1.24757365</v>
      </c>
      <c r="G40" s="18" t="n">
        <v>85.39434237</v>
      </c>
      <c r="H40" s="20" t="n">
        <v>1.29058811</v>
      </c>
      <c r="I40" s="18" t="n">
        <v>0</v>
      </c>
      <c r="J40" s="20" t="n">
        <v>0</v>
      </c>
      <c r="K40" s="18" t="n">
        <v>0.12072185</v>
      </c>
      <c r="L40" s="20" t="n">
        <v>0.07969917999999999</v>
      </c>
      <c r="M40" s="18" t="n">
        <v>0.27895358</v>
      </c>
      <c r="N40" s="20" t="n">
        <v>0.21928137</v>
      </c>
      <c r="O40" s="18" t="n">
        <v>0</v>
      </c>
      <c r="P40" s="20" t="n">
        <v>0</v>
      </c>
      <c r="Q40" s="18" t="n">
        <v>1.926945</v>
      </c>
      <c r="R40" s="20" t="n">
        <v>0.44303123</v>
      </c>
    </row>
    <row r="41" spans="1:18">
      <c r="A41" s="15" t="s">
        <v>463</v>
      </c>
      <c r="B41" s="17" t="n">
        <v>5712</v>
      </c>
      <c r="C41" s="18">
        <f>(4972.0/B41*100)</f>
        <v/>
      </c>
      <c r="D41" s="19" t="n">
        <v>740</v>
      </c>
      <c r="E41" s="18" t="n">
        <v>18.98366638</v>
      </c>
      <c r="F41" s="20" t="n">
        <v>1.5870938</v>
      </c>
      <c r="G41" s="18" t="n">
        <v>79.9652698</v>
      </c>
      <c r="H41" s="20" t="n">
        <v>1.56762926</v>
      </c>
      <c r="I41" s="18" t="n">
        <v>0</v>
      </c>
      <c r="J41" s="20" t="n">
        <v>0</v>
      </c>
      <c r="K41" s="18" t="n">
        <v>0.21468223</v>
      </c>
      <c r="L41" s="20" t="n">
        <v>0.20869747</v>
      </c>
      <c r="M41" s="18" t="n">
        <v>0</v>
      </c>
      <c r="N41" s="20" t="n">
        <v>0</v>
      </c>
      <c r="O41" s="18" t="n">
        <v>0</v>
      </c>
      <c r="P41" s="20" t="n">
        <v>0</v>
      </c>
      <c r="Q41" s="18" t="n">
        <v>0.8363815999999999</v>
      </c>
      <c r="R41" s="20" t="n">
        <v>0.29513977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(20578.0/B46*100)</f>
        <v/>
      </c>
      <c r="D46" s="19" t="n">
        <v>2563</v>
      </c>
      <c r="E46" s="18" t="n">
        <v>42.42134998</v>
      </c>
      <c r="F46" s="20" t="n">
        <v>1.31765923</v>
      </c>
      <c r="G46" s="18" t="n">
        <v>52.57516144</v>
      </c>
      <c r="H46" s="20" t="n">
        <v>1.38077782</v>
      </c>
      <c r="I46" s="18" t="n">
        <v>0</v>
      </c>
      <c r="J46" s="20" t="n">
        <v>0</v>
      </c>
      <c r="K46" s="18" t="n">
        <v>0.35183722</v>
      </c>
      <c r="L46" s="20" t="n">
        <v>0.08597709000000001</v>
      </c>
      <c r="M46" s="18" t="n">
        <v>0.32497239</v>
      </c>
      <c r="N46" s="20" t="n">
        <v>0.13858521</v>
      </c>
      <c r="O46" s="18" t="n">
        <v>0</v>
      </c>
      <c r="P46" s="20" t="n">
        <v>0</v>
      </c>
      <c r="Q46" s="18" t="n">
        <v>4.32667898</v>
      </c>
      <c r="R46" s="20" t="n">
        <v>0.5140598199999999</v>
      </c>
    </row>
    <row r="47" spans="1:18">
      <c r="A47" s="15" t="s">
        <v>470</v>
      </c>
      <c r="B47" s="17" t="n">
        <v>5928</v>
      </c>
      <c r="C47" s="18">
        <f>(5191.0/B47*100)</f>
        <v/>
      </c>
      <c r="D47" s="19" t="n">
        <v>737</v>
      </c>
      <c r="E47" s="18" t="n">
        <v>24.08647018</v>
      </c>
      <c r="F47" s="20" t="n">
        <v>1.55193796</v>
      </c>
      <c r="G47" s="18" t="n">
        <v>66.72037496999999</v>
      </c>
      <c r="H47" s="20" t="n">
        <v>2.02395156</v>
      </c>
      <c r="I47" s="18" t="n">
        <v>0</v>
      </c>
      <c r="J47" s="20" t="n">
        <v>0</v>
      </c>
      <c r="K47" s="18" t="n">
        <v>0.14050628</v>
      </c>
      <c r="L47" s="20" t="n">
        <v>0.14015944</v>
      </c>
      <c r="M47" s="18" t="n">
        <v>0</v>
      </c>
      <c r="N47" s="20" t="n">
        <v>0</v>
      </c>
      <c r="O47" s="18" t="n">
        <v>0</v>
      </c>
      <c r="P47" s="20" t="n">
        <v>0</v>
      </c>
      <c r="Q47" s="18" t="n">
        <v>9.05264858</v>
      </c>
      <c r="R47" s="20" t="n">
        <v>1.1613249</v>
      </c>
    </row>
    <row r="48" spans="1:18">
      <c r="A48" s="15" t="s">
        <v>471</v>
      </c>
      <c r="B48" s="17" t="n">
        <v>9841</v>
      </c>
      <c r="C48" s="18">
        <f>(8644.0/B48*100)</f>
        <v/>
      </c>
      <c r="D48" s="19" t="n">
        <v>1197</v>
      </c>
      <c r="E48" s="18" t="n">
        <v>32.96199796</v>
      </c>
      <c r="F48" s="20" t="n">
        <v>1.8939415</v>
      </c>
      <c r="G48" s="18" t="n">
        <v>61.17747163</v>
      </c>
      <c r="H48" s="20" t="n">
        <v>2.14124202</v>
      </c>
      <c r="I48" s="18" t="n">
        <v>0</v>
      </c>
      <c r="J48" s="20" t="n">
        <v>0</v>
      </c>
      <c r="K48" s="18" t="n">
        <v>0.8117386599999999</v>
      </c>
      <c r="L48" s="20" t="n">
        <v>0.34589335</v>
      </c>
      <c r="M48" s="18" t="n">
        <v>0</v>
      </c>
      <c r="N48" s="20" t="n">
        <v>0</v>
      </c>
      <c r="O48" s="18" t="n">
        <v>0</v>
      </c>
      <c r="P48" s="20" t="n">
        <v>0</v>
      </c>
      <c r="Q48" s="18" t="n">
        <v>5.04879176</v>
      </c>
      <c r="R48" s="20" t="n">
        <v>0.95207751</v>
      </c>
    </row>
    <row r="49" spans="1:18">
      <c r="A49" s="15" t="s">
        <v>472</v>
      </c>
      <c r="B49" s="17" t="n">
        <v>11795</v>
      </c>
      <c r="C49" s="18">
        <f>(10349.0/B49*100)</f>
        <v/>
      </c>
      <c r="D49" s="19" t="n">
        <v>1446</v>
      </c>
      <c r="E49" s="18" t="n">
        <v>55.35857661</v>
      </c>
      <c r="F49" s="20" t="n">
        <v>1.93611621</v>
      </c>
      <c r="G49" s="18" t="n">
        <v>42.11054271</v>
      </c>
      <c r="H49" s="20" t="n">
        <v>1.92381585</v>
      </c>
      <c r="I49" s="18" t="n">
        <v>0</v>
      </c>
      <c r="J49" s="20" t="n">
        <v>0</v>
      </c>
      <c r="K49" s="18" t="n">
        <v>0.96343628</v>
      </c>
      <c r="L49" s="20" t="n">
        <v>0.33515278</v>
      </c>
      <c r="M49" s="18" t="n">
        <v>0.07520660999999999</v>
      </c>
      <c r="N49" s="20" t="n">
        <v>0.05043127</v>
      </c>
      <c r="O49" s="18" t="n">
        <v>0</v>
      </c>
      <c r="P49" s="20" t="n">
        <v>0</v>
      </c>
      <c r="Q49" s="18" t="n">
        <v>1.49223779</v>
      </c>
      <c r="R49" s="20" t="n">
        <v>0.51489496</v>
      </c>
    </row>
    <row r="50" spans="1:18">
      <c r="A50" s="15" t="s">
        <v>473</v>
      </c>
      <c r="B50" s="17" t="n">
        <v>6866</v>
      </c>
      <c r="C50" s="18">
        <f>(5411.0/B50*100)</f>
        <v/>
      </c>
      <c r="D50" s="19" t="n">
        <v>1455</v>
      </c>
      <c r="E50" s="18" t="n">
        <v>29.94448912</v>
      </c>
      <c r="F50" s="20" t="n">
        <v>1.51874468</v>
      </c>
      <c r="G50" s="18" t="n">
        <v>68.03077345</v>
      </c>
      <c r="H50" s="20" t="n">
        <v>1.55605732</v>
      </c>
      <c r="I50" s="18" t="n">
        <v>0</v>
      </c>
      <c r="J50" s="20" t="n">
        <v>0</v>
      </c>
      <c r="K50" s="18" t="n">
        <v>0.15685217</v>
      </c>
      <c r="L50" s="20" t="n">
        <v>0.11425548</v>
      </c>
      <c r="M50" s="18" t="n">
        <v>0</v>
      </c>
      <c r="N50" s="20" t="n">
        <v>0</v>
      </c>
      <c r="O50" s="18" t="n">
        <v>0</v>
      </c>
      <c r="P50" s="20" t="n">
        <v>0</v>
      </c>
      <c r="Q50" s="18" t="n">
        <v>1.86788526</v>
      </c>
      <c r="R50" s="20" t="n">
        <v>0.34153498</v>
      </c>
    </row>
    <row r="51" spans="1:18">
      <c r="A51" s="15" t="s">
        <v>474</v>
      </c>
      <c r="B51" s="17" t="n">
        <v>5809</v>
      </c>
      <c r="C51" s="18">
        <f>(5103.0/B51*100)</f>
        <v/>
      </c>
      <c r="D51" s="19" t="n">
        <v>706</v>
      </c>
      <c r="E51" s="18" t="n">
        <v>16.57480764</v>
      </c>
      <c r="F51" s="20" t="n">
        <v>1.41497957</v>
      </c>
      <c r="G51" s="18" t="n">
        <v>80.97947988</v>
      </c>
      <c r="H51" s="20" t="n">
        <v>1.39423911</v>
      </c>
      <c r="I51" s="18" t="n">
        <v>0</v>
      </c>
      <c r="J51" s="20" t="n">
        <v>0</v>
      </c>
      <c r="K51" s="18" t="n">
        <v>0.17799156</v>
      </c>
      <c r="L51" s="20" t="n">
        <v>0.17944848</v>
      </c>
      <c r="M51" s="18" t="n">
        <v>0</v>
      </c>
      <c r="N51" s="20" t="n">
        <v>0</v>
      </c>
      <c r="O51" s="18" t="n">
        <v>0</v>
      </c>
      <c r="P51" s="20" t="n">
        <v>0</v>
      </c>
      <c r="Q51" s="18" t="n">
        <v>2.26772092</v>
      </c>
      <c r="R51" s="20" t="n">
        <v>0.35455023</v>
      </c>
    </row>
    <row r="52" spans="1:18">
      <c r="A52" s="15" t="s">
        <v>475</v>
      </c>
      <c r="B52" s="17" t="n">
        <v>5571</v>
      </c>
      <c r="C52" s="18">
        <f>(4905.0/B52*100)</f>
        <v/>
      </c>
      <c r="D52" s="19" t="n">
        <v>666</v>
      </c>
      <c r="E52" s="18" t="n">
        <v>26.19114881</v>
      </c>
      <c r="F52" s="20" t="n">
        <v>1.78709571</v>
      </c>
      <c r="G52" s="18" t="n">
        <v>68.99279991</v>
      </c>
      <c r="H52" s="20" t="n">
        <v>1.7713649</v>
      </c>
      <c r="I52" s="18" t="n">
        <v>0</v>
      </c>
      <c r="J52" s="20" t="n">
        <v>0</v>
      </c>
      <c r="K52" s="18" t="n">
        <v>0</v>
      </c>
      <c r="L52" s="20" t="n">
        <v>0</v>
      </c>
      <c r="M52" s="18" t="n">
        <v>0</v>
      </c>
      <c r="N52" s="20" t="n">
        <v>0</v>
      </c>
      <c r="O52" s="18" t="n">
        <v>0</v>
      </c>
      <c r="P52" s="20" t="n">
        <v>0</v>
      </c>
      <c r="Q52" s="18" t="n">
        <v>4.81605128</v>
      </c>
      <c r="R52" s="20" t="n">
        <v>0.83022624</v>
      </c>
    </row>
    <row r="53" spans="1:18">
      <c r="A53" s="15" t="s">
        <v>476</v>
      </c>
      <c r="B53" s="17" t="n">
        <v>4740</v>
      </c>
      <c r="C53" s="18">
        <f>(3969.0/B53*100)</f>
        <v/>
      </c>
      <c r="D53" s="19" t="n">
        <v>771</v>
      </c>
      <c r="E53" s="18" t="n">
        <v>37.81831978</v>
      </c>
      <c r="F53" s="20" t="n">
        <v>1.9324364</v>
      </c>
      <c r="G53" s="18" t="n">
        <v>48.94732727</v>
      </c>
      <c r="H53" s="20" t="n">
        <v>1.6097514</v>
      </c>
      <c r="I53" s="18" t="n">
        <v>0</v>
      </c>
      <c r="J53" s="20" t="n">
        <v>0</v>
      </c>
      <c r="K53" s="18" t="n">
        <v>6.67104729</v>
      </c>
      <c r="L53" s="20" t="n">
        <v>0.92399236</v>
      </c>
      <c r="M53" s="18" t="n">
        <v>0.94538251</v>
      </c>
      <c r="N53" s="20" t="n">
        <v>0.7961486800000001</v>
      </c>
      <c r="O53" s="18" t="n">
        <v>0</v>
      </c>
      <c r="P53" s="20" t="n">
        <v>0</v>
      </c>
      <c r="Q53" s="18" t="n">
        <v>5.61792314</v>
      </c>
      <c r="R53" s="20" t="n">
        <v>1.00498191</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(4701.0/B55*100)</f>
        <v/>
      </c>
      <c r="D55" s="19" t="n">
        <v>658</v>
      </c>
      <c r="E55" s="18" t="n">
        <v>23.48124765</v>
      </c>
      <c r="F55" s="20" t="n">
        <v>1.90168954</v>
      </c>
      <c r="G55" s="18" t="n">
        <v>74.61881303</v>
      </c>
      <c r="H55" s="20" t="n">
        <v>1.94284535</v>
      </c>
      <c r="I55" s="18" t="n">
        <v>0</v>
      </c>
      <c r="J55" s="20" t="n">
        <v>0</v>
      </c>
      <c r="K55" s="18" t="n">
        <v>0.19430145</v>
      </c>
      <c r="L55" s="20" t="n">
        <v>0.16479863</v>
      </c>
      <c r="M55" s="18" t="n">
        <v>0</v>
      </c>
      <c r="N55" s="20" t="n">
        <v>0</v>
      </c>
      <c r="O55" s="18" t="n">
        <v>0</v>
      </c>
      <c r="P55" s="20" t="n">
        <v>0</v>
      </c>
      <c r="Q55" s="18" t="n">
        <v>1.70563786</v>
      </c>
      <c r="R55" s="20" t="n">
        <v>0.5042375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(5731.0/B61*100)</f>
        <v/>
      </c>
      <c r="D61" s="19" t="n">
        <v>794</v>
      </c>
      <c r="E61" s="18" t="n">
        <v>29.33705401</v>
      </c>
      <c r="F61" s="20" t="n">
        <v>1.82458363</v>
      </c>
      <c r="G61" s="18" t="n">
        <v>68.01616165999999</v>
      </c>
      <c r="H61" s="20" t="n">
        <v>1.90399611</v>
      </c>
      <c r="I61" s="18" t="n">
        <v>0</v>
      </c>
      <c r="J61" s="20" t="n">
        <v>0</v>
      </c>
      <c r="K61" s="18" t="n">
        <v>0</v>
      </c>
      <c r="L61" s="20" t="n">
        <v>0</v>
      </c>
      <c r="M61" s="18" t="n">
        <v>0</v>
      </c>
      <c r="N61" s="20" t="n">
        <v>0</v>
      </c>
      <c r="O61" s="18" t="n">
        <v>0</v>
      </c>
      <c r="P61" s="20" t="n">
        <v>0</v>
      </c>
      <c r="Q61" s="18" t="n">
        <v>2.64678433</v>
      </c>
      <c r="R61" s="20" t="n">
        <v>0.55250414</v>
      </c>
    </row>
    <row r="62" spans="1:18">
      <c r="A62" s="15" t="s">
        <v>486</v>
      </c>
      <c r="B62" s="17" t="n">
        <v>4476</v>
      </c>
      <c r="C62" s="18">
        <f>(3918.0/B62*100)</f>
        <v/>
      </c>
      <c r="D62" s="19" t="n">
        <v>558</v>
      </c>
      <c r="E62" s="18" t="n">
        <v>37.02388592</v>
      </c>
      <c r="F62" s="20" t="n">
        <v>2.01940468</v>
      </c>
      <c r="G62" s="18" t="n">
        <v>61.17959505</v>
      </c>
      <c r="H62" s="20" t="n">
        <v>1.94205441</v>
      </c>
      <c r="I62" s="18" t="n">
        <v>0</v>
      </c>
      <c r="J62" s="20" t="n">
        <v>0</v>
      </c>
      <c r="K62" s="18" t="n">
        <v>0</v>
      </c>
      <c r="L62" s="20" t="n">
        <v>0</v>
      </c>
      <c r="M62" s="18" t="n">
        <v>0.17979583</v>
      </c>
      <c r="N62" s="20" t="n">
        <v>0.1800384</v>
      </c>
      <c r="O62" s="18" t="n">
        <v>0</v>
      </c>
      <c r="P62" s="20" t="n">
        <v>0</v>
      </c>
      <c r="Q62" s="18" t="n">
        <v>1.6167232</v>
      </c>
      <c r="R62" s="20" t="n">
        <v>0.53041501</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(4969.0/B67*100)</f>
        <v/>
      </c>
      <c r="D67" s="19" t="n">
        <v>696</v>
      </c>
      <c r="E67" s="18" t="n">
        <v>9.56640494</v>
      </c>
      <c r="F67" s="20" t="n">
        <v>1.09662197</v>
      </c>
      <c r="G67" s="18" t="n">
        <v>33.0460607</v>
      </c>
      <c r="H67" s="20" t="n">
        <v>1.84691658</v>
      </c>
      <c r="I67" s="18" t="n">
        <v>0</v>
      </c>
      <c r="J67" s="20" t="n">
        <v>0</v>
      </c>
      <c r="K67" s="18" t="n">
        <v>0.11938752</v>
      </c>
      <c r="L67" s="20" t="n">
        <v>0.11979002</v>
      </c>
      <c r="M67" s="18" t="n">
        <v>55.71451049</v>
      </c>
      <c r="N67" s="20" t="n">
        <v>2.07330085</v>
      </c>
      <c r="O67" s="18" t="n">
        <v>0</v>
      </c>
      <c r="P67" s="20" t="n">
        <v>0</v>
      </c>
      <c r="Q67" s="18" t="n">
        <v>1.55363635</v>
      </c>
      <c r="R67" s="20" t="n">
        <v>0.48863189</v>
      </c>
    </row>
    <row r="68" spans="1:18">
      <c r="A68" s="15" t="s">
        <v>492</v>
      </c>
      <c r="B68" s="17" t="n">
        <v>6971</v>
      </c>
      <c r="C68" s="18">
        <f>(6158.0/B68*100)</f>
        <v/>
      </c>
      <c r="D68" s="19" t="n">
        <v>813</v>
      </c>
      <c r="E68" s="18" t="n">
        <v>49.74874864</v>
      </c>
      <c r="F68" s="20" t="n">
        <v>1.85926445</v>
      </c>
      <c r="G68" s="18" t="n">
        <v>47.47009203</v>
      </c>
      <c r="H68" s="20" t="n">
        <v>1.87489548</v>
      </c>
      <c r="I68" s="18" t="n">
        <v>0</v>
      </c>
      <c r="J68" s="20" t="n">
        <v>0</v>
      </c>
      <c r="K68" s="18" t="n">
        <v>0.12701066</v>
      </c>
      <c r="L68" s="20" t="n">
        <v>0.12690476</v>
      </c>
      <c r="M68" s="18" t="n">
        <v>0.13343993</v>
      </c>
      <c r="N68" s="20" t="n">
        <v>0.13342946</v>
      </c>
      <c r="O68" s="18" t="n">
        <v>0</v>
      </c>
      <c r="P68" s="20" t="n">
        <v>0</v>
      </c>
      <c r="Q68" s="18" t="n">
        <v>2.52070873</v>
      </c>
      <c r="R68" s="20" t="n">
        <v>0.6808898799999999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(10074.0/B70*100)</f>
        <v/>
      </c>
      <c r="D70" s="19" t="n">
        <v>2009</v>
      </c>
      <c r="E70" s="18" t="n">
        <v>23.73017966</v>
      </c>
      <c r="F70" s="20" t="n">
        <v>0.99308819</v>
      </c>
      <c r="G70" s="18" t="n">
        <v>69.76542105</v>
      </c>
      <c r="H70" s="20" t="n">
        <v>0.96685351</v>
      </c>
      <c r="I70" s="18" t="n">
        <v>0</v>
      </c>
      <c r="J70" s="20" t="n">
        <v>0</v>
      </c>
      <c r="K70" s="18" t="n">
        <v>0.95564278</v>
      </c>
      <c r="L70" s="20" t="n">
        <v>0.22887402</v>
      </c>
      <c r="M70" s="18" t="n">
        <v>0.04900006</v>
      </c>
      <c r="N70" s="20" t="n">
        <v>0.04900885</v>
      </c>
      <c r="O70" s="18" t="n">
        <v>0</v>
      </c>
      <c r="P70" s="20" t="n">
        <v>0</v>
      </c>
      <c r="Q70" s="18" t="n">
        <v>5.49975645</v>
      </c>
      <c r="R70" s="20" t="n">
        <v>0.53538094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(5310.0/B72*100)</f>
        <v/>
      </c>
      <c r="D72" s="19" t="n">
        <v>726</v>
      </c>
      <c r="E72" s="18" t="n">
        <v>30.28645138</v>
      </c>
      <c r="F72" s="20" t="n">
        <v>2.48202791</v>
      </c>
      <c r="G72" s="18" t="n">
        <v>68.17895172</v>
      </c>
      <c r="H72" s="20" t="n">
        <v>2.58374008</v>
      </c>
      <c r="I72" s="18" t="n">
        <v>0</v>
      </c>
      <c r="J72" s="20" t="n">
        <v>0</v>
      </c>
      <c r="K72" s="18" t="n">
        <v>0.10815933</v>
      </c>
      <c r="L72" s="20" t="n">
        <v>0.10834396</v>
      </c>
      <c r="M72" s="18" t="n">
        <v>0</v>
      </c>
      <c r="N72" s="20" t="n">
        <v>0</v>
      </c>
      <c r="O72" s="18" t="n">
        <v>0</v>
      </c>
      <c r="P72" s="20" t="n">
        <v>0</v>
      </c>
      <c r="Q72" s="18" t="n">
        <v>1.42643757</v>
      </c>
      <c r="R72" s="20" t="n">
        <v>0.49554927</v>
      </c>
    </row>
    <row r="73" spans="1:18">
      <c r="A73" s="15" t="s">
        <v>497</v>
      </c>
      <c r="B73" s="17" t="n">
        <v>6115</v>
      </c>
      <c r="C73" s="18">
        <f>(5359.0/B73*100)</f>
        <v/>
      </c>
      <c r="D73" s="19" t="n">
        <v>756</v>
      </c>
      <c r="E73" s="18" t="n">
        <v>13.53115046</v>
      </c>
      <c r="F73" s="20" t="n">
        <v>1.17887765</v>
      </c>
      <c r="G73" s="18" t="n">
        <v>85.29173654</v>
      </c>
      <c r="H73" s="20" t="n">
        <v>1.25385704</v>
      </c>
      <c r="I73" s="18" t="n">
        <v>0</v>
      </c>
      <c r="J73" s="20" t="n">
        <v>0</v>
      </c>
      <c r="K73" s="18" t="n">
        <v>0.2596221</v>
      </c>
      <c r="L73" s="20" t="n">
        <v>0.18378258</v>
      </c>
      <c r="M73" s="18" t="n">
        <v>0</v>
      </c>
      <c r="N73" s="20" t="n">
        <v>0</v>
      </c>
      <c r="O73" s="18" t="n">
        <v>0</v>
      </c>
      <c r="P73" s="20" t="n">
        <v>0</v>
      </c>
      <c r="Q73" s="18" t="n">
        <v>0.9174909</v>
      </c>
      <c r="R73" s="20" t="n">
        <v>0.32985655</v>
      </c>
    </row>
    <row r="74" spans="1:18">
      <c r="A74" s="15" t="s">
        <v>498</v>
      </c>
      <c r="B74" s="17" t="n">
        <v>7708</v>
      </c>
      <c r="C74" s="18">
        <f>(6759.0/B74*100)</f>
        <v/>
      </c>
      <c r="D74" s="19" t="n">
        <v>949</v>
      </c>
      <c r="E74" s="18" t="n">
        <v>20.13208154</v>
      </c>
      <c r="F74" s="20" t="n">
        <v>1.25466249</v>
      </c>
      <c r="G74" s="18" t="n">
        <v>78.16559083</v>
      </c>
      <c r="H74" s="20" t="n">
        <v>1.25871754</v>
      </c>
      <c r="I74" s="18" t="n">
        <v>0</v>
      </c>
      <c r="J74" s="20" t="n">
        <v>0</v>
      </c>
      <c r="K74" s="18" t="n">
        <v>0.05613344</v>
      </c>
      <c r="L74" s="20" t="n">
        <v>0.04016231</v>
      </c>
      <c r="M74" s="18" t="n">
        <v>0</v>
      </c>
      <c r="N74" s="20" t="n">
        <v>0</v>
      </c>
      <c r="O74" s="18" t="n">
        <v>0</v>
      </c>
      <c r="P74" s="20" t="n">
        <v>0</v>
      </c>
      <c r="Q74" s="18" t="n">
        <v>1.6461942</v>
      </c>
      <c r="R74" s="20" t="n">
        <v>0.34198051</v>
      </c>
    </row>
    <row r="75" spans="1:18">
      <c r="A75" s="15" t="s">
        <v>499</v>
      </c>
      <c r="B75" s="17" t="n">
        <v>8249</v>
      </c>
      <c r="C75" s="18">
        <f>(7261.0/B75*100)</f>
        <v/>
      </c>
      <c r="D75" s="19" t="n">
        <v>988</v>
      </c>
      <c r="E75" s="18" t="n">
        <v>48.94051579</v>
      </c>
      <c r="F75" s="20" t="n">
        <v>2.42724009</v>
      </c>
      <c r="G75" s="18" t="n">
        <v>49.85425428</v>
      </c>
      <c r="H75" s="20" t="n">
        <v>2.43586798</v>
      </c>
      <c r="I75" s="18" t="n">
        <v>0</v>
      </c>
      <c r="J75" s="20" t="n">
        <v>0</v>
      </c>
      <c r="K75" s="18" t="n">
        <v>0</v>
      </c>
      <c r="L75" s="20" t="n">
        <v>0</v>
      </c>
      <c r="M75" s="18" t="n">
        <v>0.27050598</v>
      </c>
      <c r="N75" s="20" t="n">
        <v>0.24428294</v>
      </c>
      <c r="O75" s="18" t="n">
        <v>0</v>
      </c>
      <c r="P75" s="20" t="n">
        <v>0</v>
      </c>
      <c r="Q75" s="18" t="n">
        <v>0.93472395</v>
      </c>
      <c r="R75" s="20" t="n">
        <v>0.38474263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(4753.0/B77*100)</f>
        <v/>
      </c>
      <c r="D77" s="19" t="n">
        <v>622</v>
      </c>
      <c r="E77" s="18" t="n">
        <v>49.43258579</v>
      </c>
      <c r="F77" s="20" t="n">
        <v>1.95193809</v>
      </c>
      <c r="G77" s="18" t="n">
        <v>38.07136442</v>
      </c>
      <c r="H77" s="20" t="n">
        <v>2.04771241</v>
      </c>
      <c r="I77" s="18" t="n">
        <v>0</v>
      </c>
      <c r="J77" s="20" t="n">
        <v>0</v>
      </c>
      <c r="K77" s="18" t="n">
        <v>1.25341633</v>
      </c>
      <c r="L77" s="20" t="n">
        <v>0.41756183</v>
      </c>
      <c r="M77" s="18" t="n">
        <v>0.67680986</v>
      </c>
      <c r="N77" s="20" t="n">
        <v>0.41330884</v>
      </c>
      <c r="O77" s="18" t="n">
        <v>0</v>
      </c>
      <c r="P77" s="20" t="n">
        <v>0</v>
      </c>
      <c r="Q77" s="18" t="n">
        <v>10.5658236</v>
      </c>
      <c r="R77" s="20" t="n">
        <v>1.39621439</v>
      </c>
    </row>
    <row r="78" spans="1:18">
      <c r="A78" s="15" t="s">
        <v>502</v>
      </c>
      <c r="B78" s="17" t="n">
        <v>14167</v>
      </c>
      <c r="C78" s="18">
        <f>(12405.0/B78*100)</f>
        <v/>
      </c>
      <c r="D78" s="19" t="n">
        <v>1762</v>
      </c>
      <c r="E78" s="18" t="n">
        <v>20.84288732</v>
      </c>
      <c r="F78" s="20" t="n">
        <v>1.13890395</v>
      </c>
      <c r="G78" s="18" t="n">
        <v>75.93094209</v>
      </c>
      <c r="H78" s="20" t="n">
        <v>1.24631047</v>
      </c>
      <c r="I78" s="18" t="n">
        <v>0</v>
      </c>
      <c r="J78" s="20" t="n">
        <v>0</v>
      </c>
      <c r="K78" s="18" t="n">
        <v>0.54669749</v>
      </c>
      <c r="L78" s="20" t="n">
        <v>0.20973693</v>
      </c>
      <c r="M78" s="18" t="n">
        <v>0.12454023</v>
      </c>
      <c r="N78" s="20" t="n">
        <v>0.08964663</v>
      </c>
      <c r="O78" s="18" t="n">
        <v>0</v>
      </c>
      <c r="P78" s="20" t="n">
        <v>0</v>
      </c>
      <c r="Q78" s="18" t="n">
        <v>2.55493287</v>
      </c>
      <c r="R78" s="20" t="n">
        <v>0.49482101</v>
      </c>
    </row>
    <row r="79" spans="1:18">
      <c r="A79" s="15" t="s">
        <v>503</v>
      </c>
      <c r="B79" s="17" t="n">
        <v>6062</v>
      </c>
      <c r="C79" s="18">
        <f>(5336.0/B79*100)</f>
        <v/>
      </c>
      <c r="D79" s="19" t="n">
        <v>726</v>
      </c>
      <c r="E79" s="18" t="n">
        <v>22.53775337</v>
      </c>
      <c r="F79" s="20" t="n">
        <v>1.86943999</v>
      </c>
      <c r="G79" s="18" t="n">
        <v>72.78180521</v>
      </c>
      <c r="H79" s="20" t="n">
        <v>1.82053816</v>
      </c>
      <c r="I79" s="18" t="n">
        <v>0</v>
      </c>
      <c r="J79" s="20" t="n">
        <v>0</v>
      </c>
      <c r="K79" s="18" t="n">
        <v>0.35164815</v>
      </c>
      <c r="L79" s="20" t="n">
        <v>0.25868635</v>
      </c>
      <c r="M79" s="18" t="n">
        <v>0.26637944</v>
      </c>
      <c r="N79" s="20" t="n">
        <v>0.17105422</v>
      </c>
      <c r="O79" s="18" t="n">
        <v>0</v>
      </c>
      <c r="P79" s="20" t="n">
        <v>0</v>
      </c>
      <c r="Q79" s="18" t="n">
        <v>4.06241382</v>
      </c>
      <c r="R79" s="20" t="n">
        <v>0.75031683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(28376.0/B82*100)</f>
        <v/>
      </c>
      <c r="D82" s="19" t="n">
        <v>3954</v>
      </c>
      <c r="E82" s="18" t="n">
        <v>18.45110662</v>
      </c>
      <c r="F82" s="20" t="n">
        <v>0.84299754</v>
      </c>
      <c r="G82" s="18" t="n">
        <v>79.85210241</v>
      </c>
      <c r="H82" s="20" t="n">
        <v>0.88659256</v>
      </c>
      <c r="I82" s="18" t="n">
        <v>0</v>
      </c>
      <c r="J82" s="20" t="n">
        <v>0</v>
      </c>
      <c r="K82" s="18" t="n">
        <v>0.09314063</v>
      </c>
      <c r="L82" s="20" t="n">
        <v>0.05861808</v>
      </c>
      <c r="M82" s="18" t="n">
        <v>0</v>
      </c>
      <c r="N82" s="20" t="n">
        <v>0</v>
      </c>
      <c r="O82" s="18" t="n">
        <v>0</v>
      </c>
      <c r="P82" s="20" t="n">
        <v>0</v>
      </c>
      <c r="Q82" s="18" t="n">
        <v>1.60365033</v>
      </c>
      <c r="R82" s="20" t="n">
        <v>0.32544815</v>
      </c>
    </row>
    <row r="83" spans="1:18">
      <c r="A83" s="15" t="s">
        <v>507</v>
      </c>
      <c r="B83" s="17" t="n">
        <v>1652</v>
      </c>
      <c r="C83" s="18">
        <f>(1427.0/B83*100)</f>
        <v/>
      </c>
      <c r="D83" s="19" t="n">
        <v>225</v>
      </c>
      <c r="E83" s="18" t="n">
        <v>16.29693168</v>
      </c>
      <c r="F83" s="20" t="n">
        <v>2.98561215</v>
      </c>
      <c r="G83" s="18" t="n">
        <v>83.42667029</v>
      </c>
      <c r="H83" s="20" t="n">
        <v>3.02264955</v>
      </c>
      <c r="I83" s="18" t="n">
        <v>0</v>
      </c>
      <c r="J83" s="20" t="n">
        <v>0</v>
      </c>
      <c r="K83" s="18" t="n">
        <v>0</v>
      </c>
      <c r="L83" s="20" t="n">
        <v>0</v>
      </c>
      <c r="M83" s="18" t="n">
        <v>0</v>
      </c>
      <c r="N83" s="20" t="n">
        <v>0</v>
      </c>
      <c r="O83" s="18" t="n">
        <v>0</v>
      </c>
      <c r="P83" s="20" t="n">
        <v>0</v>
      </c>
      <c r="Q83" s="18" t="n">
        <v>0.27639803</v>
      </c>
      <c r="R83" s="20" t="n">
        <v>0.29008635</v>
      </c>
    </row>
    <row r="84" spans="1:18">
      <c r="A84" s="23" t="s">
        <v>508</v>
      </c>
      <c r="B84" s="24" t="n">
        <v>1887</v>
      </c>
      <c r="C84" s="25">
        <f>(1611.0/B84*100)</f>
        <v/>
      </c>
      <c r="D84" s="19" t="n">
        <v>276</v>
      </c>
      <c r="E84" s="18" t="n">
        <v>21.36086955</v>
      </c>
      <c r="F84" s="20" t="n">
        <v>2.76925104</v>
      </c>
      <c r="G84" s="18" t="n">
        <v>77.08563418</v>
      </c>
      <c r="H84" s="20" t="n">
        <v>2.73838112</v>
      </c>
      <c r="I84" s="18" t="n">
        <v>0</v>
      </c>
      <c r="J84" s="20" t="n">
        <v>0</v>
      </c>
      <c r="K84" s="18" t="n">
        <v>0</v>
      </c>
      <c r="L84" s="20" t="n">
        <v>0</v>
      </c>
      <c r="M84" s="18" t="n">
        <v>0</v>
      </c>
      <c r="N84" s="20" t="n">
        <v>0</v>
      </c>
      <c r="O84" s="18" t="n">
        <v>0</v>
      </c>
      <c r="P84" s="20" t="n">
        <v>0</v>
      </c>
      <c r="Q84" s="18" t="n">
        <v>1.55349627</v>
      </c>
      <c r="R84" s="20" t="n">
        <v>0.7492349699999999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(12762.0/B7*100)</f>
        <v/>
      </c>
      <c r="D7" s="19" t="n">
        <v>1768</v>
      </c>
      <c r="E7" s="18" t="n">
        <v>13.21796747</v>
      </c>
      <c r="F7" s="20" t="n">
        <v>0.8207977400000001</v>
      </c>
      <c r="G7" s="18" t="n">
        <v>77.32851411999999</v>
      </c>
      <c r="H7" s="20" t="n">
        <v>1.02700664</v>
      </c>
      <c r="I7" s="18" t="n">
        <v>0</v>
      </c>
      <c r="J7" s="20" t="n">
        <v>0</v>
      </c>
      <c r="K7" s="18" t="n">
        <v>0.1817857</v>
      </c>
      <c r="L7" s="20" t="n">
        <v>0.1035286</v>
      </c>
      <c r="M7" s="18" t="n">
        <v>6.38223996</v>
      </c>
      <c r="N7" s="20" t="n">
        <v>0.76520288</v>
      </c>
      <c r="O7" s="18" t="n">
        <v>0</v>
      </c>
      <c r="P7" s="20" t="n">
        <v>0</v>
      </c>
      <c r="Q7" s="18" t="n">
        <v>2.88949275</v>
      </c>
      <c r="R7" s="20" t="n">
        <v>0.46032047</v>
      </c>
    </row>
    <row r="8" spans="1:18">
      <c r="A8" s="15" t="s">
        <v>430</v>
      </c>
      <c r="B8" s="17" t="n">
        <v>7007</v>
      </c>
      <c r="C8" s="18">
        <f>(6087.0/B8*100)</f>
        <v/>
      </c>
      <c r="D8" s="19" t="n">
        <v>920</v>
      </c>
      <c r="E8" s="18" t="n">
        <v>18.68907791</v>
      </c>
      <c r="F8" s="20" t="n">
        <v>1.58640891</v>
      </c>
      <c r="G8" s="18" t="n">
        <v>76.76803821</v>
      </c>
      <c r="H8" s="20" t="n">
        <v>1.70585292</v>
      </c>
      <c r="I8" s="18" t="n">
        <v>0</v>
      </c>
      <c r="J8" s="20" t="n">
        <v>0</v>
      </c>
      <c r="K8" s="18" t="n">
        <v>0</v>
      </c>
      <c r="L8" s="20" t="n">
        <v>0</v>
      </c>
      <c r="M8" s="18" t="n">
        <v>0</v>
      </c>
      <c r="N8" s="20" t="n">
        <v>0</v>
      </c>
      <c r="O8" s="18" t="n">
        <v>0</v>
      </c>
      <c r="P8" s="20" t="n">
        <v>0</v>
      </c>
      <c r="Q8" s="18" t="n">
        <v>4.54288388</v>
      </c>
      <c r="R8" s="20" t="n">
        <v>0.863348</v>
      </c>
    </row>
    <row r="9" spans="1:18">
      <c r="A9" s="15" t="s">
        <v>431</v>
      </c>
      <c r="B9" s="17" t="n">
        <v>9651</v>
      </c>
      <c r="C9" s="18">
        <f>(8257.0/B9*100)</f>
        <v/>
      </c>
      <c r="D9" s="19" t="n">
        <v>1394</v>
      </c>
      <c r="E9" s="18" t="n">
        <v>22.41201697</v>
      </c>
      <c r="F9" s="20" t="n">
        <v>1.42324184</v>
      </c>
      <c r="G9" s="18" t="n">
        <v>72.74894449</v>
      </c>
      <c r="H9" s="20" t="n">
        <v>1.91143449</v>
      </c>
      <c r="I9" s="18" t="n">
        <v>0</v>
      </c>
      <c r="J9" s="20" t="n">
        <v>0</v>
      </c>
      <c r="K9" s="18" t="n">
        <v>0.13659396</v>
      </c>
      <c r="L9" s="20" t="n">
        <v>0.07044642</v>
      </c>
      <c r="M9" s="18" t="n">
        <v>0.21138445</v>
      </c>
      <c r="N9" s="20" t="n">
        <v>0.07154006</v>
      </c>
      <c r="O9" s="18" t="n">
        <v>0</v>
      </c>
      <c r="P9" s="20" t="n">
        <v>0</v>
      </c>
      <c r="Q9" s="18" t="n">
        <v>4.49106014</v>
      </c>
      <c r="R9" s="20" t="n">
        <v>0.85288477</v>
      </c>
    </row>
    <row r="10" spans="1:18">
      <c r="A10" s="15" t="s">
        <v>432</v>
      </c>
      <c r="B10" s="17" t="n">
        <v>20058</v>
      </c>
      <c r="C10" s="18">
        <f>(17566.0/B10*100)</f>
        <v/>
      </c>
      <c r="D10" s="19" t="n">
        <v>2492</v>
      </c>
      <c r="E10" s="18" t="n">
        <v>15.08576838</v>
      </c>
      <c r="F10" s="20" t="n">
        <v>1.07612171</v>
      </c>
      <c r="G10" s="18" t="n">
        <v>71.43831987</v>
      </c>
      <c r="H10" s="20" t="n">
        <v>1.52890505</v>
      </c>
      <c r="I10" s="18" t="n">
        <v>0</v>
      </c>
      <c r="J10" s="20" t="n">
        <v>0</v>
      </c>
      <c r="K10" s="18" t="n">
        <v>0.22956336</v>
      </c>
      <c r="L10" s="20" t="n">
        <v>0.15854537</v>
      </c>
      <c r="M10" s="18" t="n">
        <v>12.13693687</v>
      </c>
      <c r="N10" s="20" t="n">
        <v>1.2353243</v>
      </c>
      <c r="O10" s="18" t="n">
        <v>0</v>
      </c>
      <c r="P10" s="20" t="n">
        <v>0</v>
      </c>
      <c r="Q10" s="18" t="n">
        <v>1.10941153</v>
      </c>
      <c r="R10" s="20" t="n">
        <v>0.2861133</v>
      </c>
    </row>
    <row r="11" spans="1:18">
      <c r="A11" s="15" t="s">
        <v>433</v>
      </c>
      <c r="B11" s="17" t="n">
        <v>7053</v>
      </c>
      <c r="C11" s="18">
        <f>(6204.0/B11*100)</f>
        <v/>
      </c>
      <c r="D11" s="19" t="n">
        <v>849</v>
      </c>
      <c r="E11" s="18" t="n">
        <v>14.43013839</v>
      </c>
      <c r="F11" s="20" t="n">
        <v>1.81124584</v>
      </c>
      <c r="G11" s="18" t="n">
        <v>79.67073309</v>
      </c>
      <c r="H11" s="20" t="n">
        <v>2.09080644</v>
      </c>
      <c r="I11" s="18" t="n">
        <v>0</v>
      </c>
      <c r="J11" s="20" t="n">
        <v>0</v>
      </c>
      <c r="K11" s="18" t="n">
        <v>0.10330051</v>
      </c>
      <c r="L11" s="20" t="n">
        <v>0.09582348</v>
      </c>
      <c r="M11" s="18" t="n">
        <v>0</v>
      </c>
      <c r="N11" s="20" t="n">
        <v>0</v>
      </c>
      <c r="O11" s="18" t="n">
        <v>0</v>
      </c>
      <c r="P11" s="20" t="n">
        <v>0</v>
      </c>
      <c r="Q11" s="18" t="n">
        <v>5.79582801</v>
      </c>
      <c r="R11" s="20" t="n">
        <v>1.16335374</v>
      </c>
    </row>
    <row r="12" spans="1:18">
      <c r="A12" s="15" t="s">
        <v>434</v>
      </c>
      <c r="B12" s="17" t="n">
        <v>6894</v>
      </c>
      <c r="C12" s="18">
        <f>(5981.0/B12*100)</f>
        <v/>
      </c>
      <c r="D12" s="19" t="n">
        <v>913</v>
      </c>
      <c r="E12" s="18" t="n">
        <v>20.22669354</v>
      </c>
      <c r="F12" s="20" t="n">
        <v>2.54610933</v>
      </c>
      <c r="G12" s="18" t="n">
        <v>74.25788913</v>
      </c>
      <c r="H12" s="20" t="n">
        <v>3.25197922</v>
      </c>
      <c r="I12" s="18" t="n">
        <v>0</v>
      </c>
      <c r="J12" s="20" t="n">
        <v>0</v>
      </c>
      <c r="K12" s="18" t="n">
        <v>0</v>
      </c>
      <c r="L12" s="20" t="n">
        <v>0</v>
      </c>
      <c r="M12" s="18" t="n">
        <v>0.27783534</v>
      </c>
      <c r="N12" s="20" t="n">
        <v>0.21188085</v>
      </c>
      <c r="O12" s="18" t="n">
        <v>0</v>
      </c>
      <c r="P12" s="20" t="n">
        <v>0</v>
      </c>
      <c r="Q12" s="18" t="n">
        <v>5.23758199</v>
      </c>
      <c r="R12" s="20" t="n">
        <v>0.95060539</v>
      </c>
    </row>
    <row r="13" spans="1:18">
      <c r="A13" s="15" t="s">
        <v>435</v>
      </c>
      <c r="B13" s="17" t="n">
        <v>7161</v>
      </c>
      <c r="C13" s="18">
        <f>(5980.0/B13*100)</f>
        <v/>
      </c>
      <c r="D13" s="19" t="n">
        <v>1181</v>
      </c>
      <c r="E13" s="18" t="n">
        <v>18.78844591</v>
      </c>
      <c r="F13" s="20" t="n">
        <v>1.38579765</v>
      </c>
      <c r="G13" s="18" t="n">
        <v>78.66873509</v>
      </c>
      <c r="H13" s="20" t="n">
        <v>1.53656286</v>
      </c>
      <c r="I13" s="18" t="n">
        <v>0</v>
      </c>
      <c r="J13" s="20" t="n">
        <v>0</v>
      </c>
      <c r="K13" s="18" t="n">
        <v>0.39113647</v>
      </c>
      <c r="L13" s="20" t="n">
        <v>0.25642037</v>
      </c>
      <c r="M13" s="18" t="n">
        <v>0</v>
      </c>
      <c r="N13" s="20" t="n">
        <v>0</v>
      </c>
      <c r="O13" s="18" t="n">
        <v>0</v>
      </c>
      <c r="P13" s="20" t="n">
        <v>0</v>
      </c>
      <c r="Q13" s="18" t="n">
        <v>2.15168253</v>
      </c>
      <c r="R13" s="20" t="n">
        <v>0.51585444</v>
      </c>
    </row>
    <row r="14" spans="1:18">
      <c r="A14" s="15" t="s">
        <v>436</v>
      </c>
      <c r="B14" s="17" t="n">
        <v>5587</v>
      </c>
      <c r="C14" s="18">
        <f>(4897.0/B14*100)</f>
        <v/>
      </c>
      <c r="D14" s="19" t="n">
        <v>690</v>
      </c>
      <c r="E14" s="18" t="n">
        <v>11.70307786</v>
      </c>
      <c r="F14" s="20" t="n">
        <v>1.44004941</v>
      </c>
      <c r="G14" s="18" t="n">
        <v>86.66087333999999</v>
      </c>
      <c r="H14" s="20" t="n">
        <v>1.53736377</v>
      </c>
      <c r="I14" s="18" t="n">
        <v>0</v>
      </c>
      <c r="J14" s="20" t="n">
        <v>0</v>
      </c>
      <c r="K14" s="18" t="n">
        <v>0</v>
      </c>
      <c r="L14" s="20" t="n">
        <v>0</v>
      </c>
      <c r="M14" s="18" t="n">
        <v>0</v>
      </c>
      <c r="N14" s="20" t="n">
        <v>0</v>
      </c>
      <c r="O14" s="18" t="n">
        <v>0</v>
      </c>
      <c r="P14" s="20" t="n">
        <v>0</v>
      </c>
      <c r="Q14" s="18" t="n">
        <v>1.6360488</v>
      </c>
      <c r="R14" s="20" t="n">
        <v>0.5608697499999999</v>
      </c>
    </row>
    <row r="15" spans="1:18">
      <c r="A15" s="15" t="s">
        <v>437</v>
      </c>
      <c r="B15" s="17" t="n">
        <v>5882</v>
      </c>
      <c r="C15" s="18">
        <f>(5141.0/B15*100)</f>
        <v/>
      </c>
      <c r="D15" s="19" t="n">
        <v>741</v>
      </c>
      <c r="E15" s="18" t="n">
        <v>15.03091934</v>
      </c>
      <c r="F15" s="20" t="n">
        <v>1.88762085</v>
      </c>
      <c r="G15" s="18" t="n">
        <v>82.31403994</v>
      </c>
      <c r="H15" s="20" t="n">
        <v>2.40651763</v>
      </c>
      <c r="I15" s="18" t="n">
        <v>0</v>
      </c>
      <c r="J15" s="20" t="n">
        <v>0</v>
      </c>
      <c r="K15" s="18" t="n">
        <v>0.40225189</v>
      </c>
      <c r="L15" s="20" t="n">
        <v>0.31316629</v>
      </c>
      <c r="M15" s="18" t="n">
        <v>0</v>
      </c>
      <c r="N15" s="20" t="n">
        <v>0</v>
      </c>
      <c r="O15" s="18" t="n">
        <v>0</v>
      </c>
      <c r="P15" s="20" t="n">
        <v>0</v>
      </c>
      <c r="Q15" s="18" t="n">
        <v>2.25278883</v>
      </c>
      <c r="R15" s="20" t="n">
        <v>0.87536742</v>
      </c>
    </row>
    <row r="16" spans="1:18">
      <c r="A16" s="15" t="s">
        <v>438</v>
      </c>
      <c r="B16" s="17" t="n">
        <v>6108</v>
      </c>
      <c r="C16" s="18">
        <f>(5376.0/B16*100)</f>
        <v/>
      </c>
      <c r="D16" s="19" t="n">
        <v>732</v>
      </c>
      <c r="E16" s="18" t="n">
        <v>26.15780033</v>
      </c>
      <c r="F16" s="20" t="n">
        <v>1.76351165</v>
      </c>
      <c r="G16" s="18" t="n">
        <v>66.60549069</v>
      </c>
      <c r="H16" s="20" t="n">
        <v>1.80420716</v>
      </c>
      <c r="I16" s="18" t="n">
        <v>0</v>
      </c>
      <c r="J16" s="20" t="n">
        <v>0</v>
      </c>
      <c r="K16" s="18" t="n">
        <v>0.76712393</v>
      </c>
      <c r="L16" s="20" t="n">
        <v>0.37327113</v>
      </c>
      <c r="M16" s="18" t="n">
        <v>0</v>
      </c>
      <c r="N16" s="20" t="n">
        <v>0</v>
      </c>
      <c r="O16" s="18" t="n">
        <v>0</v>
      </c>
      <c r="P16" s="20" t="n">
        <v>0</v>
      </c>
      <c r="Q16" s="18" t="n">
        <v>6.46958505</v>
      </c>
      <c r="R16" s="20" t="n">
        <v>1.02748712</v>
      </c>
    </row>
    <row r="17" spans="1:18">
      <c r="A17" s="15" t="s">
        <v>439</v>
      </c>
      <c r="B17" s="17" t="n">
        <v>6504</v>
      </c>
      <c r="C17" s="18">
        <f>(5603.0/B17*100)</f>
        <v/>
      </c>
      <c r="D17" s="19" t="n">
        <v>901</v>
      </c>
      <c r="E17" s="18" t="n">
        <v>21.07373101</v>
      </c>
      <c r="F17" s="20" t="n">
        <v>1.73061587</v>
      </c>
      <c r="G17" s="18" t="n">
        <v>73.7263272</v>
      </c>
      <c r="H17" s="20" t="n">
        <v>2.03199604</v>
      </c>
      <c r="I17" s="18" t="n">
        <v>0</v>
      </c>
      <c r="J17" s="20" t="n">
        <v>0</v>
      </c>
      <c r="K17" s="18" t="n">
        <v>0.72455227</v>
      </c>
      <c r="L17" s="20" t="n">
        <v>0.33112241</v>
      </c>
      <c r="M17" s="18" t="n">
        <v>0</v>
      </c>
      <c r="N17" s="20" t="n">
        <v>0</v>
      </c>
      <c r="O17" s="18" t="n">
        <v>0</v>
      </c>
      <c r="P17" s="20" t="n">
        <v>0</v>
      </c>
      <c r="Q17" s="18" t="n">
        <v>4.47538952</v>
      </c>
      <c r="R17" s="20" t="n">
        <v>0.88294389</v>
      </c>
    </row>
    <row r="18" spans="1:18">
      <c r="A18" s="15" t="s">
        <v>440</v>
      </c>
      <c r="B18" s="17" t="n">
        <v>5532</v>
      </c>
      <c r="C18" s="18">
        <f>(4851.0/B18*100)</f>
        <v/>
      </c>
      <c r="D18" s="19" t="n">
        <v>681</v>
      </c>
      <c r="E18" s="18" t="n">
        <v>17.42152638</v>
      </c>
      <c r="F18" s="20" t="n">
        <v>1.83987128</v>
      </c>
      <c r="G18" s="18" t="n">
        <v>77.60983303</v>
      </c>
      <c r="H18" s="20" t="n">
        <v>2.12209026</v>
      </c>
      <c r="I18" s="18" t="n">
        <v>0</v>
      </c>
      <c r="J18" s="20" t="n">
        <v>0</v>
      </c>
      <c r="K18" s="18" t="n">
        <v>0.35130776</v>
      </c>
      <c r="L18" s="20" t="n">
        <v>0.28157174</v>
      </c>
      <c r="M18" s="18" t="n">
        <v>0</v>
      </c>
      <c r="N18" s="20" t="n">
        <v>0</v>
      </c>
      <c r="O18" s="18" t="n">
        <v>0</v>
      </c>
      <c r="P18" s="20" t="n">
        <v>0</v>
      </c>
      <c r="Q18" s="18" t="n">
        <v>4.61733283</v>
      </c>
      <c r="R18" s="20" t="n">
        <v>0.9791602700000001</v>
      </c>
    </row>
    <row r="19" spans="1:18">
      <c r="A19" s="15" t="s">
        <v>441</v>
      </c>
      <c r="B19" s="17" t="n">
        <v>5658</v>
      </c>
      <c r="C19" s="18">
        <f>(4954.0/B19*100)</f>
        <v/>
      </c>
      <c r="D19" s="19" t="n">
        <v>704</v>
      </c>
      <c r="E19" s="18" t="n">
        <v>22.59429811</v>
      </c>
      <c r="F19" s="20" t="n">
        <v>1.72954185</v>
      </c>
      <c r="G19" s="18" t="n">
        <v>71.94117773000001</v>
      </c>
      <c r="H19" s="20" t="n">
        <v>1.84078947</v>
      </c>
      <c r="I19" s="18" t="n">
        <v>0</v>
      </c>
      <c r="J19" s="20" t="n">
        <v>0</v>
      </c>
      <c r="K19" s="18" t="n">
        <v>0</v>
      </c>
      <c r="L19" s="20" t="n">
        <v>0</v>
      </c>
      <c r="M19" s="18" t="n">
        <v>0</v>
      </c>
      <c r="N19" s="20" t="n">
        <v>0</v>
      </c>
      <c r="O19" s="18" t="n">
        <v>0</v>
      </c>
      <c r="P19" s="20" t="n">
        <v>0</v>
      </c>
      <c r="Q19" s="18" t="n">
        <v>5.46452415</v>
      </c>
      <c r="R19" s="20" t="n">
        <v>1.11236391</v>
      </c>
    </row>
    <row r="20" spans="1:18">
      <c r="A20" s="15" t="s">
        <v>442</v>
      </c>
      <c r="B20" s="17" t="n">
        <v>3371</v>
      </c>
      <c r="C20" s="18">
        <f>(2961.0/B20*100)</f>
        <v/>
      </c>
      <c r="D20" s="19" t="n">
        <v>410</v>
      </c>
      <c r="E20" s="18" t="n">
        <v>19.47670974</v>
      </c>
      <c r="F20" s="20" t="n">
        <v>2.00295337</v>
      </c>
      <c r="G20" s="18" t="n">
        <v>78.30311863999999</v>
      </c>
      <c r="H20" s="20" t="n">
        <v>2.16908383</v>
      </c>
      <c r="I20" s="18" t="n">
        <v>0</v>
      </c>
      <c r="J20" s="20" t="n">
        <v>0</v>
      </c>
      <c r="K20" s="18" t="n">
        <v>0.2786138</v>
      </c>
      <c r="L20" s="20" t="n">
        <v>0.28181282</v>
      </c>
      <c r="M20" s="18" t="n">
        <v>0.37808335</v>
      </c>
      <c r="N20" s="20" t="n">
        <v>0.27319248</v>
      </c>
      <c r="O20" s="18" t="n">
        <v>0</v>
      </c>
      <c r="P20" s="20" t="n">
        <v>0</v>
      </c>
      <c r="Q20" s="18" t="n">
        <v>1.56347448</v>
      </c>
      <c r="R20" s="20" t="n">
        <v>0.64132729</v>
      </c>
    </row>
    <row r="21" spans="1:18">
      <c r="A21" s="15" t="s">
        <v>443</v>
      </c>
      <c r="B21" s="17" t="n">
        <v>5741</v>
      </c>
      <c r="C21" s="18">
        <f>(4781.0/B21*100)</f>
        <v/>
      </c>
      <c r="D21" s="19" t="n">
        <v>960</v>
      </c>
      <c r="E21" s="18" t="n">
        <v>9.331939759999999</v>
      </c>
      <c r="F21" s="20" t="n">
        <v>1.01338541</v>
      </c>
      <c r="G21" s="18" t="n">
        <v>90.16364819</v>
      </c>
      <c r="H21" s="20" t="n">
        <v>1.05637684</v>
      </c>
      <c r="I21" s="18" t="n">
        <v>0</v>
      </c>
      <c r="J21" s="20" t="n">
        <v>0</v>
      </c>
      <c r="K21" s="18" t="n">
        <v>0</v>
      </c>
      <c r="L21" s="20" t="n">
        <v>0</v>
      </c>
      <c r="M21" s="18" t="n">
        <v>0</v>
      </c>
      <c r="N21" s="20" t="n">
        <v>0</v>
      </c>
      <c r="O21" s="18" t="n">
        <v>0</v>
      </c>
      <c r="P21" s="20" t="n">
        <v>0</v>
      </c>
      <c r="Q21" s="18" t="n">
        <v>0.50441205</v>
      </c>
      <c r="R21" s="20" t="n">
        <v>0.22953952</v>
      </c>
    </row>
    <row r="22" spans="1:18">
      <c r="A22" s="15" t="s">
        <v>444</v>
      </c>
      <c r="B22" s="17" t="n">
        <v>6598</v>
      </c>
      <c r="C22" s="18">
        <f>(5762.0/B22*100)</f>
        <v/>
      </c>
      <c r="D22" s="19" t="n">
        <v>836</v>
      </c>
      <c r="E22" s="18" t="n">
        <v>18.1341601</v>
      </c>
      <c r="F22" s="20" t="n">
        <v>1.31852169</v>
      </c>
      <c r="G22" s="18" t="n">
        <v>77.28284872</v>
      </c>
      <c r="H22" s="20" t="n">
        <v>1.48967739</v>
      </c>
      <c r="I22" s="18" t="n">
        <v>0</v>
      </c>
      <c r="J22" s="20" t="n">
        <v>0</v>
      </c>
      <c r="K22" s="18" t="n">
        <v>0.31544387</v>
      </c>
      <c r="L22" s="20" t="n">
        <v>0.23297826</v>
      </c>
      <c r="M22" s="18" t="n">
        <v>0</v>
      </c>
      <c r="N22" s="20" t="n">
        <v>0</v>
      </c>
      <c r="O22" s="18" t="n">
        <v>0</v>
      </c>
      <c r="P22" s="20" t="n">
        <v>0</v>
      </c>
      <c r="Q22" s="18" t="n">
        <v>4.26754732</v>
      </c>
      <c r="R22" s="20" t="n">
        <v>0.77490291</v>
      </c>
    </row>
    <row r="23" spans="1:18">
      <c r="A23" s="15" t="s">
        <v>445</v>
      </c>
      <c r="B23" s="17" t="n">
        <v>11583</v>
      </c>
      <c r="C23" s="18">
        <f>(10128.0/B23*100)</f>
        <v/>
      </c>
      <c r="D23" s="19" t="n">
        <v>1455</v>
      </c>
      <c r="E23" s="18" t="n">
        <v>23.31153651</v>
      </c>
      <c r="F23" s="20" t="n">
        <v>1.38635312</v>
      </c>
      <c r="G23" s="18" t="n">
        <v>69.92451684</v>
      </c>
      <c r="H23" s="20" t="n">
        <v>1.45318385</v>
      </c>
      <c r="I23" s="18" t="n">
        <v>0</v>
      </c>
      <c r="J23" s="20" t="n">
        <v>0</v>
      </c>
      <c r="K23" s="18" t="n">
        <v>0.34723337</v>
      </c>
      <c r="L23" s="20" t="n">
        <v>0.27151731</v>
      </c>
      <c r="M23" s="18" t="n">
        <v>0.33383434</v>
      </c>
      <c r="N23" s="20" t="n">
        <v>0.17935422</v>
      </c>
      <c r="O23" s="18" t="n">
        <v>0</v>
      </c>
      <c r="P23" s="20" t="n">
        <v>0</v>
      </c>
      <c r="Q23" s="18" t="n">
        <v>6.08287894</v>
      </c>
      <c r="R23" s="20" t="n">
        <v>1.07364575</v>
      </c>
    </row>
    <row r="24" spans="1:18">
      <c r="A24" s="15" t="s">
        <v>446</v>
      </c>
      <c r="B24" s="17" t="n">
        <v>6647</v>
      </c>
      <c r="C24" s="18">
        <f>(5872.0/B24*100)</f>
        <v/>
      </c>
      <c r="D24" s="19" t="n">
        <v>775</v>
      </c>
      <c r="E24" s="18" t="n">
        <v>9.380601029999999</v>
      </c>
      <c r="F24" s="20" t="n">
        <v>0.99591182</v>
      </c>
      <c r="G24" s="18" t="n">
        <v>86.91243313</v>
      </c>
      <c r="H24" s="20" t="n">
        <v>1.45180376</v>
      </c>
      <c r="I24" s="18" t="n">
        <v>0</v>
      </c>
      <c r="J24" s="20" t="n">
        <v>0</v>
      </c>
      <c r="K24" s="18" t="n">
        <v>0</v>
      </c>
      <c r="L24" s="20" t="n">
        <v>0</v>
      </c>
      <c r="M24" s="18" t="n">
        <v>0</v>
      </c>
      <c r="N24" s="20" t="n">
        <v>0</v>
      </c>
      <c r="O24" s="18" t="n">
        <v>0</v>
      </c>
      <c r="P24" s="20" t="n">
        <v>0</v>
      </c>
      <c r="Q24" s="18" t="n">
        <v>3.70696584</v>
      </c>
      <c r="R24" s="20" t="n">
        <v>0.76802883</v>
      </c>
    </row>
    <row r="25" spans="1:18">
      <c r="A25" s="15" t="s">
        <v>447</v>
      </c>
      <c r="B25" s="17" t="n">
        <v>5581</v>
      </c>
      <c r="C25" s="18">
        <f>(4889.0/B25*100)</f>
        <v/>
      </c>
      <c r="D25" s="19" t="n">
        <v>692</v>
      </c>
      <c r="E25" s="18" t="n">
        <v>4.23184933</v>
      </c>
      <c r="F25" s="20" t="n">
        <v>0.85213146</v>
      </c>
      <c r="G25" s="18" t="n">
        <v>92.27641361000001</v>
      </c>
      <c r="H25" s="20" t="n">
        <v>1.14662877</v>
      </c>
      <c r="I25" s="18" t="n">
        <v>0</v>
      </c>
      <c r="J25" s="20" t="n">
        <v>0</v>
      </c>
      <c r="K25" s="18" t="n">
        <v>0.68947271</v>
      </c>
      <c r="L25" s="20" t="n">
        <v>0.3162923</v>
      </c>
      <c r="M25" s="18" t="n">
        <v>0</v>
      </c>
      <c r="N25" s="20" t="n">
        <v>0</v>
      </c>
      <c r="O25" s="18" t="n">
        <v>0</v>
      </c>
      <c r="P25" s="20" t="n">
        <v>0</v>
      </c>
      <c r="Q25" s="18" t="n">
        <v>2.80226435</v>
      </c>
      <c r="R25" s="20" t="n">
        <v>0.6692226</v>
      </c>
    </row>
    <row r="26" spans="1:18">
      <c r="A26" s="15" t="s">
        <v>448</v>
      </c>
      <c r="B26" s="17" t="n">
        <v>4869</v>
      </c>
      <c r="C26" s="18">
        <f>(4269.0/B26*100)</f>
        <v/>
      </c>
      <c r="D26" s="19" t="n">
        <v>600</v>
      </c>
      <c r="E26" s="18" t="n">
        <v>20.93832206</v>
      </c>
      <c r="F26" s="20" t="n">
        <v>1.64389955</v>
      </c>
      <c r="G26" s="18" t="n">
        <v>77.28444589</v>
      </c>
      <c r="H26" s="20" t="n">
        <v>1.73046016</v>
      </c>
      <c r="I26" s="18" t="n">
        <v>0</v>
      </c>
      <c r="J26" s="20" t="n">
        <v>0</v>
      </c>
      <c r="K26" s="18" t="n">
        <v>0</v>
      </c>
      <c r="L26" s="20" t="n">
        <v>0</v>
      </c>
      <c r="M26" s="18" t="n">
        <v>0.1152882</v>
      </c>
      <c r="N26" s="20" t="n">
        <v>0.11554269</v>
      </c>
      <c r="O26" s="18" t="n">
        <v>0</v>
      </c>
      <c r="P26" s="20" t="n">
        <v>0</v>
      </c>
      <c r="Q26" s="18" t="n">
        <v>1.66194385</v>
      </c>
      <c r="R26" s="20" t="n">
        <v>0.5835151</v>
      </c>
    </row>
    <row r="27" spans="1:18">
      <c r="A27" s="15" t="s">
        <v>449</v>
      </c>
      <c r="B27" s="17" t="n">
        <v>5299</v>
      </c>
      <c r="C27" s="18">
        <f>(4638.0/B27*100)</f>
        <v/>
      </c>
      <c r="D27" s="19" t="n">
        <v>661</v>
      </c>
      <c r="E27" s="18" t="n">
        <v>20.93523794</v>
      </c>
      <c r="F27" s="20" t="n">
        <v>1.38973222</v>
      </c>
      <c r="G27" s="18" t="n">
        <v>75.65566695</v>
      </c>
      <c r="H27" s="20" t="n">
        <v>1.43850701</v>
      </c>
      <c r="I27" s="18" t="n">
        <v>0</v>
      </c>
      <c r="J27" s="20" t="n">
        <v>0</v>
      </c>
      <c r="K27" s="18" t="n">
        <v>0.16544006</v>
      </c>
      <c r="L27" s="20" t="n">
        <v>0.15920171</v>
      </c>
      <c r="M27" s="18" t="n">
        <v>0</v>
      </c>
      <c r="N27" s="20" t="n">
        <v>0</v>
      </c>
      <c r="O27" s="18" t="n">
        <v>0</v>
      </c>
      <c r="P27" s="20" t="n">
        <v>0</v>
      </c>
      <c r="Q27" s="18" t="n">
        <v>3.24365504</v>
      </c>
      <c r="R27" s="20" t="n">
        <v>0.61594352</v>
      </c>
    </row>
    <row r="28" spans="1:18">
      <c r="A28" s="15" t="s">
        <v>450</v>
      </c>
      <c r="B28" s="17" t="n">
        <v>7568</v>
      </c>
      <c r="C28" s="18">
        <f>(6660.0/B28*100)</f>
        <v/>
      </c>
      <c r="D28" s="19" t="n">
        <v>908</v>
      </c>
      <c r="E28" s="18" t="n">
        <v>28.87661922</v>
      </c>
      <c r="F28" s="20" t="n">
        <v>1.78351694</v>
      </c>
      <c r="G28" s="18" t="n">
        <v>68.73614784999999</v>
      </c>
      <c r="H28" s="20" t="n">
        <v>1.84987038</v>
      </c>
      <c r="I28" s="18" t="n">
        <v>0</v>
      </c>
      <c r="J28" s="20" t="n">
        <v>0</v>
      </c>
      <c r="K28" s="18" t="n">
        <v>0.1178263</v>
      </c>
      <c r="L28" s="20" t="n">
        <v>0.12005155</v>
      </c>
      <c r="M28" s="18" t="n">
        <v>0.09083418</v>
      </c>
      <c r="N28" s="20" t="n">
        <v>0.09048977</v>
      </c>
      <c r="O28" s="18" t="n">
        <v>0</v>
      </c>
      <c r="P28" s="20" t="n">
        <v>0</v>
      </c>
      <c r="Q28" s="18" t="n">
        <v>2.17857245</v>
      </c>
      <c r="R28" s="20" t="n">
        <v>0.54382238</v>
      </c>
    </row>
    <row r="29" spans="1:18">
      <c r="A29" s="15" t="s">
        <v>451</v>
      </c>
      <c r="B29" s="17" t="n">
        <v>5385</v>
      </c>
      <c r="C29" s="18">
        <f>(4629.0/B29*100)</f>
        <v/>
      </c>
      <c r="D29" s="19" t="n">
        <v>756</v>
      </c>
      <c r="E29" s="18" t="n">
        <v>24.63690848</v>
      </c>
      <c r="F29" s="20" t="n">
        <v>1.93602565</v>
      </c>
      <c r="G29" s="18" t="n">
        <v>74.09446778</v>
      </c>
      <c r="H29" s="20" t="n">
        <v>2.15061124</v>
      </c>
      <c r="I29" s="18" t="n">
        <v>0</v>
      </c>
      <c r="J29" s="20" t="n">
        <v>0</v>
      </c>
      <c r="K29" s="18" t="n">
        <v>0.16760022</v>
      </c>
      <c r="L29" s="20" t="n">
        <v>0.16601537</v>
      </c>
      <c r="M29" s="18" t="n">
        <v>0</v>
      </c>
      <c r="N29" s="20" t="n">
        <v>0</v>
      </c>
      <c r="O29" s="18" t="n">
        <v>0</v>
      </c>
      <c r="P29" s="20" t="n">
        <v>0</v>
      </c>
      <c r="Q29" s="18" t="n">
        <v>1.10102352</v>
      </c>
      <c r="R29" s="20" t="n">
        <v>0.46108746</v>
      </c>
    </row>
    <row r="30" spans="1:18">
      <c r="A30" s="15" t="s">
        <v>452</v>
      </c>
      <c r="B30" s="17" t="n">
        <v>4520</v>
      </c>
      <c r="C30" s="18">
        <f>(4001.0/B30*100)</f>
        <v/>
      </c>
      <c r="D30" s="19" t="n">
        <v>519</v>
      </c>
      <c r="E30" s="18" t="n">
        <v>12.11518542</v>
      </c>
      <c r="F30" s="20" t="n">
        <v>1.61802272</v>
      </c>
      <c r="G30" s="18" t="n">
        <v>85.10967454999999</v>
      </c>
      <c r="H30" s="20" t="n">
        <v>1.79878627</v>
      </c>
      <c r="I30" s="18" t="n">
        <v>0</v>
      </c>
      <c r="J30" s="20" t="n">
        <v>0</v>
      </c>
      <c r="K30" s="18" t="n">
        <v>0</v>
      </c>
      <c r="L30" s="20" t="n">
        <v>0</v>
      </c>
      <c r="M30" s="18" t="n">
        <v>0</v>
      </c>
      <c r="N30" s="20" t="n">
        <v>0</v>
      </c>
      <c r="O30" s="18" t="n">
        <v>0</v>
      </c>
      <c r="P30" s="20" t="n">
        <v>0</v>
      </c>
      <c r="Q30" s="18" t="n">
        <v>2.77514003</v>
      </c>
      <c r="R30" s="20" t="n">
        <v>0.74292559</v>
      </c>
    </row>
    <row r="31" spans="1:18">
      <c r="A31" s="15" t="s">
        <v>453</v>
      </c>
      <c r="B31" s="17" t="n">
        <v>5456</v>
      </c>
      <c r="C31" s="18">
        <f>(4798.0/B31*100)</f>
        <v/>
      </c>
      <c r="D31" s="19" t="n">
        <v>658</v>
      </c>
      <c r="E31" s="18" t="n">
        <v>12.54850451</v>
      </c>
      <c r="F31" s="20" t="n">
        <v>1.33066031</v>
      </c>
      <c r="G31" s="18" t="n">
        <v>85.61549110999999</v>
      </c>
      <c r="H31" s="20" t="n">
        <v>1.30506148</v>
      </c>
      <c r="I31" s="18" t="n">
        <v>0</v>
      </c>
      <c r="J31" s="20" t="n">
        <v>0</v>
      </c>
      <c r="K31" s="18" t="n">
        <v>0.14928091</v>
      </c>
      <c r="L31" s="20" t="n">
        <v>0.15484352</v>
      </c>
      <c r="M31" s="18" t="n">
        <v>0</v>
      </c>
      <c r="N31" s="20" t="n">
        <v>0</v>
      </c>
      <c r="O31" s="18" t="n">
        <v>0</v>
      </c>
      <c r="P31" s="20" t="n">
        <v>0</v>
      </c>
      <c r="Q31" s="18" t="n">
        <v>1.68672347</v>
      </c>
      <c r="R31" s="20" t="n">
        <v>0.55036181</v>
      </c>
    </row>
    <row r="32" spans="1:18">
      <c r="A32" s="15" t="s">
        <v>454</v>
      </c>
      <c r="B32" s="17" t="n">
        <v>4478</v>
      </c>
      <c r="C32" s="18">
        <f>(3735.0/B32*100)</f>
        <v/>
      </c>
      <c r="D32" s="19" t="n">
        <v>743</v>
      </c>
      <c r="E32" s="18" t="n">
        <v>27.18312866</v>
      </c>
      <c r="F32" s="20" t="n">
        <v>1.8768514</v>
      </c>
      <c r="G32" s="18" t="n">
        <v>69.21832444</v>
      </c>
      <c r="H32" s="20" t="n">
        <v>2.03594215</v>
      </c>
      <c r="I32" s="18" t="n">
        <v>0</v>
      </c>
      <c r="J32" s="20" t="n">
        <v>0</v>
      </c>
      <c r="K32" s="18" t="n">
        <v>0.12994118</v>
      </c>
      <c r="L32" s="20" t="n">
        <v>0.12231666</v>
      </c>
      <c r="M32" s="18" t="n">
        <v>0.12659805</v>
      </c>
      <c r="N32" s="20" t="n">
        <v>0.12643158</v>
      </c>
      <c r="O32" s="18" t="n">
        <v>0</v>
      </c>
      <c r="P32" s="20" t="n">
        <v>0</v>
      </c>
      <c r="Q32" s="18" t="n">
        <v>3.34200767</v>
      </c>
      <c r="R32" s="20" t="n">
        <v>0.69616292</v>
      </c>
    </row>
    <row r="33" spans="1:18">
      <c r="A33" s="15" t="s">
        <v>455</v>
      </c>
      <c r="B33" s="17" t="n">
        <v>7325</v>
      </c>
      <c r="C33" s="18">
        <f>(6428.0/B33*100)</f>
        <v/>
      </c>
      <c r="D33" s="19" t="n">
        <v>897</v>
      </c>
      <c r="E33" s="18" t="n">
        <v>15.97631711</v>
      </c>
      <c r="F33" s="20" t="n">
        <v>1.40360455</v>
      </c>
      <c r="G33" s="18" t="n">
        <v>81.98053467</v>
      </c>
      <c r="H33" s="20" t="n">
        <v>1.56840814</v>
      </c>
      <c r="I33" s="18" t="n">
        <v>0</v>
      </c>
      <c r="J33" s="20" t="n">
        <v>0</v>
      </c>
      <c r="K33" s="18" t="n">
        <v>0</v>
      </c>
      <c r="L33" s="20" t="n">
        <v>0</v>
      </c>
      <c r="M33" s="18" t="n">
        <v>0</v>
      </c>
      <c r="N33" s="20" t="n">
        <v>0</v>
      </c>
      <c r="O33" s="18" t="n">
        <v>0</v>
      </c>
      <c r="P33" s="20" t="n">
        <v>0</v>
      </c>
      <c r="Q33" s="18" t="n">
        <v>2.04314822</v>
      </c>
      <c r="R33" s="20" t="n">
        <v>0.47580141</v>
      </c>
    </row>
    <row r="34" spans="1:18">
      <c r="A34" s="15" t="s">
        <v>456</v>
      </c>
      <c r="B34" s="17" t="n">
        <v>6350</v>
      </c>
      <c r="C34" s="18">
        <f>(5467.0/B34*100)</f>
        <v/>
      </c>
      <c r="D34" s="19" t="n">
        <v>883</v>
      </c>
      <c r="E34" s="18" t="n">
        <v>26.67109155</v>
      </c>
      <c r="F34" s="20" t="n">
        <v>2.22468557</v>
      </c>
      <c r="G34" s="18" t="n">
        <v>67.19947261</v>
      </c>
      <c r="H34" s="20" t="n">
        <v>2.3585033</v>
      </c>
      <c r="I34" s="18" t="n">
        <v>0</v>
      </c>
      <c r="J34" s="20" t="n">
        <v>0</v>
      </c>
      <c r="K34" s="18" t="n">
        <v>0</v>
      </c>
      <c r="L34" s="20" t="n">
        <v>0</v>
      </c>
      <c r="M34" s="18" t="n">
        <v>0.09698727</v>
      </c>
      <c r="N34" s="20" t="n">
        <v>0.09719993</v>
      </c>
      <c r="O34" s="18" t="n">
        <v>0</v>
      </c>
      <c r="P34" s="20" t="n">
        <v>0</v>
      </c>
      <c r="Q34" s="18" t="n">
        <v>6.03244857</v>
      </c>
      <c r="R34" s="20" t="n">
        <v>0.97432167</v>
      </c>
    </row>
    <row r="35" spans="1:18">
      <c r="A35" s="15" t="s">
        <v>457</v>
      </c>
      <c r="B35" s="17" t="n">
        <v>6406</v>
      </c>
      <c r="C35" s="18">
        <f>(5508.0/B35*100)</f>
        <v/>
      </c>
      <c r="D35" s="19" t="n">
        <v>898</v>
      </c>
      <c r="E35" s="18" t="n">
        <v>20.67728283</v>
      </c>
      <c r="F35" s="20" t="n">
        <v>1.51996732</v>
      </c>
      <c r="G35" s="18" t="n">
        <v>76.0029366</v>
      </c>
      <c r="H35" s="20" t="n">
        <v>1.48362357</v>
      </c>
      <c r="I35" s="18" t="n">
        <v>0</v>
      </c>
      <c r="J35" s="20" t="n">
        <v>0</v>
      </c>
      <c r="K35" s="18" t="n">
        <v>0.10316517</v>
      </c>
      <c r="L35" s="20" t="n">
        <v>0.06422994999999999</v>
      </c>
      <c r="M35" s="18" t="n">
        <v>0.20991778</v>
      </c>
      <c r="N35" s="20" t="n">
        <v>0.20910174</v>
      </c>
      <c r="O35" s="18" t="n">
        <v>0</v>
      </c>
      <c r="P35" s="20" t="n">
        <v>0</v>
      </c>
      <c r="Q35" s="18" t="n">
        <v>3.00669763</v>
      </c>
      <c r="R35" s="20" t="n">
        <v>0.47892236</v>
      </c>
    </row>
    <row r="36" spans="1:18">
      <c r="A36" s="15" t="s">
        <v>458</v>
      </c>
      <c r="B36" s="17" t="n">
        <v>6736</v>
      </c>
      <c r="C36" s="18">
        <f>(5908.0/B36*100)</f>
        <v/>
      </c>
      <c r="D36" s="19" t="n">
        <v>828</v>
      </c>
      <c r="E36" s="18" t="n">
        <v>20.04180075</v>
      </c>
      <c r="F36" s="20" t="n">
        <v>1.4127695</v>
      </c>
      <c r="G36" s="18" t="n">
        <v>76.97511826</v>
      </c>
      <c r="H36" s="20" t="n">
        <v>1.58818089</v>
      </c>
      <c r="I36" s="18" t="n">
        <v>0</v>
      </c>
      <c r="J36" s="20" t="n">
        <v>0</v>
      </c>
      <c r="K36" s="18" t="n">
        <v>0</v>
      </c>
      <c r="L36" s="20" t="n">
        <v>0</v>
      </c>
      <c r="M36" s="18" t="n">
        <v>0</v>
      </c>
      <c r="N36" s="20" t="n">
        <v>0</v>
      </c>
      <c r="O36" s="18" t="n">
        <v>0</v>
      </c>
      <c r="P36" s="20" t="n">
        <v>0</v>
      </c>
      <c r="Q36" s="18" t="n">
        <v>2.98308099</v>
      </c>
      <c r="R36" s="20" t="n">
        <v>0.66942607</v>
      </c>
    </row>
    <row r="37" spans="1:18">
      <c r="A37" s="15" t="s">
        <v>459</v>
      </c>
      <c r="B37" s="17" t="n">
        <v>5458</v>
      </c>
      <c r="C37" s="18">
        <f>(4773.0/B37*100)</f>
        <v/>
      </c>
      <c r="D37" s="19" t="n">
        <v>685</v>
      </c>
      <c r="E37" s="18" t="n">
        <v>10.71370207</v>
      </c>
      <c r="F37" s="20" t="n">
        <v>1.14019461</v>
      </c>
      <c r="G37" s="18" t="n">
        <v>86.16367885</v>
      </c>
      <c r="H37" s="20" t="n">
        <v>1.39457017</v>
      </c>
      <c r="I37" s="18" t="n">
        <v>0</v>
      </c>
      <c r="J37" s="20" t="n">
        <v>0</v>
      </c>
      <c r="K37" s="18" t="n">
        <v>0.12785713</v>
      </c>
      <c r="L37" s="20" t="n">
        <v>0.18114504</v>
      </c>
      <c r="M37" s="18" t="n">
        <v>0</v>
      </c>
      <c r="N37" s="20" t="n">
        <v>0</v>
      </c>
      <c r="O37" s="18" t="n">
        <v>0</v>
      </c>
      <c r="P37" s="20" t="n">
        <v>0</v>
      </c>
      <c r="Q37" s="18" t="n">
        <v>2.99476195</v>
      </c>
      <c r="R37" s="20" t="n">
        <v>0.67232168</v>
      </c>
    </row>
    <row r="38" spans="1:18">
      <c r="A38" s="15" t="s">
        <v>460</v>
      </c>
      <c r="B38" s="17" t="n">
        <v>5860</v>
      </c>
      <c r="C38" s="18">
        <f>(4864.0/B38*100)</f>
        <v/>
      </c>
      <c r="D38" s="19" t="n">
        <v>996</v>
      </c>
      <c r="E38" s="18" t="n">
        <v>19.94903944</v>
      </c>
      <c r="F38" s="20" t="n">
        <v>1.5578228</v>
      </c>
      <c r="G38" s="18" t="n">
        <v>77.54653494</v>
      </c>
      <c r="H38" s="20" t="n">
        <v>1.84254449</v>
      </c>
      <c r="I38" s="18" t="n">
        <v>0</v>
      </c>
      <c r="J38" s="20" t="n">
        <v>0</v>
      </c>
      <c r="K38" s="18" t="n">
        <v>0.08293663</v>
      </c>
      <c r="L38" s="20" t="n">
        <v>0.08283741</v>
      </c>
      <c r="M38" s="18" t="n">
        <v>0.10821224</v>
      </c>
      <c r="N38" s="20" t="n">
        <v>0.06522790000000001</v>
      </c>
      <c r="O38" s="18" t="n">
        <v>0</v>
      </c>
      <c r="P38" s="20" t="n">
        <v>0</v>
      </c>
      <c r="Q38" s="18" t="n">
        <v>2.31327676</v>
      </c>
      <c r="R38" s="20" t="n">
        <v>0.5668687</v>
      </c>
    </row>
    <row r="39" spans="1:18">
      <c r="A39" s="15" t="s">
        <v>461</v>
      </c>
      <c r="B39" s="17" t="n">
        <v>5895</v>
      </c>
      <c r="C39" s="18">
        <f>(5173.0/B39*100)</f>
        <v/>
      </c>
      <c r="D39" s="19" t="n">
        <v>722</v>
      </c>
      <c r="E39" s="18" t="n">
        <v>21.6540337</v>
      </c>
      <c r="F39" s="20" t="n">
        <v>1.8431092</v>
      </c>
      <c r="G39" s="18" t="n">
        <v>73.94877603</v>
      </c>
      <c r="H39" s="20" t="n">
        <v>1.76147445</v>
      </c>
      <c r="I39" s="18" t="n">
        <v>0</v>
      </c>
      <c r="J39" s="20" t="n">
        <v>0</v>
      </c>
      <c r="K39" s="18" t="n">
        <v>0.20089188</v>
      </c>
      <c r="L39" s="20" t="n">
        <v>0.20136022</v>
      </c>
      <c r="M39" s="18" t="n">
        <v>0.06141504</v>
      </c>
      <c r="N39" s="20" t="n">
        <v>0.04394169</v>
      </c>
      <c r="O39" s="18" t="n">
        <v>0</v>
      </c>
      <c r="P39" s="20" t="n">
        <v>0</v>
      </c>
      <c r="Q39" s="18" t="n">
        <v>4.13488335</v>
      </c>
      <c r="R39" s="20" t="n">
        <v>0.8763234600000001</v>
      </c>
    </row>
    <row r="40" spans="1:18">
      <c r="A40" s="15" t="s">
        <v>462</v>
      </c>
      <c r="B40" s="17" t="n">
        <v>14157</v>
      </c>
      <c r="C40" s="18">
        <f>(12432.0/B40*100)</f>
        <v/>
      </c>
      <c r="D40" s="19" t="n">
        <v>1725</v>
      </c>
      <c r="E40" s="18" t="n">
        <v>16.40243292</v>
      </c>
      <c r="F40" s="20" t="n">
        <v>1.64515779</v>
      </c>
      <c r="G40" s="18" t="n">
        <v>80.03222499</v>
      </c>
      <c r="H40" s="20" t="n">
        <v>1.72076722</v>
      </c>
      <c r="I40" s="18" t="n">
        <v>0</v>
      </c>
      <c r="J40" s="20" t="n">
        <v>0</v>
      </c>
      <c r="K40" s="18" t="n">
        <v>0.13064981</v>
      </c>
      <c r="L40" s="20" t="n">
        <v>0.08009806999999999</v>
      </c>
      <c r="M40" s="18" t="n">
        <v>0.27895358</v>
      </c>
      <c r="N40" s="20" t="n">
        <v>0.21928137</v>
      </c>
      <c r="O40" s="18" t="n">
        <v>0</v>
      </c>
      <c r="P40" s="20" t="n">
        <v>0</v>
      </c>
      <c r="Q40" s="18" t="n">
        <v>3.15573871</v>
      </c>
      <c r="R40" s="20" t="n">
        <v>0.50352438</v>
      </c>
    </row>
    <row r="41" spans="1:18">
      <c r="A41" s="15" t="s">
        <v>463</v>
      </c>
      <c r="B41" s="17" t="n">
        <v>5712</v>
      </c>
      <c r="C41" s="18">
        <f>(4972.0/B41*100)</f>
        <v/>
      </c>
      <c r="D41" s="19" t="n">
        <v>740</v>
      </c>
      <c r="E41" s="18" t="n">
        <v>17.36035976</v>
      </c>
      <c r="F41" s="20" t="n">
        <v>1.35465981</v>
      </c>
      <c r="G41" s="18" t="n">
        <v>81.10789672</v>
      </c>
      <c r="H41" s="20" t="n">
        <v>1.46797669</v>
      </c>
      <c r="I41" s="18" t="n">
        <v>0</v>
      </c>
      <c r="J41" s="20" t="n">
        <v>0</v>
      </c>
      <c r="K41" s="18" t="n">
        <v>0.21468223</v>
      </c>
      <c r="L41" s="20" t="n">
        <v>0.20869747</v>
      </c>
      <c r="M41" s="18" t="n">
        <v>0</v>
      </c>
      <c r="N41" s="20" t="n">
        <v>0</v>
      </c>
      <c r="O41" s="18" t="n">
        <v>0</v>
      </c>
      <c r="P41" s="20" t="n">
        <v>0</v>
      </c>
      <c r="Q41" s="18" t="n">
        <v>1.31706129</v>
      </c>
      <c r="R41" s="20" t="n">
        <v>0.39867212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(20578.0/B46*100)</f>
        <v/>
      </c>
      <c r="D46" s="19" t="n">
        <v>2563</v>
      </c>
      <c r="E46" s="18" t="n">
        <v>28.21744307</v>
      </c>
      <c r="F46" s="20" t="n">
        <v>1.12834528</v>
      </c>
      <c r="G46" s="18" t="n">
        <v>64.60302584999999</v>
      </c>
      <c r="H46" s="20" t="n">
        <v>1.32346499</v>
      </c>
      <c r="I46" s="18" t="n">
        <v>0</v>
      </c>
      <c r="J46" s="20" t="n">
        <v>0</v>
      </c>
      <c r="K46" s="18" t="n">
        <v>0.35183722</v>
      </c>
      <c r="L46" s="20" t="n">
        <v>0.08597709000000001</v>
      </c>
      <c r="M46" s="18" t="n">
        <v>0.32497239</v>
      </c>
      <c r="N46" s="20" t="n">
        <v>0.13858521</v>
      </c>
      <c r="O46" s="18" t="n">
        <v>0</v>
      </c>
      <c r="P46" s="20" t="n">
        <v>0</v>
      </c>
      <c r="Q46" s="18" t="n">
        <v>6.50272148</v>
      </c>
      <c r="R46" s="20" t="n">
        <v>0.55346953</v>
      </c>
    </row>
    <row r="47" spans="1:18">
      <c r="A47" s="15" t="s">
        <v>470</v>
      </c>
      <c r="B47" s="17" t="n">
        <v>5928</v>
      </c>
      <c r="C47" s="18">
        <f>(5191.0/B47*100)</f>
        <v/>
      </c>
      <c r="D47" s="19" t="n">
        <v>737</v>
      </c>
      <c r="E47" s="18" t="n">
        <v>26.51133958</v>
      </c>
      <c r="F47" s="20" t="n">
        <v>1.56654464</v>
      </c>
      <c r="G47" s="18" t="n">
        <v>63.0612894</v>
      </c>
      <c r="H47" s="20" t="n">
        <v>1.93202513</v>
      </c>
      <c r="I47" s="18" t="n">
        <v>0</v>
      </c>
      <c r="J47" s="20" t="n">
        <v>0</v>
      </c>
      <c r="K47" s="18" t="n">
        <v>0.14050628</v>
      </c>
      <c r="L47" s="20" t="n">
        <v>0.14015944</v>
      </c>
      <c r="M47" s="18" t="n">
        <v>0</v>
      </c>
      <c r="N47" s="20" t="n">
        <v>0</v>
      </c>
      <c r="O47" s="18" t="n">
        <v>0</v>
      </c>
      <c r="P47" s="20" t="n">
        <v>0</v>
      </c>
      <c r="Q47" s="18" t="n">
        <v>10.28686474</v>
      </c>
      <c r="R47" s="20" t="n">
        <v>1.261595</v>
      </c>
    </row>
    <row r="48" spans="1:18">
      <c r="A48" s="15" t="s">
        <v>471</v>
      </c>
      <c r="B48" s="17" t="n">
        <v>9841</v>
      </c>
      <c r="C48" s="18">
        <f>(8644.0/B48*100)</f>
        <v/>
      </c>
      <c r="D48" s="19" t="n">
        <v>1197</v>
      </c>
      <c r="E48" s="18" t="n">
        <v>11.82709941</v>
      </c>
      <c r="F48" s="20" t="n">
        <v>1.30309045</v>
      </c>
      <c r="G48" s="18" t="n">
        <v>81.74311708</v>
      </c>
      <c r="H48" s="20" t="n">
        <v>1.77383547</v>
      </c>
      <c r="I48" s="18" t="n">
        <v>0</v>
      </c>
      <c r="J48" s="20" t="n">
        <v>0</v>
      </c>
      <c r="K48" s="18" t="n">
        <v>0.8117386599999999</v>
      </c>
      <c r="L48" s="20" t="n">
        <v>0.34589335</v>
      </c>
      <c r="M48" s="18" t="n">
        <v>0</v>
      </c>
      <c r="N48" s="20" t="n">
        <v>0</v>
      </c>
      <c r="O48" s="18" t="n">
        <v>0</v>
      </c>
      <c r="P48" s="20" t="n">
        <v>0</v>
      </c>
      <c r="Q48" s="18" t="n">
        <v>5.61804485</v>
      </c>
      <c r="R48" s="20" t="n">
        <v>1.04066371</v>
      </c>
    </row>
    <row r="49" spans="1:18">
      <c r="A49" s="15" t="s">
        <v>472</v>
      </c>
      <c r="B49" s="17" t="n">
        <v>11795</v>
      </c>
      <c r="C49" s="18">
        <f>(10349.0/B49*100)</f>
        <v/>
      </c>
      <c r="D49" s="19" t="n">
        <v>1446</v>
      </c>
      <c r="E49" s="18" t="n">
        <v>22.95728462</v>
      </c>
      <c r="F49" s="20" t="n">
        <v>1.83532733</v>
      </c>
      <c r="G49" s="18" t="n">
        <v>72.91678603</v>
      </c>
      <c r="H49" s="20" t="n">
        <v>2.02736628</v>
      </c>
      <c r="I49" s="18" t="n">
        <v>0</v>
      </c>
      <c r="J49" s="20" t="n">
        <v>0</v>
      </c>
      <c r="K49" s="18" t="n">
        <v>0.96343628</v>
      </c>
      <c r="L49" s="20" t="n">
        <v>0.33515278</v>
      </c>
      <c r="M49" s="18" t="n">
        <v>0.07520660999999999</v>
      </c>
      <c r="N49" s="20" t="n">
        <v>0.05043127</v>
      </c>
      <c r="O49" s="18" t="n">
        <v>0</v>
      </c>
      <c r="P49" s="20" t="n">
        <v>0</v>
      </c>
      <c r="Q49" s="18" t="n">
        <v>3.08728646</v>
      </c>
      <c r="R49" s="20" t="n">
        <v>0.7040654200000001</v>
      </c>
    </row>
    <row r="50" spans="1:18">
      <c r="A50" s="15" t="s">
        <v>473</v>
      </c>
      <c r="B50" s="17" t="n">
        <v>6866</v>
      </c>
      <c r="C50" s="18">
        <f>(5411.0/B50*100)</f>
        <v/>
      </c>
      <c r="D50" s="19" t="n">
        <v>1455</v>
      </c>
      <c r="E50" s="18" t="n">
        <v>20.43105078</v>
      </c>
      <c r="F50" s="20" t="n">
        <v>1.0745363</v>
      </c>
      <c r="G50" s="18" t="n">
        <v>76.71711238</v>
      </c>
      <c r="H50" s="20" t="n">
        <v>1.20323969</v>
      </c>
      <c r="I50" s="18" t="n">
        <v>0</v>
      </c>
      <c r="J50" s="20" t="n">
        <v>0</v>
      </c>
      <c r="K50" s="18" t="n">
        <v>0.15685217</v>
      </c>
      <c r="L50" s="20" t="n">
        <v>0.11425548</v>
      </c>
      <c r="M50" s="18" t="n">
        <v>0</v>
      </c>
      <c r="N50" s="20" t="n">
        <v>0</v>
      </c>
      <c r="O50" s="18" t="n">
        <v>0</v>
      </c>
      <c r="P50" s="20" t="n">
        <v>0</v>
      </c>
      <c r="Q50" s="18" t="n">
        <v>2.69498467</v>
      </c>
      <c r="R50" s="20" t="n">
        <v>0.39560913</v>
      </c>
    </row>
    <row r="51" spans="1:18">
      <c r="A51" s="15" t="s">
        <v>474</v>
      </c>
      <c r="B51" s="17" t="n">
        <v>5809</v>
      </c>
      <c r="C51" s="18">
        <f>(5103.0/B51*100)</f>
        <v/>
      </c>
      <c r="D51" s="19" t="n">
        <v>706</v>
      </c>
      <c r="E51" s="18" t="n">
        <v>24.35214086</v>
      </c>
      <c r="F51" s="20" t="n">
        <v>1.64697303</v>
      </c>
      <c r="G51" s="18" t="n">
        <v>70.29063130999999</v>
      </c>
      <c r="H51" s="20" t="n">
        <v>1.58171237</v>
      </c>
      <c r="I51" s="18" t="n">
        <v>0</v>
      </c>
      <c r="J51" s="20" t="n">
        <v>0</v>
      </c>
      <c r="K51" s="18" t="n">
        <v>0.17799156</v>
      </c>
      <c r="L51" s="20" t="n">
        <v>0.17944848</v>
      </c>
      <c r="M51" s="18" t="n">
        <v>0</v>
      </c>
      <c r="N51" s="20" t="n">
        <v>0</v>
      </c>
      <c r="O51" s="18" t="n">
        <v>0</v>
      </c>
      <c r="P51" s="20" t="n">
        <v>0</v>
      </c>
      <c r="Q51" s="18" t="n">
        <v>5.17923626</v>
      </c>
      <c r="R51" s="20" t="n">
        <v>0.77251106</v>
      </c>
    </row>
    <row r="52" spans="1:18">
      <c r="A52" s="15" t="s">
        <v>475</v>
      </c>
      <c r="B52" s="17" t="n">
        <v>5571</v>
      </c>
      <c r="C52" s="18">
        <f>(4905.0/B52*100)</f>
        <v/>
      </c>
      <c r="D52" s="19" t="n">
        <v>666</v>
      </c>
      <c r="E52" s="18" t="n">
        <v>20.46736786</v>
      </c>
      <c r="F52" s="20" t="n">
        <v>1.44596966</v>
      </c>
      <c r="G52" s="18" t="n">
        <v>72.44679044</v>
      </c>
      <c r="H52" s="20" t="n">
        <v>1.57442906</v>
      </c>
      <c r="I52" s="18" t="n">
        <v>0</v>
      </c>
      <c r="J52" s="20" t="n">
        <v>0</v>
      </c>
      <c r="K52" s="18" t="n">
        <v>0</v>
      </c>
      <c r="L52" s="20" t="n">
        <v>0</v>
      </c>
      <c r="M52" s="18" t="n">
        <v>0</v>
      </c>
      <c r="N52" s="20" t="n">
        <v>0</v>
      </c>
      <c r="O52" s="18" t="n">
        <v>0</v>
      </c>
      <c r="P52" s="20" t="n">
        <v>0</v>
      </c>
      <c r="Q52" s="18" t="n">
        <v>7.08584171</v>
      </c>
      <c r="R52" s="20" t="n">
        <v>1.04890557</v>
      </c>
    </row>
    <row r="53" spans="1:18">
      <c r="A53" s="15" t="s">
        <v>476</v>
      </c>
      <c r="B53" s="17" t="n">
        <v>4740</v>
      </c>
      <c r="C53" s="18">
        <f>(3969.0/B53*100)</f>
        <v/>
      </c>
      <c r="D53" s="19" t="n">
        <v>771</v>
      </c>
      <c r="E53" s="18" t="n">
        <v>26.94317989</v>
      </c>
      <c r="F53" s="20" t="n">
        <v>1.89885644</v>
      </c>
      <c r="G53" s="18" t="n">
        <v>57.79240568</v>
      </c>
      <c r="H53" s="20" t="n">
        <v>2.26813716</v>
      </c>
      <c r="I53" s="18" t="n">
        <v>0</v>
      </c>
      <c r="J53" s="20" t="n">
        <v>0</v>
      </c>
      <c r="K53" s="18" t="n">
        <v>7.4618327</v>
      </c>
      <c r="L53" s="20" t="n">
        <v>0.9739939399999999</v>
      </c>
      <c r="M53" s="18" t="n">
        <v>0.94538251</v>
      </c>
      <c r="N53" s="20" t="n">
        <v>0.7961486800000001</v>
      </c>
      <c r="O53" s="18" t="n">
        <v>0</v>
      </c>
      <c r="P53" s="20" t="n">
        <v>0</v>
      </c>
      <c r="Q53" s="18" t="n">
        <v>6.85719921</v>
      </c>
      <c r="R53" s="20" t="n">
        <v>0.94579278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(4701.0/B55*100)</f>
        <v/>
      </c>
      <c r="D55" s="19" t="n">
        <v>658</v>
      </c>
      <c r="E55" s="18" t="n">
        <v>9.73557574</v>
      </c>
      <c r="F55" s="20" t="n">
        <v>1.2417668</v>
      </c>
      <c r="G55" s="18" t="n">
        <v>87.97298455000001</v>
      </c>
      <c r="H55" s="20" t="n">
        <v>1.26897071</v>
      </c>
      <c r="I55" s="18" t="n">
        <v>0</v>
      </c>
      <c r="J55" s="20" t="n">
        <v>0</v>
      </c>
      <c r="K55" s="18" t="n">
        <v>0.19430145</v>
      </c>
      <c r="L55" s="20" t="n">
        <v>0.16479863</v>
      </c>
      <c r="M55" s="18" t="n">
        <v>0</v>
      </c>
      <c r="N55" s="20" t="n">
        <v>0</v>
      </c>
      <c r="O55" s="18" t="n">
        <v>0</v>
      </c>
      <c r="P55" s="20" t="n">
        <v>0</v>
      </c>
      <c r="Q55" s="18" t="n">
        <v>2.09713826</v>
      </c>
      <c r="R55" s="20" t="n">
        <v>0.3967692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(5731.0/B61*100)</f>
        <v/>
      </c>
      <c r="D61" s="19" t="n">
        <v>794</v>
      </c>
      <c r="E61" s="18" t="n">
        <v>20.809214</v>
      </c>
      <c r="F61" s="20" t="n">
        <v>1.55556828</v>
      </c>
      <c r="G61" s="18" t="n">
        <v>73.78474955</v>
      </c>
      <c r="H61" s="20" t="n">
        <v>1.79704691</v>
      </c>
      <c r="I61" s="18" t="n">
        <v>0</v>
      </c>
      <c r="J61" s="20" t="n">
        <v>0</v>
      </c>
      <c r="K61" s="18" t="n">
        <v>0</v>
      </c>
      <c r="L61" s="20" t="n">
        <v>0</v>
      </c>
      <c r="M61" s="18" t="n">
        <v>0</v>
      </c>
      <c r="N61" s="20" t="n">
        <v>0</v>
      </c>
      <c r="O61" s="18" t="n">
        <v>0</v>
      </c>
      <c r="P61" s="20" t="n">
        <v>0</v>
      </c>
      <c r="Q61" s="18" t="n">
        <v>5.40603645</v>
      </c>
      <c r="R61" s="20" t="n">
        <v>0.89866464</v>
      </c>
    </row>
    <row r="62" spans="1:18">
      <c r="A62" s="15" t="s">
        <v>486</v>
      </c>
      <c r="B62" s="17" t="n">
        <v>4476</v>
      </c>
      <c r="C62" s="18">
        <f>(3918.0/B62*100)</f>
        <v/>
      </c>
      <c r="D62" s="19" t="n">
        <v>558</v>
      </c>
      <c r="E62" s="18" t="n">
        <v>9.68828274</v>
      </c>
      <c r="F62" s="20" t="n">
        <v>1.35851002</v>
      </c>
      <c r="G62" s="18" t="n">
        <v>86.91452187</v>
      </c>
      <c r="H62" s="20" t="n">
        <v>1.48940864</v>
      </c>
      <c r="I62" s="18" t="n">
        <v>0</v>
      </c>
      <c r="J62" s="20" t="n">
        <v>0</v>
      </c>
      <c r="K62" s="18" t="n">
        <v>0</v>
      </c>
      <c r="L62" s="20" t="n">
        <v>0</v>
      </c>
      <c r="M62" s="18" t="n">
        <v>0.71350464</v>
      </c>
      <c r="N62" s="20" t="n">
        <v>0.35730394</v>
      </c>
      <c r="O62" s="18" t="n">
        <v>0</v>
      </c>
      <c r="P62" s="20" t="n">
        <v>0</v>
      </c>
      <c r="Q62" s="18" t="n">
        <v>2.68369074</v>
      </c>
      <c r="R62" s="20" t="n">
        <v>0.6114448099999999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(4969.0/B67*100)</f>
        <v/>
      </c>
      <c r="D67" s="19" t="n">
        <v>696</v>
      </c>
      <c r="E67" s="18" t="n">
        <v>21.04376473</v>
      </c>
      <c r="F67" s="20" t="n">
        <v>1.68193486</v>
      </c>
      <c r="G67" s="18" t="n">
        <v>64.06257893</v>
      </c>
      <c r="H67" s="20" t="n">
        <v>2.09294244</v>
      </c>
      <c r="I67" s="18" t="n">
        <v>0</v>
      </c>
      <c r="J67" s="20" t="n">
        <v>0</v>
      </c>
      <c r="K67" s="18" t="n">
        <v>1.1364892</v>
      </c>
      <c r="L67" s="20" t="n">
        <v>0.51180695</v>
      </c>
      <c r="M67" s="18" t="n">
        <v>1.25346748</v>
      </c>
      <c r="N67" s="20" t="n">
        <v>0.56737984</v>
      </c>
      <c r="O67" s="18" t="n">
        <v>0</v>
      </c>
      <c r="P67" s="20" t="n">
        <v>0</v>
      </c>
      <c r="Q67" s="18" t="n">
        <v>12.50369967</v>
      </c>
      <c r="R67" s="20" t="n">
        <v>1.42853232</v>
      </c>
    </row>
    <row r="68" spans="1:18">
      <c r="A68" s="15" t="s">
        <v>492</v>
      </c>
      <c r="B68" s="17" t="n">
        <v>6971</v>
      </c>
      <c r="C68" s="18">
        <f>(6158.0/B68*100)</f>
        <v/>
      </c>
      <c r="D68" s="19" t="n">
        <v>813</v>
      </c>
      <c r="E68" s="18" t="n">
        <v>31.63718471</v>
      </c>
      <c r="F68" s="20" t="n">
        <v>1.74801588</v>
      </c>
      <c r="G68" s="18" t="n">
        <v>63.44617479</v>
      </c>
      <c r="H68" s="20" t="n">
        <v>1.58558658</v>
      </c>
      <c r="I68" s="18" t="n">
        <v>0</v>
      </c>
      <c r="J68" s="20" t="n">
        <v>0</v>
      </c>
      <c r="K68" s="18" t="n">
        <v>0.12701066</v>
      </c>
      <c r="L68" s="20" t="n">
        <v>0.12690476</v>
      </c>
      <c r="M68" s="18" t="n">
        <v>0.13343993</v>
      </c>
      <c r="N68" s="20" t="n">
        <v>0.13342946</v>
      </c>
      <c r="O68" s="18" t="n">
        <v>0</v>
      </c>
      <c r="P68" s="20" t="n">
        <v>0</v>
      </c>
      <c r="Q68" s="18" t="n">
        <v>4.65618992</v>
      </c>
      <c r="R68" s="20" t="n">
        <v>0.72545654</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(10075.0/B70*100)</f>
        <v/>
      </c>
      <c r="D70" s="19" t="n">
        <v>2008</v>
      </c>
      <c r="E70" s="18" t="n">
        <v>21.35145198</v>
      </c>
      <c r="F70" s="20" t="n">
        <v>0.87022022</v>
      </c>
      <c r="G70" s="18" t="n">
        <v>70.61575615</v>
      </c>
      <c r="H70" s="20" t="n">
        <v>1.03123504</v>
      </c>
      <c r="I70" s="18" t="n">
        <v>0</v>
      </c>
      <c r="J70" s="20" t="n">
        <v>0</v>
      </c>
      <c r="K70" s="18" t="n">
        <v>1.05151809</v>
      </c>
      <c r="L70" s="20" t="n">
        <v>0.2393604</v>
      </c>
      <c r="M70" s="18" t="n">
        <v>0.0490275</v>
      </c>
      <c r="N70" s="20" t="n">
        <v>0.04903648</v>
      </c>
      <c r="O70" s="18" t="n">
        <v>0</v>
      </c>
      <c r="P70" s="20" t="n">
        <v>0</v>
      </c>
      <c r="Q70" s="18" t="n">
        <v>6.93224629</v>
      </c>
      <c r="R70" s="20" t="n">
        <v>0.6455735</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(5311.0/B72*100)</f>
        <v/>
      </c>
      <c r="D72" s="19" t="n">
        <v>725</v>
      </c>
      <c r="E72" s="18" t="n">
        <v>15.25367427</v>
      </c>
      <c r="F72" s="20" t="n">
        <v>1.37500803</v>
      </c>
      <c r="G72" s="18" t="n">
        <v>82.48509246</v>
      </c>
      <c r="H72" s="20" t="n">
        <v>1.5091294</v>
      </c>
      <c r="I72" s="18" t="n">
        <v>0</v>
      </c>
      <c r="J72" s="20" t="n">
        <v>0</v>
      </c>
      <c r="K72" s="18" t="n">
        <v>0.1081864</v>
      </c>
      <c r="L72" s="20" t="n">
        <v>0.1083724</v>
      </c>
      <c r="M72" s="18" t="n">
        <v>0.09287512000000001</v>
      </c>
      <c r="N72" s="20" t="n">
        <v>0.07657675999999999</v>
      </c>
      <c r="O72" s="18" t="n">
        <v>0</v>
      </c>
      <c r="P72" s="20" t="n">
        <v>0</v>
      </c>
      <c r="Q72" s="18" t="n">
        <v>2.06017176</v>
      </c>
      <c r="R72" s="20" t="n">
        <v>0.47679562</v>
      </c>
    </row>
    <row r="73" spans="1:18">
      <c r="A73" s="15" t="s">
        <v>497</v>
      </c>
      <c r="B73" s="17" t="n">
        <v>6115</v>
      </c>
      <c r="C73" s="18">
        <f>(5359.0/B73*100)</f>
        <v/>
      </c>
      <c r="D73" s="19" t="n">
        <v>756</v>
      </c>
      <c r="E73" s="18" t="n">
        <v>6.27725383</v>
      </c>
      <c r="F73" s="20" t="n">
        <v>0.70428826</v>
      </c>
      <c r="G73" s="18" t="n">
        <v>92.56543427</v>
      </c>
      <c r="H73" s="20" t="n">
        <v>0.79546997</v>
      </c>
      <c r="I73" s="18" t="n">
        <v>0</v>
      </c>
      <c r="J73" s="20" t="n">
        <v>0</v>
      </c>
      <c r="K73" s="18" t="n">
        <v>0.2596221</v>
      </c>
      <c r="L73" s="20" t="n">
        <v>0.18378258</v>
      </c>
      <c r="M73" s="18" t="n">
        <v>0</v>
      </c>
      <c r="N73" s="20" t="n">
        <v>0</v>
      </c>
      <c r="O73" s="18" t="n">
        <v>0</v>
      </c>
      <c r="P73" s="20" t="n">
        <v>0</v>
      </c>
      <c r="Q73" s="18" t="n">
        <v>0.8976898</v>
      </c>
      <c r="R73" s="20" t="n">
        <v>0.32589136</v>
      </c>
    </row>
    <row r="74" spans="1:18">
      <c r="A74" s="15" t="s">
        <v>498</v>
      </c>
      <c r="B74" s="17" t="n">
        <v>7708</v>
      </c>
      <c r="C74" s="18">
        <f>(6759.0/B74*100)</f>
        <v/>
      </c>
      <c r="D74" s="19" t="n">
        <v>949</v>
      </c>
      <c r="E74" s="18" t="n">
        <v>7.74362455</v>
      </c>
      <c r="F74" s="20" t="n">
        <v>0.92405707</v>
      </c>
      <c r="G74" s="18" t="n">
        <v>89.59691656</v>
      </c>
      <c r="H74" s="20" t="n">
        <v>1.00450146</v>
      </c>
      <c r="I74" s="18" t="n">
        <v>0</v>
      </c>
      <c r="J74" s="20" t="n">
        <v>0</v>
      </c>
      <c r="K74" s="18" t="n">
        <v>0.05613344</v>
      </c>
      <c r="L74" s="20" t="n">
        <v>0.04016231</v>
      </c>
      <c r="M74" s="18" t="n">
        <v>0</v>
      </c>
      <c r="N74" s="20" t="n">
        <v>0</v>
      </c>
      <c r="O74" s="18" t="n">
        <v>0</v>
      </c>
      <c r="P74" s="20" t="n">
        <v>0</v>
      </c>
      <c r="Q74" s="18" t="n">
        <v>2.60332545</v>
      </c>
      <c r="R74" s="20" t="n">
        <v>0.48585781</v>
      </c>
    </row>
    <row r="75" spans="1:18">
      <c r="A75" s="15" t="s">
        <v>499</v>
      </c>
      <c r="B75" s="17" t="n">
        <v>8249</v>
      </c>
      <c r="C75" s="18">
        <f>(7261.0/B75*100)</f>
        <v/>
      </c>
      <c r="D75" s="19" t="n">
        <v>988</v>
      </c>
      <c r="E75" s="18" t="n">
        <v>31.8323062</v>
      </c>
      <c r="F75" s="20" t="n">
        <v>1.72951469</v>
      </c>
      <c r="G75" s="18" t="n">
        <v>66.16646236</v>
      </c>
      <c r="H75" s="20" t="n">
        <v>1.74621455</v>
      </c>
      <c r="I75" s="18" t="n">
        <v>0</v>
      </c>
      <c r="J75" s="20" t="n">
        <v>0</v>
      </c>
      <c r="K75" s="18" t="n">
        <v>0</v>
      </c>
      <c r="L75" s="20" t="n">
        <v>0</v>
      </c>
      <c r="M75" s="18" t="n">
        <v>0.27050598</v>
      </c>
      <c r="N75" s="20" t="n">
        <v>0.24428294</v>
      </c>
      <c r="O75" s="18" t="n">
        <v>0</v>
      </c>
      <c r="P75" s="20" t="n">
        <v>0</v>
      </c>
      <c r="Q75" s="18" t="n">
        <v>1.73072547</v>
      </c>
      <c r="R75" s="20" t="n">
        <v>0.5109039399999999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(4751.0/B77*100)</f>
        <v/>
      </c>
      <c r="D77" s="19" t="n">
        <v>624</v>
      </c>
      <c r="E77" s="18" t="n">
        <v>43.77929826</v>
      </c>
      <c r="F77" s="20" t="n">
        <v>2.07657914</v>
      </c>
      <c r="G77" s="18" t="n">
        <v>42.32850303</v>
      </c>
      <c r="H77" s="20" t="n">
        <v>2.09008417</v>
      </c>
      <c r="I77" s="18" t="n">
        <v>0</v>
      </c>
      <c r="J77" s="20" t="n">
        <v>0</v>
      </c>
      <c r="K77" s="18" t="n">
        <v>1.24896047</v>
      </c>
      <c r="L77" s="20" t="n">
        <v>0.41608741</v>
      </c>
      <c r="M77" s="18" t="n">
        <v>0.67440382</v>
      </c>
      <c r="N77" s="20" t="n">
        <v>0.41166225</v>
      </c>
      <c r="O77" s="18" t="n">
        <v>0</v>
      </c>
      <c r="P77" s="20" t="n">
        <v>0</v>
      </c>
      <c r="Q77" s="18" t="n">
        <v>11.96883441</v>
      </c>
      <c r="R77" s="20" t="n">
        <v>1.62367641</v>
      </c>
    </row>
    <row r="78" spans="1:18">
      <c r="A78" s="15" t="s">
        <v>502</v>
      </c>
      <c r="B78" s="17" t="n">
        <v>14167</v>
      </c>
      <c r="C78" s="18">
        <f>(12405.0/B78*100)</f>
        <v/>
      </c>
      <c r="D78" s="19" t="n">
        <v>1762</v>
      </c>
      <c r="E78" s="18" t="n">
        <v>22.555276</v>
      </c>
      <c r="F78" s="20" t="n">
        <v>1.38827923</v>
      </c>
      <c r="G78" s="18" t="n">
        <v>73.09527195</v>
      </c>
      <c r="H78" s="20" t="n">
        <v>1.37925916</v>
      </c>
      <c r="I78" s="18" t="n">
        <v>0</v>
      </c>
      <c r="J78" s="20" t="n">
        <v>0</v>
      </c>
      <c r="K78" s="18" t="n">
        <v>0.54669749</v>
      </c>
      <c r="L78" s="20" t="n">
        <v>0.20973693</v>
      </c>
      <c r="M78" s="18" t="n">
        <v>0.12454023</v>
      </c>
      <c r="N78" s="20" t="n">
        <v>0.08964663</v>
      </c>
      <c r="O78" s="18" t="n">
        <v>0</v>
      </c>
      <c r="P78" s="20" t="n">
        <v>0</v>
      </c>
      <c r="Q78" s="18" t="n">
        <v>3.67821433</v>
      </c>
      <c r="R78" s="20" t="n">
        <v>0.57933192</v>
      </c>
    </row>
    <row r="79" spans="1:18">
      <c r="A79" s="15" t="s">
        <v>503</v>
      </c>
      <c r="B79" s="17" t="n">
        <v>6062</v>
      </c>
      <c r="C79" s="18">
        <f>(5337.0/B79*100)</f>
        <v/>
      </c>
      <c r="D79" s="19" t="n">
        <v>725</v>
      </c>
      <c r="E79" s="18" t="n">
        <v>18.73126706</v>
      </c>
      <c r="F79" s="20" t="n">
        <v>1.61309068</v>
      </c>
      <c r="G79" s="18" t="n">
        <v>73.80255298</v>
      </c>
      <c r="H79" s="20" t="n">
        <v>1.81922451</v>
      </c>
      <c r="I79" s="18" t="n">
        <v>0</v>
      </c>
      <c r="J79" s="20" t="n">
        <v>0</v>
      </c>
      <c r="K79" s="18" t="n">
        <v>0.46333384</v>
      </c>
      <c r="L79" s="20" t="n">
        <v>0.28005254</v>
      </c>
      <c r="M79" s="18" t="n">
        <v>0.26681442</v>
      </c>
      <c r="N79" s="20" t="n">
        <v>0.17131194</v>
      </c>
      <c r="O79" s="18" t="n">
        <v>0</v>
      </c>
      <c r="P79" s="20" t="n">
        <v>0</v>
      </c>
      <c r="Q79" s="18" t="n">
        <v>6.7360317</v>
      </c>
      <c r="R79" s="20" t="n">
        <v>0.99976338</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(28376.0/B82*100)</f>
        <v/>
      </c>
      <c r="D82" s="19" t="n">
        <v>3954</v>
      </c>
      <c r="E82" s="18" t="n">
        <v>20.85449952</v>
      </c>
      <c r="F82" s="20" t="n">
        <v>0.95296496</v>
      </c>
      <c r="G82" s="18" t="n">
        <v>75.86540697</v>
      </c>
      <c r="H82" s="20" t="n">
        <v>1.05995182</v>
      </c>
      <c r="I82" s="18" t="n">
        <v>0</v>
      </c>
      <c r="J82" s="20" t="n">
        <v>0</v>
      </c>
      <c r="K82" s="18" t="n">
        <v>0.09314063</v>
      </c>
      <c r="L82" s="20" t="n">
        <v>0.05861808</v>
      </c>
      <c r="M82" s="18" t="n">
        <v>0</v>
      </c>
      <c r="N82" s="20" t="n">
        <v>0</v>
      </c>
      <c r="O82" s="18" t="n">
        <v>0</v>
      </c>
      <c r="P82" s="20" t="n">
        <v>0</v>
      </c>
      <c r="Q82" s="18" t="n">
        <v>3.18695287</v>
      </c>
      <c r="R82" s="20" t="n">
        <v>0.4912543</v>
      </c>
    </row>
    <row r="83" spans="1:18">
      <c r="A83" s="15" t="s">
        <v>507</v>
      </c>
      <c r="B83" s="17" t="n">
        <v>1652</v>
      </c>
      <c r="C83" s="18">
        <f>(1428.0/B83*100)</f>
        <v/>
      </c>
      <c r="D83" s="19" t="n">
        <v>224</v>
      </c>
      <c r="E83" s="18" t="n">
        <v>15.3591304</v>
      </c>
      <c r="F83" s="20" t="n">
        <v>2.40260633</v>
      </c>
      <c r="G83" s="18" t="n">
        <v>84.36309888</v>
      </c>
      <c r="H83" s="20" t="n">
        <v>2.3647814</v>
      </c>
      <c r="I83" s="18" t="n">
        <v>0</v>
      </c>
      <c r="J83" s="20" t="n">
        <v>0</v>
      </c>
      <c r="K83" s="18" t="n">
        <v>0</v>
      </c>
      <c r="L83" s="20" t="n">
        <v>0</v>
      </c>
      <c r="M83" s="18" t="n">
        <v>0</v>
      </c>
      <c r="N83" s="20" t="n">
        <v>0</v>
      </c>
      <c r="O83" s="18" t="n">
        <v>0</v>
      </c>
      <c r="P83" s="20" t="n">
        <v>0</v>
      </c>
      <c r="Q83" s="18" t="n">
        <v>0.27777072</v>
      </c>
      <c r="R83" s="20" t="n">
        <v>0.29173475</v>
      </c>
    </row>
    <row r="84" spans="1:18">
      <c r="A84" s="23" t="s">
        <v>508</v>
      </c>
      <c r="B84" s="24" t="n">
        <v>1887</v>
      </c>
      <c r="C84" s="25">
        <f>(1611.0/B84*100)</f>
        <v/>
      </c>
      <c r="D84" s="19" t="n">
        <v>276</v>
      </c>
      <c r="E84" s="18" t="n">
        <v>21.48651175</v>
      </c>
      <c r="F84" s="20" t="n">
        <v>2.59174935</v>
      </c>
      <c r="G84" s="18" t="n">
        <v>76.95999198</v>
      </c>
      <c r="H84" s="20" t="n">
        <v>2.61640852</v>
      </c>
      <c r="I84" s="18" t="n">
        <v>0</v>
      </c>
      <c r="J84" s="20" t="n">
        <v>0</v>
      </c>
      <c r="K84" s="18" t="n">
        <v>0</v>
      </c>
      <c r="L84" s="20" t="n">
        <v>0</v>
      </c>
      <c r="M84" s="18" t="n">
        <v>0</v>
      </c>
      <c r="N84" s="20" t="n">
        <v>0</v>
      </c>
      <c r="O84" s="18" t="n">
        <v>0</v>
      </c>
      <c r="P84" s="20" t="n">
        <v>0</v>
      </c>
      <c r="Q84" s="18" t="n">
        <v>1.55349627</v>
      </c>
      <c r="R84" s="20" t="n">
        <v>0.7492349699999999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569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(12774.0/B7*100)</f>
        <v/>
      </c>
      <c r="D7" s="19" t="n">
        <v>1756</v>
      </c>
      <c r="E7" s="18" t="n">
        <v>48.99204331</v>
      </c>
      <c r="F7" s="20" t="n">
        <v>1.37340562</v>
      </c>
      <c r="G7" s="18" t="n">
        <v>43.7458936</v>
      </c>
      <c r="H7" s="20" t="n">
        <v>1.42545987</v>
      </c>
      <c r="I7" s="18" t="n">
        <v>0</v>
      </c>
      <c r="J7" s="20" t="n">
        <v>0</v>
      </c>
      <c r="K7" s="18" t="n">
        <v>0.18256603</v>
      </c>
      <c r="L7" s="20" t="n">
        <v>0.10398304</v>
      </c>
      <c r="M7" s="18" t="n">
        <v>0.03908068</v>
      </c>
      <c r="N7" s="20" t="n">
        <v>0.01948075</v>
      </c>
      <c r="O7" s="18" t="n">
        <v>0</v>
      </c>
      <c r="P7" s="20" t="n">
        <v>0</v>
      </c>
      <c r="Q7" s="18" t="n">
        <v>7.04041637</v>
      </c>
      <c r="R7" s="20" t="n">
        <v>0.63982197</v>
      </c>
    </row>
    <row r="8" spans="1:18">
      <c r="A8" s="15" t="s">
        <v>430</v>
      </c>
      <c r="B8" s="17" t="n">
        <v>7007</v>
      </c>
      <c r="C8" s="18">
        <f>(6103.0/B8*100)</f>
        <v/>
      </c>
      <c r="D8" s="19" t="n">
        <v>904</v>
      </c>
      <c r="E8" s="18" t="n">
        <v>47.207064</v>
      </c>
      <c r="F8" s="20" t="n">
        <v>1.82313505</v>
      </c>
      <c r="G8" s="18" t="n">
        <v>39.51388383</v>
      </c>
      <c r="H8" s="20" t="n">
        <v>1.74367535</v>
      </c>
      <c r="I8" s="18" t="n">
        <v>0</v>
      </c>
      <c r="J8" s="20" t="n">
        <v>0</v>
      </c>
      <c r="K8" s="18" t="n">
        <v>0</v>
      </c>
      <c r="L8" s="20" t="n">
        <v>0</v>
      </c>
      <c r="M8" s="18" t="n">
        <v>0</v>
      </c>
      <c r="N8" s="20" t="n">
        <v>0</v>
      </c>
      <c r="O8" s="18" t="n">
        <v>0</v>
      </c>
      <c r="P8" s="20" t="n">
        <v>0</v>
      </c>
      <c r="Q8" s="18" t="n">
        <v>13.27905217</v>
      </c>
      <c r="R8" s="20" t="n">
        <v>1.29521918</v>
      </c>
    </row>
    <row r="9" spans="1:18">
      <c r="A9" s="15" t="s">
        <v>431</v>
      </c>
      <c r="B9" s="17" t="n">
        <v>9651</v>
      </c>
      <c r="C9" s="18">
        <f>(8504.0/B9*100)</f>
        <v/>
      </c>
      <c r="D9" s="19" t="n">
        <v>1147</v>
      </c>
      <c r="E9" s="18" t="n">
        <v>40.47276738</v>
      </c>
      <c r="F9" s="20" t="n">
        <v>1.47207533</v>
      </c>
      <c r="G9" s="18" t="n">
        <v>52.21520313</v>
      </c>
      <c r="H9" s="20" t="n">
        <v>1.50333102</v>
      </c>
      <c r="I9" s="18" t="n">
        <v>0</v>
      </c>
      <c r="J9" s="20" t="n">
        <v>0</v>
      </c>
      <c r="K9" s="18" t="n">
        <v>0</v>
      </c>
      <c r="L9" s="20" t="n">
        <v>0</v>
      </c>
      <c r="M9" s="18" t="n">
        <v>0.26542198</v>
      </c>
      <c r="N9" s="20" t="n">
        <v>0.08904984000000001</v>
      </c>
      <c r="O9" s="18" t="n">
        <v>0</v>
      </c>
      <c r="P9" s="20" t="n">
        <v>0</v>
      </c>
      <c r="Q9" s="18" t="n">
        <v>7.04660751</v>
      </c>
      <c r="R9" s="20" t="n">
        <v>0.85673181</v>
      </c>
    </row>
    <row r="10" spans="1:18">
      <c r="A10" s="15" t="s">
        <v>432</v>
      </c>
      <c r="B10" s="17" t="n">
        <v>20058</v>
      </c>
      <c r="C10" s="18">
        <f>(17574.0/B10*100)</f>
        <v/>
      </c>
      <c r="D10" s="19" t="n">
        <v>2484</v>
      </c>
      <c r="E10" s="18" t="n">
        <v>43.35998245</v>
      </c>
      <c r="F10" s="20" t="n">
        <v>1.48334178</v>
      </c>
      <c r="G10" s="18" t="n">
        <v>51.67013737</v>
      </c>
      <c r="H10" s="20" t="n">
        <v>1.48223172</v>
      </c>
      <c r="I10" s="18" t="n">
        <v>0</v>
      </c>
      <c r="J10" s="20" t="n">
        <v>0</v>
      </c>
      <c r="K10" s="18" t="n">
        <v>0.25217904</v>
      </c>
      <c r="L10" s="20" t="n">
        <v>0.15961142</v>
      </c>
      <c r="M10" s="18" t="n">
        <v>0</v>
      </c>
      <c r="N10" s="20" t="n">
        <v>0</v>
      </c>
      <c r="O10" s="18" t="n">
        <v>0</v>
      </c>
      <c r="P10" s="20" t="n">
        <v>0</v>
      </c>
      <c r="Q10" s="18" t="n">
        <v>4.71770114</v>
      </c>
      <c r="R10" s="20" t="n">
        <v>0.51602274</v>
      </c>
    </row>
    <row r="11" spans="1:18">
      <c r="A11" s="15" t="s">
        <v>433</v>
      </c>
      <c r="B11" s="17" t="n">
        <v>7053</v>
      </c>
      <c r="C11" s="18">
        <f>(6207.0/B11*100)</f>
        <v/>
      </c>
      <c r="D11" s="19" t="n">
        <v>846</v>
      </c>
      <c r="E11" s="18" t="n">
        <v>46.19962021</v>
      </c>
      <c r="F11" s="20" t="n">
        <v>1.9634386</v>
      </c>
      <c r="G11" s="18" t="n">
        <v>30.54785158</v>
      </c>
      <c r="H11" s="20" t="n">
        <v>1.69177012</v>
      </c>
      <c r="I11" s="18" t="n">
        <v>0</v>
      </c>
      <c r="J11" s="20" t="n">
        <v>0</v>
      </c>
      <c r="K11" s="18" t="n">
        <v>0.23292313</v>
      </c>
      <c r="L11" s="20" t="n">
        <v>0.20275734</v>
      </c>
      <c r="M11" s="18" t="n">
        <v>0</v>
      </c>
      <c r="N11" s="20" t="n">
        <v>0</v>
      </c>
      <c r="O11" s="18" t="n">
        <v>0</v>
      </c>
      <c r="P11" s="20" t="n">
        <v>0</v>
      </c>
      <c r="Q11" s="18" t="n">
        <v>23.01960508</v>
      </c>
      <c r="R11" s="20" t="n">
        <v>1.88400406</v>
      </c>
    </row>
    <row r="12" spans="1:18">
      <c r="A12" s="15" t="s">
        <v>434</v>
      </c>
      <c r="B12" s="17" t="n">
        <v>6894</v>
      </c>
      <c r="C12" s="18">
        <f>(6068.0/B12*100)</f>
        <v/>
      </c>
      <c r="D12" s="19" t="n">
        <v>826</v>
      </c>
      <c r="E12" s="18" t="n">
        <v>57.7613264</v>
      </c>
      <c r="F12" s="20" t="n">
        <v>2.17754</v>
      </c>
      <c r="G12" s="18" t="n">
        <v>33.07265837</v>
      </c>
      <c r="H12" s="20" t="n">
        <v>2.15047476</v>
      </c>
      <c r="I12" s="18" t="n">
        <v>0</v>
      </c>
      <c r="J12" s="20" t="n">
        <v>0</v>
      </c>
      <c r="K12" s="18" t="n">
        <v>0</v>
      </c>
      <c r="L12" s="20" t="n">
        <v>0</v>
      </c>
      <c r="M12" s="18" t="n">
        <v>0.09221546</v>
      </c>
      <c r="N12" s="20" t="n">
        <v>0.08949356999999999</v>
      </c>
      <c r="O12" s="18" t="n">
        <v>0</v>
      </c>
      <c r="P12" s="20" t="n">
        <v>0</v>
      </c>
      <c r="Q12" s="18" t="n">
        <v>9.07379976</v>
      </c>
      <c r="R12" s="20" t="n">
        <v>1.08278634</v>
      </c>
    </row>
    <row r="13" spans="1:18">
      <c r="A13" s="15" t="s">
        <v>435</v>
      </c>
      <c r="B13" s="17" t="n">
        <v>7161</v>
      </c>
      <c r="C13" s="18">
        <f>(6324.0/B13*100)</f>
        <v/>
      </c>
      <c r="D13" s="19" t="n">
        <v>837</v>
      </c>
      <c r="E13" s="18" t="n">
        <v>40.9495799</v>
      </c>
      <c r="F13" s="20" t="n">
        <v>1.93134821</v>
      </c>
      <c r="G13" s="18" t="n">
        <v>52.28061178</v>
      </c>
      <c r="H13" s="20" t="n">
        <v>1.87545306</v>
      </c>
      <c r="I13" s="18" t="n">
        <v>0</v>
      </c>
      <c r="J13" s="20" t="n">
        <v>0</v>
      </c>
      <c r="K13" s="18" t="n">
        <v>0.42832883</v>
      </c>
      <c r="L13" s="20" t="n">
        <v>0.33524335</v>
      </c>
      <c r="M13" s="18" t="n">
        <v>0</v>
      </c>
      <c r="N13" s="20" t="n">
        <v>0</v>
      </c>
      <c r="O13" s="18" t="n">
        <v>0</v>
      </c>
      <c r="P13" s="20" t="n">
        <v>0</v>
      </c>
      <c r="Q13" s="18" t="n">
        <v>6.34147949</v>
      </c>
      <c r="R13" s="20" t="n">
        <v>0.90018022</v>
      </c>
    </row>
    <row r="14" spans="1:18">
      <c r="A14" s="15" t="s">
        <v>436</v>
      </c>
      <c r="B14" s="17" t="n">
        <v>5587</v>
      </c>
      <c r="C14" s="18">
        <f>(4900.0/B14*100)</f>
        <v/>
      </c>
      <c r="D14" s="19" t="n">
        <v>687</v>
      </c>
      <c r="E14" s="18" t="n">
        <v>37.1734534</v>
      </c>
      <c r="F14" s="20" t="n">
        <v>1.85992614</v>
      </c>
      <c r="G14" s="18" t="n">
        <v>57.7949056</v>
      </c>
      <c r="H14" s="20" t="n">
        <v>2.10640289</v>
      </c>
      <c r="I14" s="18" t="n">
        <v>0</v>
      </c>
      <c r="J14" s="20" t="n">
        <v>0</v>
      </c>
      <c r="K14" s="18" t="n">
        <v>0</v>
      </c>
      <c r="L14" s="20" t="n">
        <v>0</v>
      </c>
      <c r="M14" s="18" t="n">
        <v>0</v>
      </c>
      <c r="N14" s="20" t="n">
        <v>0</v>
      </c>
      <c r="O14" s="18" t="n">
        <v>0</v>
      </c>
      <c r="P14" s="20" t="n">
        <v>0</v>
      </c>
      <c r="Q14" s="18" t="n">
        <v>5.031641</v>
      </c>
      <c r="R14" s="20" t="n">
        <v>0.97488607</v>
      </c>
    </row>
    <row r="15" spans="1:18">
      <c r="A15" s="15" t="s">
        <v>437</v>
      </c>
      <c r="B15" s="17" t="n">
        <v>5882</v>
      </c>
      <c r="C15" s="18">
        <f>(5174.0/B15*100)</f>
        <v/>
      </c>
      <c r="D15" s="19" t="n">
        <v>708</v>
      </c>
      <c r="E15" s="18" t="n">
        <v>32.81846562</v>
      </c>
      <c r="F15" s="20" t="n">
        <v>1.59677965</v>
      </c>
      <c r="G15" s="18" t="n">
        <v>59.60778352</v>
      </c>
      <c r="H15" s="20" t="n">
        <v>1.79489051</v>
      </c>
      <c r="I15" s="18" t="n">
        <v>0</v>
      </c>
      <c r="J15" s="20" t="n">
        <v>0</v>
      </c>
      <c r="K15" s="18" t="n">
        <v>0.13163318</v>
      </c>
      <c r="L15" s="20" t="n">
        <v>0.13226258</v>
      </c>
      <c r="M15" s="18" t="n">
        <v>0</v>
      </c>
      <c r="N15" s="20" t="n">
        <v>0</v>
      </c>
      <c r="O15" s="18" t="n">
        <v>0</v>
      </c>
      <c r="P15" s="20" t="n">
        <v>0</v>
      </c>
      <c r="Q15" s="18" t="n">
        <v>7.44211768</v>
      </c>
      <c r="R15" s="20" t="n">
        <v>1.10786837</v>
      </c>
    </row>
    <row r="16" spans="1:18">
      <c r="A16" s="15" t="s">
        <v>438</v>
      </c>
      <c r="B16" s="17" t="n">
        <v>6108</v>
      </c>
      <c r="C16" s="18">
        <f>(5377.0/B16*100)</f>
        <v/>
      </c>
      <c r="D16" s="19" t="n">
        <v>731</v>
      </c>
      <c r="E16" s="18" t="n">
        <v>40.5013085</v>
      </c>
      <c r="F16" s="20" t="n">
        <v>1.57700669</v>
      </c>
      <c r="G16" s="18" t="n">
        <v>49.12448557</v>
      </c>
      <c r="H16" s="20" t="n">
        <v>1.51873383</v>
      </c>
      <c r="I16" s="18" t="n">
        <v>0</v>
      </c>
      <c r="J16" s="20" t="n">
        <v>0</v>
      </c>
      <c r="K16" s="18" t="n">
        <v>0.7680822</v>
      </c>
      <c r="L16" s="20" t="n">
        <v>0.37370015</v>
      </c>
      <c r="M16" s="18" t="n">
        <v>0</v>
      </c>
      <c r="N16" s="20" t="n">
        <v>0</v>
      </c>
      <c r="O16" s="18" t="n">
        <v>0</v>
      </c>
      <c r="P16" s="20" t="n">
        <v>0</v>
      </c>
      <c r="Q16" s="18" t="n">
        <v>9.606123739999999</v>
      </c>
      <c r="R16" s="20" t="n">
        <v>1.13199307</v>
      </c>
    </row>
    <row r="17" spans="1:18">
      <c r="A17" s="15" t="s">
        <v>439</v>
      </c>
      <c r="B17" s="17" t="n">
        <v>6504</v>
      </c>
      <c r="C17" s="18">
        <f>(5738.0/B17*100)</f>
        <v/>
      </c>
      <c r="D17" s="19" t="n">
        <v>766</v>
      </c>
      <c r="E17" s="18" t="n">
        <v>29.26832299</v>
      </c>
      <c r="F17" s="20" t="n">
        <v>1.77672672</v>
      </c>
      <c r="G17" s="18" t="n">
        <v>61.21408368</v>
      </c>
      <c r="H17" s="20" t="n">
        <v>1.95232444</v>
      </c>
      <c r="I17" s="18" t="n">
        <v>0</v>
      </c>
      <c r="J17" s="20" t="n">
        <v>0</v>
      </c>
      <c r="K17" s="18" t="n">
        <v>0.15486506</v>
      </c>
      <c r="L17" s="20" t="n">
        <v>0.15496132</v>
      </c>
      <c r="M17" s="18" t="n">
        <v>0</v>
      </c>
      <c r="N17" s="20" t="n">
        <v>0</v>
      </c>
      <c r="O17" s="18" t="n">
        <v>0</v>
      </c>
      <c r="P17" s="20" t="n">
        <v>0</v>
      </c>
      <c r="Q17" s="18" t="n">
        <v>9.36272827</v>
      </c>
      <c r="R17" s="20" t="n">
        <v>1.08616577</v>
      </c>
    </row>
    <row r="18" spans="1:18">
      <c r="A18" s="15" t="s">
        <v>440</v>
      </c>
      <c r="B18" s="17" t="n">
        <v>5532</v>
      </c>
      <c r="C18" s="18">
        <f>(4853.0/B18*100)</f>
        <v/>
      </c>
      <c r="D18" s="19" t="n">
        <v>679</v>
      </c>
      <c r="E18" s="18" t="n">
        <v>63.45519339</v>
      </c>
      <c r="F18" s="20" t="n">
        <v>2.02975321</v>
      </c>
      <c r="G18" s="18" t="n">
        <v>19.89029664</v>
      </c>
      <c r="H18" s="20" t="n">
        <v>1.8827447</v>
      </c>
      <c r="I18" s="18" t="n">
        <v>0</v>
      </c>
      <c r="J18" s="20" t="n">
        <v>0</v>
      </c>
      <c r="K18" s="18" t="n">
        <v>0.35223066</v>
      </c>
      <c r="L18" s="20" t="n">
        <v>0.28230662</v>
      </c>
      <c r="M18" s="18" t="n">
        <v>0.53801212</v>
      </c>
      <c r="N18" s="20" t="n">
        <v>0.02982441</v>
      </c>
      <c r="O18" s="18" t="n">
        <v>0</v>
      </c>
      <c r="P18" s="20" t="n">
        <v>0</v>
      </c>
      <c r="Q18" s="18" t="n">
        <v>15.7642672</v>
      </c>
      <c r="R18" s="20" t="n">
        <v>1.53837784</v>
      </c>
    </row>
    <row r="19" spans="1:18">
      <c r="A19" s="15" t="s">
        <v>441</v>
      </c>
      <c r="B19" s="17" t="n">
        <v>5658</v>
      </c>
      <c r="C19" s="18">
        <f>(4957.0/B19*100)</f>
        <v/>
      </c>
      <c r="D19" s="19" t="n">
        <v>701</v>
      </c>
      <c r="E19" s="18" t="n">
        <v>58.00583152</v>
      </c>
      <c r="F19" s="20" t="n">
        <v>2.04690758</v>
      </c>
      <c r="G19" s="18" t="n">
        <v>32.57114259</v>
      </c>
      <c r="H19" s="20" t="n">
        <v>1.80891949</v>
      </c>
      <c r="I19" s="18" t="n">
        <v>0</v>
      </c>
      <c r="J19" s="20" t="n">
        <v>0</v>
      </c>
      <c r="K19" s="18" t="n">
        <v>0</v>
      </c>
      <c r="L19" s="20" t="n">
        <v>0</v>
      </c>
      <c r="M19" s="18" t="n">
        <v>0</v>
      </c>
      <c r="N19" s="20" t="n">
        <v>0</v>
      </c>
      <c r="O19" s="18" t="n">
        <v>0</v>
      </c>
      <c r="P19" s="20" t="n">
        <v>0</v>
      </c>
      <c r="Q19" s="18" t="n">
        <v>9.423025880000001</v>
      </c>
      <c r="R19" s="20" t="n">
        <v>1.38379222</v>
      </c>
    </row>
    <row r="20" spans="1:18">
      <c r="A20" s="15" t="s">
        <v>442</v>
      </c>
      <c r="B20" s="17" t="n">
        <v>3371</v>
      </c>
      <c r="C20" s="18">
        <f>(2963.0/B20*100)</f>
        <v/>
      </c>
      <c r="D20" s="19" t="n">
        <v>408</v>
      </c>
      <c r="E20" s="18" t="n">
        <v>52.19129414</v>
      </c>
      <c r="F20" s="20" t="n">
        <v>2.55574474</v>
      </c>
      <c r="G20" s="18" t="n">
        <v>37.59071815</v>
      </c>
      <c r="H20" s="20" t="n">
        <v>2.63782577</v>
      </c>
      <c r="I20" s="18" t="n">
        <v>0</v>
      </c>
      <c r="J20" s="20" t="n">
        <v>0</v>
      </c>
      <c r="K20" s="18" t="n">
        <v>0.51888946</v>
      </c>
      <c r="L20" s="20" t="n">
        <v>0.35558345</v>
      </c>
      <c r="M20" s="18" t="n">
        <v>0.37990849</v>
      </c>
      <c r="N20" s="20" t="n">
        <v>0.27447581</v>
      </c>
      <c r="O20" s="18" t="n">
        <v>0</v>
      </c>
      <c r="P20" s="20" t="n">
        <v>0</v>
      </c>
      <c r="Q20" s="18" t="n">
        <v>9.31918975</v>
      </c>
      <c r="R20" s="20" t="n">
        <v>1.4204535</v>
      </c>
    </row>
    <row r="21" spans="1:18">
      <c r="A21" s="15" t="s">
        <v>443</v>
      </c>
      <c r="B21" s="17" t="n">
        <v>5741</v>
      </c>
      <c r="C21" s="18">
        <f>(4782.0/B21*100)</f>
        <v/>
      </c>
      <c r="D21" s="19" t="n">
        <v>959</v>
      </c>
      <c r="E21" s="18" t="n">
        <v>55.97327916</v>
      </c>
      <c r="F21" s="20" t="n">
        <v>1.9119588</v>
      </c>
      <c r="G21" s="18" t="n">
        <v>40.33991</v>
      </c>
      <c r="H21" s="20" t="n">
        <v>1.84872041</v>
      </c>
      <c r="I21" s="18" t="n">
        <v>0</v>
      </c>
      <c r="J21" s="20" t="n">
        <v>0</v>
      </c>
      <c r="K21" s="18" t="n">
        <v>0</v>
      </c>
      <c r="L21" s="20" t="n">
        <v>0</v>
      </c>
      <c r="M21" s="18" t="n">
        <v>0</v>
      </c>
      <c r="N21" s="20" t="n">
        <v>0</v>
      </c>
      <c r="O21" s="18" t="n">
        <v>0</v>
      </c>
      <c r="P21" s="20" t="n">
        <v>0</v>
      </c>
      <c r="Q21" s="18" t="n">
        <v>3.68681084</v>
      </c>
      <c r="R21" s="20" t="n">
        <v>0.65452446</v>
      </c>
    </row>
    <row r="22" spans="1:18">
      <c r="A22" s="15" t="s">
        <v>444</v>
      </c>
      <c r="B22" s="17" t="n">
        <v>6598</v>
      </c>
      <c r="C22" s="18">
        <f>(5768.0/B22*100)</f>
        <v/>
      </c>
      <c r="D22" s="19" t="n">
        <v>830</v>
      </c>
      <c r="E22" s="18" t="n">
        <v>34.8409672</v>
      </c>
      <c r="F22" s="20" t="n">
        <v>1.88522422</v>
      </c>
      <c r="G22" s="18" t="n">
        <v>51.55951504</v>
      </c>
      <c r="H22" s="20" t="n">
        <v>2.05613253</v>
      </c>
      <c r="I22" s="18" t="n">
        <v>0</v>
      </c>
      <c r="J22" s="20" t="n">
        <v>0</v>
      </c>
      <c r="K22" s="18" t="n">
        <v>0.31741435</v>
      </c>
      <c r="L22" s="20" t="n">
        <v>0.23442813</v>
      </c>
      <c r="M22" s="18" t="n">
        <v>0</v>
      </c>
      <c r="N22" s="20" t="n">
        <v>0</v>
      </c>
      <c r="O22" s="18" t="n">
        <v>0</v>
      </c>
      <c r="P22" s="20" t="n">
        <v>0</v>
      </c>
      <c r="Q22" s="18" t="n">
        <v>13.28210342</v>
      </c>
      <c r="R22" s="20" t="n">
        <v>1.07088111</v>
      </c>
    </row>
    <row r="23" spans="1:18">
      <c r="A23" s="15" t="s">
        <v>445</v>
      </c>
      <c r="B23" s="17" t="n">
        <v>11583</v>
      </c>
      <c r="C23" s="18">
        <f>(10130.0/B23*100)</f>
        <v/>
      </c>
      <c r="D23" s="19" t="n">
        <v>1453</v>
      </c>
      <c r="E23" s="18" t="n">
        <v>40.70689747</v>
      </c>
      <c r="F23" s="20" t="n">
        <v>1.84520164</v>
      </c>
      <c r="G23" s="18" t="n">
        <v>48.34983862</v>
      </c>
      <c r="H23" s="20" t="n">
        <v>2.05085947</v>
      </c>
      <c r="I23" s="18" t="n">
        <v>0</v>
      </c>
      <c r="J23" s="20" t="n">
        <v>0</v>
      </c>
      <c r="K23" s="18" t="n">
        <v>0.3919559</v>
      </c>
      <c r="L23" s="20" t="n">
        <v>0.27566723</v>
      </c>
      <c r="M23" s="18" t="n">
        <v>0.33465013</v>
      </c>
      <c r="N23" s="20" t="n">
        <v>0.17983165</v>
      </c>
      <c r="O23" s="18" t="n">
        <v>0</v>
      </c>
      <c r="P23" s="20" t="n">
        <v>0</v>
      </c>
      <c r="Q23" s="18" t="n">
        <v>10.21665787</v>
      </c>
      <c r="R23" s="20" t="n">
        <v>1.32098385</v>
      </c>
    </row>
    <row r="24" spans="1:18">
      <c r="A24" s="15" t="s">
        <v>446</v>
      </c>
      <c r="B24" s="17" t="n">
        <v>6647</v>
      </c>
      <c r="C24" s="18">
        <f>(5881.0/B24*100)</f>
        <v/>
      </c>
      <c r="D24" s="19" t="n">
        <v>766</v>
      </c>
      <c r="E24" s="18" t="n">
        <v>31.74253896</v>
      </c>
      <c r="F24" s="20" t="n">
        <v>1.71745531</v>
      </c>
      <c r="G24" s="18" t="n">
        <v>64.09183613</v>
      </c>
      <c r="H24" s="20" t="n">
        <v>1.7431776</v>
      </c>
      <c r="I24" s="18" t="n">
        <v>0</v>
      </c>
      <c r="J24" s="20" t="n">
        <v>0</v>
      </c>
      <c r="K24" s="18" t="n">
        <v>0.11810241</v>
      </c>
      <c r="L24" s="20" t="n">
        <v>0.11853533</v>
      </c>
      <c r="M24" s="18" t="n">
        <v>0</v>
      </c>
      <c r="N24" s="20" t="n">
        <v>0</v>
      </c>
      <c r="O24" s="18" t="n">
        <v>0</v>
      </c>
      <c r="P24" s="20" t="n">
        <v>0</v>
      </c>
      <c r="Q24" s="18" t="n">
        <v>4.0475225</v>
      </c>
      <c r="R24" s="20" t="n">
        <v>0.62293663</v>
      </c>
    </row>
    <row r="25" spans="1:18">
      <c r="A25" s="15" t="s">
        <v>447</v>
      </c>
      <c r="B25" s="17" t="n">
        <v>5581</v>
      </c>
      <c r="C25" s="18">
        <f>(4891.0/B25*100)</f>
        <v/>
      </c>
      <c r="D25" s="19" t="n">
        <v>690</v>
      </c>
      <c r="E25" s="18" t="n">
        <v>54.42715616</v>
      </c>
      <c r="F25" s="20" t="n">
        <v>1.78368188</v>
      </c>
      <c r="G25" s="18" t="n">
        <v>42.0899954</v>
      </c>
      <c r="H25" s="20" t="n">
        <v>1.95830483</v>
      </c>
      <c r="I25" s="18" t="n">
        <v>0</v>
      </c>
      <c r="J25" s="20" t="n">
        <v>0</v>
      </c>
      <c r="K25" s="18" t="n">
        <v>0.69150238</v>
      </c>
      <c r="L25" s="20" t="n">
        <v>0.3177594</v>
      </c>
      <c r="M25" s="18" t="n">
        <v>0</v>
      </c>
      <c r="N25" s="20" t="n">
        <v>0</v>
      </c>
      <c r="O25" s="18" t="n">
        <v>0</v>
      </c>
      <c r="P25" s="20" t="n">
        <v>0</v>
      </c>
      <c r="Q25" s="18" t="n">
        <v>2.79134605</v>
      </c>
      <c r="R25" s="20" t="n">
        <v>0.58003117</v>
      </c>
    </row>
    <row r="26" spans="1:18">
      <c r="A26" s="15" t="s">
        <v>448</v>
      </c>
      <c r="B26" s="17" t="n">
        <v>4869</v>
      </c>
      <c r="C26" s="18">
        <f>(4269.0/B26*100)</f>
        <v/>
      </c>
      <c r="D26" s="19" t="n">
        <v>600</v>
      </c>
      <c r="E26" s="18" t="n">
        <v>38.60280565</v>
      </c>
      <c r="F26" s="20" t="n">
        <v>2.24841075</v>
      </c>
      <c r="G26" s="18" t="n">
        <v>57.12377208</v>
      </c>
      <c r="H26" s="20" t="n">
        <v>2.1409805</v>
      </c>
      <c r="I26" s="18" t="n">
        <v>0</v>
      </c>
      <c r="J26" s="20" t="n">
        <v>0</v>
      </c>
      <c r="K26" s="18" t="n">
        <v>0.15532569</v>
      </c>
      <c r="L26" s="20" t="n">
        <v>0.15368104</v>
      </c>
      <c r="M26" s="18" t="n">
        <v>0.1152882</v>
      </c>
      <c r="N26" s="20" t="n">
        <v>0.11554269</v>
      </c>
      <c r="O26" s="18" t="n">
        <v>0</v>
      </c>
      <c r="P26" s="20" t="n">
        <v>0</v>
      </c>
      <c r="Q26" s="18" t="n">
        <v>4.00280838</v>
      </c>
      <c r="R26" s="20" t="n">
        <v>0.83456687</v>
      </c>
    </row>
    <row r="27" spans="1:18">
      <c r="A27" s="15" t="s">
        <v>449</v>
      </c>
      <c r="B27" s="17" t="n">
        <v>5299</v>
      </c>
      <c r="C27" s="18">
        <f>(4640.0/B27*100)</f>
        <v/>
      </c>
      <c r="D27" s="19" t="n">
        <v>659</v>
      </c>
      <c r="E27" s="18" t="n">
        <v>46.49927043</v>
      </c>
      <c r="F27" s="20" t="n">
        <v>1.85925875</v>
      </c>
      <c r="G27" s="18" t="n">
        <v>41.09955291</v>
      </c>
      <c r="H27" s="20" t="n">
        <v>1.97958793</v>
      </c>
      <c r="I27" s="18" t="n">
        <v>0</v>
      </c>
      <c r="J27" s="20" t="n">
        <v>0</v>
      </c>
      <c r="K27" s="18" t="n">
        <v>0.16594701</v>
      </c>
      <c r="L27" s="20" t="n">
        <v>0.15968898</v>
      </c>
      <c r="M27" s="18" t="n">
        <v>0</v>
      </c>
      <c r="N27" s="20" t="n">
        <v>0</v>
      </c>
      <c r="O27" s="18" t="n">
        <v>0</v>
      </c>
      <c r="P27" s="20" t="n">
        <v>0</v>
      </c>
      <c r="Q27" s="18" t="n">
        <v>12.23522964</v>
      </c>
      <c r="R27" s="20" t="n">
        <v>1.18525817</v>
      </c>
    </row>
    <row r="28" spans="1:18">
      <c r="A28" s="15" t="s">
        <v>450</v>
      </c>
      <c r="B28" s="17" t="n">
        <v>7568</v>
      </c>
      <c r="C28" s="18">
        <f>(6677.0/B28*100)</f>
        <v/>
      </c>
      <c r="D28" s="19" t="n">
        <v>891</v>
      </c>
      <c r="E28" s="18" t="n">
        <v>73.65353801000001</v>
      </c>
      <c r="F28" s="20" t="n">
        <v>1.31507731</v>
      </c>
      <c r="G28" s="18" t="n">
        <v>17.93192922</v>
      </c>
      <c r="H28" s="20" t="n">
        <v>1.33613636</v>
      </c>
      <c r="I28" s="18" t="n">
        <v>0</v>
      </c>
      <c r="J28" s="20" t="n">
        <v>0</v>
      </c>
      <c r="K28" s="18" t="n">
        <v>0.23257159</v>
      </c>
      <c r="L28" s="20" t="n">
        <v>0.16788819</v>
      </c>
      <c r="M28" s="18" t="n">
        <v>0.09260471000000001</v>
      </c>
      <c r="N28" s="20" t="n">
        <v>0.09224947</v>
      </c>
      <c r="O28" s="18" t="n">
        <v>0</v>
      </c>
      <c r="P28" s="20" t="n">
        <v>0</v>
      </c>
      <c r="Q28" s="18" t="n">
        <v>8.08935647</v>
      </c>
      <c r="R28" s="20" t="n">
        <v>1.0992003</v>
      </c>
    </row>
    <row r="29" spans="1:18">
      <c r="A29" s="15" t="s">
        <v>451</v>
      </c>
      <c r="B29" s="17" t="n">
        <v>5385</v>
      </c>
      <c r="C29" s="18">
        <f>(4748.0/B29*100)</f>
        <v/>
      </c>
      <c r="D29" s="19" t="n">
        <v>637</v>
      </c>
      <c r="E29" s="18" t="n">
        <v>40.38424526</v>
      </c>
      <c r="F29" s="20" t="n">
        <v>1.72855647</v>
      </c>
      <c r="G29" s="18" t="n">
        <v>57.80321096</v>
      </c>
      <c r="H29" s="20" t="n">
        <v>1.84585521</v>
      </c>
      <c r="I29" s="18" t="n">
        <v>0</v>
      </c>
      <c r="J29" s="20" t="n">
        <v>0</v>
      </c>
      <c r="K29" s="18" t="n">
        <v>0.2010417</v>
      </c>
      <c r="L29" s="20" t="n">
        <v>0.198841</v>
      </c>
      <c r="M29" s="18" t="n">
        <v>0</v>
      </c>
      <c r="N29" s="20" t="n">
        <v>0</v>
      </c>
      <c r="O29" s="18" t="n">
        <v>0</v>
      </c>
      <c r="P29" s="20" t="n">
        <v>0</v>
      </c>
      <c r="Q29" s="18" t="n">
        <v>1.61150208</v>
      </c>
      <c r="R29" s="20" t="n">
        <v>0.39919106</v>
      </c>
    </row>
    <row r="30" spans="1:18">
      <c r="A30" s="15" t="s">
        <v>452</v>
      </c>
      <c r="B30" s="17" t="n">
        <v>4520</v>
      </c>
      <c r="C30" s="18">
        <f>(4004.0/B30*100)</f>
        <v/>
      </c>
      <c r="D30" s="19" t="n">
        <v>516</v>
      </c>
      <c r="E30" s="18" t="n">
        <v>54.5822178</v>
      </c>
      <c r="F30" s="20" t="n">
        <v>2.21038875</v>
      </c>
      <c r="G30" s="18" t="n">
        <v>36.29829665</v>
      </c>
      <c r="H30" s="20" t="n">
        <v>2.02061623</v>
      </c>
      <c r="I30" s="18" t="n">
        <v>0</v>
      </c>
      <c r="J30" s="20" t="n">
        <v>0</v>
      </c>
      <c r="K30" s="18" t="n">
        <v>0</v>
      </c>
      <c r="L30" s="20" t="n">
        <v>0</v>
      </c>
      <c r="M30" s="18" t="n">
        <v>0</v>
      </c>
      <c r="N30" s="20" t="n">
        <v>0</v>
      </c>
      <c r="O30" s="18" t="n">
        <v>0</v>
      </c>
      <c r="P30" s="20" t="n">
        <v>0</v>
      </c>
      <c r="Q30" s="18" t="n">
        <v>9.11948555</v>
      </c>
      <c r="R30" s="20" t="n">
        <v>1.43568327</v>
      </c>
    </row>
    <row r="31" spans="1:18">
      <c r="A31" s="15" t="s">
        <v>453</v>
      </c>
      <c r="B31" s="17" t="n">
        <v>5456</v>
      </c>
      <c r="C31" s="18">
        <f>(4801.0/B31*100)</f>
        <v/>
      </c>
      <c r="D31" s="19" t="n">
        <v>655</v>
      </c>
      <c r="E31" s="18" t="n">
        <v>44.46870217</v>
      </c>
      <c r="F31" s="20" t="n">
        <v>1.88740039</v>
      </c>
      <c r="G31" s="18" t="n">
        <v>47.89984762</v>
      </c>
      <c r="H31" s="20" t="n">
        <v>1.97095641</v>
      </c>
      <c r="I31" s="18" t="n">
        <v>0</v>
      </c>
      <c r="J31" s="20" t="n">
        <v>0</v>
      </c>
      <c r="K31" s="18" t="n">
        <v>0.14996222</v>
      </c>
      <c r="L31" s="20" t="n">
        <v>0.15554687</v>
      </c>
      <c r="M31" s="18" t="n">
        <v>0</v>
      </c>
      <c r="N31" s="20" t="n">
        <v>0</v>
      </c>
      <c r="O31" s="18" t="n">
        <v>0</v>
      </c>
      <c r="P31" s="20" t="n">
        <v>0</v>
      </c>
      <c r="Q31" s="18" t="n">
        <v>7.48148799</v>
      </c>
      <c r="R31" s="20" t="n">
        <v>0.98503284</v>
      </c>
    </row>
    <row r="32" spans="1:18">
      <c r="A32" s="15" t="s">
        <v>454</v>
      </c>
      <c r="B32" s="17" t="n">
        <v>4478</v>
      </c>
      <c r="C32" s="18">
        <f>(3735.0/B32*100)</f>
        <v/>
      </c>
      <c r="D32" s="19" t="n">
        <v>743</v>
      </c>
      <c r="E32" s="18" t="n">
        <v>40.15694978</v>
      </c>
      <c r="F32" s="20" t="n">
        <v>1.84748926</v>
      </c>
      <c r="G32" s="18" t="n">
        <v>56.27490037</v>
      </c>
      <c r="H32" s="20" t="n">
        <v>1.88754892</v>
      </c>
      <c r="I32" s="18" t="n">
        <v>0</v>
      </c>
      <c r="J32" s="20" t="n">
        <v>0</v>
      </c>
      <c r="K32" s="18" t="n">
        <v>0.12994118</v>
      </c>
      <c r="L32" s="20" t="n">
        <v>0.12231666</v>
      </c>
      <c r="M32" s="18" t="n">
        <v>0.12659805</v>
      </c>
      <c r="N32" s="20" t="n">
        <v>0.12643158</v>
      </c>
      <c r="O32" s="18" t="n">
        <v>0</v>
      </c>
      <c r="P32" s="20" t="n">
        <v>0</v>
      </c>
      <c r="Q32" s="18" t="n">
        <v>3.31161061</v>
      </c>
      <c r="R32" s="20" t="n">
        <v>0.69031457</v>
      </c>
    </row>
    <row r="33" spans="1:18">
      <c r="A33" s="15" t="s">
        <v>455</v>
      </c>
      <c r="B33" s="17" t="n">
        <v>7325</v>
      </c>
      <c r="C33" s="18">
        <f>(6438.0/B33*100)</f>
        <v/>
      </c>
      <c r="D33" s="19" t="n">
        <v>887</v>
      </c>
      <c r="E33" s="18" t="n">
        <v>42.81829626</v>
      </c>
      <c r="F33" s="20" t="n">
        <v>1.90538039</v>
      </c>
      <c r="G33" s="18" t="n">
        <v>50.4908313</v>
      </c>
      <c r="H33" s="20" t="n">
        <v>1.66241892</v>
      </c>
      <c r="I33" s="18" t="n">
        <v>0</v>
      </c>
      <c r="J33" s="20" t="n">
        <v>0</v>
      </c>
      <c r="K33" s="18" t="n">
        <v>0</v>
      </c>
      <c r="L33" s="20" t="n">
        <v>0</v>
      </c>
      <c r="M33" s="18" t="n">
        <v>0</v>
      </c>
      <c r="N33" s="20" t="n">
        <v>0</v>
      </c>
      <c r="O33" s="18" t="n">
        <v>0</v>
      </c>
      <c r="P33" s="20" t="n">
        <v>0</v>
      </c>
      <c r="Q33" s="18" t="n">
        <v>6.69087244</v>
      </c>
      <c r="R33" s="20" t="n">
        <v>1.08184663</v>
      </c>
    </row>
    <row r="34" spans="1:18">
      <c r="A34" s="15" t="s">
        <v>456</v>
      </c>
      <c r="B34" s="17" t="n">
        <v>6350</v>
      </c>
      <c r="C34" s="18">
        <f>(5605.0/B34*100)</f>
        <v/>
      </c>
      <c r="D34" s="19" t="n">
        <v>745</v>
      </c>
      <c r="E34" s="18" t="n">
        <v>51.67481768</v>
      </c>
      <c r="F34" s="20" t="n">
        <v>2.30923305</v>
      </c>
      <c r="G34" s="18" t="n">
        <v>38.5210298</v>
      </c>
      <c r="H34" s="20" t="n">
        <v>1.94743999</v>
      </c>
      <c r="I34" s="18" t="n">
        <v>0</v>
      </c>
      <c r="J34" s="20" t="n">
        <v>0</v>
      </c>
      <c r="K34" s="18" t="n">
        <v>0</v>
      </c>
      <c r="L34" s="20" t="n">
        <v>0</v>
      </c>
      <c r="M34" s="18" t="n">
        <v>0.11884104</v>
      </c>
      <c r="N34" s="20" t="n">
        <v>0.11908354</v>
      </c>
      <c r="O34" s="18" t="n">
        <v>0</v>
      </c>
      <c r="P34" s="20" t="n">
        <v>0</v>
      </c>
      <c r="Q34" s="18" t="n">
        <v>9.68531149</v>
      </c>
      <c r="R34" s="20" t="n">
        <v>1.04300291</v>
      </c>
    </row>
    <row r="35" spans="1:18">
      <c r="A35" s="15" t="s">
        <v>457</v>
      </c>
      <c r="B35" s="17" t="n">
        <v>6406</v>
      </c>
      <c r="C35" s="18">
        <f>(5647.0/B35*100)</f>
        <v/>
      </c>
      <c r="D35" s="19" t="n">
        <v>759</v>
      </c>
      <c r="E35" s="18" t="n">
        <v>43.64694083</v>
      </c>
      <c r="F35" s="20" t="n">
        <v>2.0486997</v>
      </c>
      <c r="G35" s="18" t="n">
        <v>51.84428229</v>
      </c>
      <c r="H35" s="20" t="n">
        <v>2.1522015</v>
      </c>
      <c r="I35" s="18" t="n">
        <v>0</v>
      </c>
      <c r="J35" s="20" t="n">
        <v>0</v>
      </c>
      <c r="K35" s="18" t="n">
        <v>0</v>
      </c>
      <c r="L35" s="20" t="n">
        <v>0</v>
      </c>
      <c r="M35" s="18" t="n">
        <v>0.2287293</v>
      </c>
      <c r="N35" s="20" t="n">
        <v>0.22771874</v>
      </c>
      <c r="O35" s="18" t="n">
        <v>0</v>
      </c>
      <c r="P35" s="20" t="n">
        <v>0</v>
      </c>
      <c r="Q35" s="18" t="n">
        <v>4.28004758</v>
      </c>
      <c r="R35" s="20" t="n">
        <v>0.7910971</v>
      </c>
    </row>
    <row r="36" spans="1:18">
      <c r="A36" s="15" t="s">
        <v>458</v>
      </c>
      <c r="B36" s="17" t="n">
        <v>6736</v>
      </c>
      <c r="C36" s="18">
        <f>(5916.0/B36*100)</f>
        <v/>
      </c>
      <c r="D36" s="19" t="n">
        <v>820</v>
      </c>
      <c r="E36" s="18" t="n">
        <v>41.33642066</v>
      </c>
      <c r="F36" s="20" t="n">
        <v>1.84024418</v>
      </c>
      <c r="G36" s="18" t="n">
        <v>52.66099817</v>
      </c>
      <c r="H36" s="20" t="n">
        <v>1.94063355</v>
      </c>
      <c r="I36" s="18" t="n">
        <v>0</v>
      </c>
      <c r="J36" s="20" t="n">
        <v>0</v>
      </c>
      <c r="K36" s="18" t="n">
        <v>0</v>
      </c>
      <c r="L36" s="20" t="n">
        <v>0</v>
      </c>
      <c r="M36" s="18" t="n">
        <v>0</v>
      </c>
      <c r="N36" s="20" t="n">
        <v>0</v>
      </c>
      <c r="O36" s="18" t="n">
        <v>0</v>
      </c>
      <c r="P36" s="20" t="n">
        <v>0</v>
      </c>
      <c r="Q36" s="18" t="n">
        <v>6.00258117</v>
      </c>
      <c r="R36" s="20" t="n">
        <v>1.03481683</v>
      </c>
    </row>
    <row r="37" spans="1:18">
      <c r="A37" s="15" t="s">
        <v>459</v>
      </c>
      <c r="B37" s="17" t="n">
        <v>5458</v>
      </c>
      <c r="C37" s="18">
        <f>(4778.0/B37*100)</f>
        <v/>
      </c>
      <c r="D37" s="19" t="n">
        <v>680</v>
      </c>
      <c r="E37" s="18" t="n">
        <v>36.17681413</v>
      </c>
      <c r="F37" s="20" t="n">
        <v>1.72686096</v>
      </c>
      <c r="G37" s="18" t="n">
        <v>50.66102955</v>
      </c>
      <c r="H37" s="20" t="n">
        <v>2.03641163</v>
      </c>
      <c r="I37" s="18" t="n">
        <v>0</v>
      </c>
      <c r="J37" s="20" t="n">
        <v>0</v>
      </c>
      <c r="K37" s="18" t="n">
        <v>0.12894052</v>
      </c>
      <c r="L37" s="20" t="n">
        <v>0.18269686</v>
      </c>
      <c r="M37" s="18" t="n">
        <v>0</v>
      </c>
      <c r="N37" s="20" t="n">
        <v>0</v>
      </c>
      <c r="O37" s="18" t="n">
        <v>0</v>
      </c>
      <c r="P37" s="20" t="n">
        <v>0</v>
      </c>
      <c r="Q37" s="18" t="n">
        <v>13.0332158</v>
      </c>
      <c r="R37" s="20" t="n">
        <v>1.49421696</v>
      </c>
    </row>
    <row r="38" spans="1:18">
      <c r="A38" s="15" t="s">
        <v>460</v>
      </c>
      <c r="B38" s="17" t="n">
        <v>5860</v>
      </c>
      <c r="C38" s="18">
        <f>(4870.0/B38*100)</f>
        <v/>
      </c>
      <c r="D38" s="19" t="n">
        <v>990</v>
      </c>
      <c r="E38" s="18" t="n">
        <v>45.85027084</v>
      </c>
      <c r="F38" s="20" t="n">
        <v>1.72679265</v>
      </c>
      <c r="G38" s="18" t="n">
        <v>41.6096684</v>
      </c>
      <c r="H38" s="20" t="n">
        <v>1.84949711</v>
      </c>
      <c r="I38" s="18" t="n">
        <v>0</v>
      </c>
      <c r="J38" s="20" t="n">
        <v>0</v>
      </c>
      <c r="K38" s="18" t="n">
        <v>0.08352418</v>
      </c>
      <c r="L38" s="20" t="n">
        <v>0.08343726</v>
      </c>
      <c r="M38" s="18" t="n">
        <v>0</v>
      </c>
      <c r="N38" s="20" t="n">
        <v>0</v>
      </c>
      <c r="O38" s="18" t="n">
        <v>0</v>
      </c>
      <c r="P38" s="20" t="n">
        <v>0</v>
      </c>
      <c r="Q38" s="18" t="n">
        <v>12.45653658</v>
      </c>
      <c r="R38" s="20" t="n">
        <v>1.40539241</v>
      </c>
    </row>
    <row r="39" spans="1:18">
      <c r="A39" s="15" t="s">
        <v>461</v>
      </c>
      <c r="B39" s="17" t="n">
        <v>5895</v>
      </c>
      <c r="C39" s="18">
        <f>(5173.0/B39*100)</f>
        <v/>
      </c>
      <c r="D39" s="19" t="n">
        <v>722</v>
      </c>
      <c r="E39" s="18" t="n">
        <v>59.07474983</v>
      </c>
      <c r="F39" s="20" t="n">
        <v>2.06258418</v>
      </c>
      <c r="G39" s="18" t="n">
        <v>26.53251513</v>
      </c>
      <c r="H39" s="20" t="n">
        <v>1.83583496</v>
      </c>
      <c r="I39" s="18" t="n">
        <v>0</v>
      </c>
      <c r="J39" s="20" t="n">
        <v>0</v>
      </c>
      <c r="K39" s="18" t="n">
        <v>0.20089188</v>
      </c>
      <c r="L39" s="20" t="n">
        <v>0.20136022</v>
      </c>
      <c r="M39" s="18" t="n">
        <v>0.06141504</v>
      </c>
      <c r="N39" s="20" t="n">
        <v>0.04394169</v>
      </c>
      <c r="O39" s="18" t="n">
        <v>0</v>
      </c>
      <c r="P39" s="20" t="n">
        <v>0</v>
      </c>
      <c r="Q39" s="18" t="n">
        <v>14.13042812</v>
      </c>
      <c r="R39" s="20" t="n">
        <v>1.72030661</v>
      </c>
    </row>
    <row r="40" spans="1:18">
      <c r="A40" s="15" t="s">
        <v>462</v>
      </c>
      <c r="B40" s="17" t="n">
        <v>14157</v>
      </c>
      <c r="C40" s="18">
        <f>(12437.0/B40*100)</f>
        <v/>
      </c>
      <c r="D40" s="19" t="n">
        <v>1720</v>
      </c>
      <c r="E40" s="18" t="n">
        <v>55.49091073</v>
      </c>
      <c r="F40" s="20" t="n">
        <v>2.00330721</v>
      </c>
      <c r="G40" s="18" t="n">
        <v>35.64865758</v>
      </c>
      <c r="H40" s="20" t="n">
        <v>1.90920472</v>
      </c>
      <c r="I40" s="18" t="n">
        <v>0</v>
      </c>
      <c r="J40" s="20" t="n">
        <v>0</v>
      </c>
      <c r="K40" s="18" t="n">
        <v>0.13075735</v>
      </c>
      <c r="L40" s="20" t="n">
        <v>0.08016651</v>
      </c>
      <c r="M40" s="18" t="n">
        <v>0.2791832</v>
      </c>
      <c r="N40" s="20" t="n">
        <v>0.21945866</v>
      </c>
      <c r="O40" s="18" t="n">
        <v>0</v>
      </c>
      <c r="P40" s="20" t="n">
        <v>0</v>
      </c>
      <c r="Q40" s="18" t="n">
        <v>8.45049114</v>
      </c>
      <c r="R40" s="20" t="n">
        <v>0.8673976799999999</v>
      </c>
    </row>
    <row r="41" spans="1:18">
      <c r="A41" s="15" t="s">
        <v>463</v>
      </c>
      <c r="B41" s="17" t="n">
        <v>5712</v>
      </c>
      <c r="C41" s="18">
        <f>(5011.0/B41*100)</f>
        <v/>
      </c>
      <c r="D41" s="19" t="n">
        <v>701</v>
      </c>
      <c r="E41" s="18" t="n">
        <v>61.50791738</v>
      </c>
      <c r="F41" s="20" t="n">
        <v>1.75202222</v>
      </c>
      <c r="G41" s="18" t="n">
        <v>34.18900802</v>
      </c>
      <c r="H41" s="20" t="n">
        <v>1.70981858</v>
      </c>
      <c r="I41" s="18" t="n">
        <v>0</v>
      </c>
      <c r="J41" s="20" t="n">
        <v>0</v>
      </c>
      <c r="K41" s="18" t="n">
        <v>0.22781798</v>
      </c>
      <c r="L41" s="20" t="n">
        <v>0.22131972</v>
      </c>
      <c r="M41" s="18" t="n">
        <v>0</v>
      </c>
      <c r="N41" s="20" t="n">
        <v>0</v>
      </c>
      <c r="O41" s="18" t="n">
        <v>0</v>
      </c>
      <c r="P41" s="20" t="n">
        <v>0</v>
      </c>
      <c r="Q41" s="18" t="n">
        <v>4.07525662</v>
      </c>
      <c r="R41" s="20" t="n">
        <v>0.75200463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(20695.0/B46*100)</f>
        <v/>
      </c>
      <c r="D46" s="19" t="n">
        <v>2446</v>
      </c>
      <c r="E46" s="18" t="n">
        <v>51.26784527</v>
      </c>
      <c r="F46" s="20" t="n">
        <v>1.38650296</v>
      </c>
      <c r="G46" s="18" t="n">
        <v>25.71225885</v>
      </c>
      <c r="H46" s="20" t="n">
        <v>1.44200818</v>
      </c>
      <c r="I46" s="18" t="n">
        <v>0</v>
      </c>
      <c r="J46" s="20" t="n">
        <v>0</v>
      </c>
      <c r="K46" s="18" t="n">
        <v>0.52931755</v>
      </c>
      <c r="L46" s="20" t="n">
        <v>0.11082012</v>
      </c>
      <c r="M46" s="18" t="n">
        <v>0.33883562</v>
      </c>
      <c r="N46" s="20" t="n">
        <v>0.14435859</v>
      </c>
      <c r="O46" s="18" t="n">
        <v>0</v>
      </c>
      <c r="P46" s="20" t="n">
        <v>0</v>
      </c>
      <c r="Q46" s="18" t="n">
        <v>22.15174271</v>
      </c>
      <c r="R46" s="20" t="n">
        <v>1.30864538</v>
      </c>
    </row>
    <row r="47" spans="1:18">
      <c r="A47" s="15" t="s">
        <v>470</v>
      </c>
      <c r="B47" s="17" t="n">
        <v>5928</v>
      </c>
      <c r="C47" s="18">
        <f>(5196.0/B47*100)</f>
        <v/>
      </c>
      <c r="D47" s="19" t="n">
        <v>732</v>
      </c>
      <c r="E47" s="18" t="n">
        <v>41.93250585</v>
      </c>
      <c r="F47" s="20" t="n">
        <v>1.80793613</v>
      </c>
      <c r="G47" s="18" t="n">
        <v>38.99435305</v>
      </c>
      <c r="H47" s="20" t="n">
        <v>1.81796662</v>
      </c>
      <c r="I47" s="18" t="n">
        <v>0</v>
      </c>
      <c r="J47" s="20" t="n">
        <v>0</v>
      </c>
      <c r="K47" s="18" t="n">
        <v>0.28193603</v>
      </c>
      <c r="L47" s="20" t="n">
        <v>0.20840413</v>
      </c>
      <c r="M47" s="18" t="n">
        <v>0</v>
      </c>
      <c r="N47" s="20" t="n">
        <v>0</v>
      </c>
      <c r="O47" s="18" t="n">
        <v>0</v>
      </c>
      <c r="P47" s="20" t="n">
        <v>0</v>
      </c>
      <c r="Q47" s="18" t="n">
        <v>18.79120507</v>
      </c>
      <c r="R47" s="20" t="n">
        <v>1.7473543</v>
      </c>
    </row>
    <row r="48" spans="1:18">
      <c r="A48" s="15" t="s">
        <v>471</v>
      </c>
      <c r="B48" s="17" t="n">
        <v>9841</v>
      </c>
      <c r="C48" s="18">
        <f>(8649.0/B48*100)</f>
        <v/>
      </c>
      <c r="D48" s="19" t="n">
        <v>1192</v>
      </c>
      <c r="E48" s="18" t="n">
        <v>49.25696357</v>
      </c>
      <c r="F48" s="20" t="n">
        <v>2.52173251</v>
      </c>
      <c r="G48" s="18" t="n">
        <v>37.12275713</v>
      </c>
      <c r="H48" s="20" t="n">
        <v>2.48419785</v>
      </c>
      <c r="I48" s="18" t="n">
        <v>0</v>
      </c>
      <c r="J48" s="20" t="n">
        <v>0</v>
      </c>
      <c r="K48" s="18" t="n">
        <v>1.11044086</v>
      </c>
      <c r="L48" s="20" t="n">
        <v>0.45683091</v>
      </c>
      <c r="M48" s="18" t="n">
        <v>0</v>
      </c>
      <c r="N48" s="20" t="n">
        <v>0</v>
      </c>
      <c r="O48" s="18" t="n">
        <v>0</v>
      </c>
      <c r="P48" s="20" t="n">
        <v>0</v>
      </c>
      <c r="Q48" s="18" t="n">
        <v>12.50983844</v>
      </c>
      <c r="R48" s="20" t="n">
        <v>1.3480666</v>
      </c>
    </row>
    <row r="49" spans="1:18">
      <c r="A49" s="15" t="s">
        <v>472</v>
      </c>
      <c r="B49" s="17" t="n">
        <v>11795</v>
      </c>
      <c r="C49" s="18">
        <f>(10363.0/B49*100)</f>
        <v/>
      </c>
      <c r="D49" s="19" t="n">
        <v>1432</v>
      </c>
      <c r="E49" s="18" t="n">
        <v>61.23577247</v>
      </c>
      <c r="F49" s="20" t="n">
        <v>1.55669754</v>
      </c>
      <c r="G49" s="18" t="n">
        <v>28.51256442</v>
      </c>
      <c r="H49" s="20" t="n">
        <v>1.56362106</v>
      </c>
      <c r="I49" s="18" t="n">
        <v>0</v>
      </c>
      <c r="J49" s="20" t="n">
        <v>0</v>
      </c>
      <c r="K49" s="18" t="n">
        <v>1.01425597</v>
      </c>
      <c r="L49" s="20" t="n">
        <v>0.34140923</v>
      </c>
      <c r="M49" s="18" t="n">
        <v>0.07604996</v>
      </c>
      <c r="N49" s="20" t="n">
        <v>0.05099678</v>
      </c>
      <c r="O49" s="18" t="n">
        <v>0</v>
      </c>
      <c r="P49" s="20" t="n">
        <v>0</v>
      </c>
      <c r="Q49" s="18" t="n">
        <v>9.16135718</v>
      </c>
      <c r="R49" s="20" t="n">
        <v>1.08503332</v>
      </c>
    </row>
    <row r="50" spans="1:18">
      <c r="A50" s="15" t="s">
        <v>473</v>
      </c>
      <c r="B50" s="17" t="n">
        <v>6866</v>
      </c>
      <c r="C50" s="18">
        <f>(6119.0/B50*100)</f>
        <v/>
      </c>
      <c r="D50" s="19" t="n">
        <v>747</v>
      </c>
      <c r="E50" s="18" t="n">
        <v>49.04121279</v>
      </c>
      <c r="F50" s="20" t="n">
        <v>2.09444156</v>
      </c>
      <c r="G50" s="18" t="n">
        <v>38.91068498</v>
      </c>
      <c r="H50" s="20" t="n">
        <v>1.82334911</v>
      </c>
      <c r="I50" s="18" t="n">
        <v>0</v>
      </c>
      <c r="J50" s="20" t="n">
        <v>0</v>
      </c>
      <c r="K50" s="18" t="n">
        <v>0.31140858</v>
      </c>
      <c r="L50" s="20" t="n">
        <v>0.22651279</v>
      </c>
      <c r="M50" s="18" t="n">
        <v>0</v>
      </c>
      <c r="N50" s="20" t="n">
        <v>0</v>
      </c>
      <c r="O50" s="18" t="n">
        <v>0</v>
      </c>
      <c r="P50" s="20" t="n">
        <v>0</v>
      </c>
      <c r="Q50" s="18" t="n">
        <v>11.73669365</v>
      </c>
      <c r="R50" s="20" t="n">
        <v>1.37255782</v>
      </c>
    </row>
    <row r="51" spans="1:18">
      <c r="A51" s="15" t="s">
        <v>474</v>
      </c>
      <c r="B51" s="17" t="n">
        <v>5809</v>
      </c>
      <c r="C51" s="18">
        <f>(5103.0/B51*100)</f>
        <v/>
      </c>
      <c r="D51" s="19" t="n">
        <v>706</v>
      </c>
      <c r="E51" s="18" t="n">
        <v>38.26187383</v>
      </c>
      <c r="F51" s="20" t="n">
        <v>1.89122259</v>
      </c>
      <c r="G51" s="18" t="n">
        <v>55.32814607</v>
      </c>
      <c r="H51" s="20" t="n">
        <v>1.71312011</v>
      </c>
      <c r="I51" s="18" t="n">
        <v>0</v>
      </c>
      <c r="J51" s="20" t="n">
        <v>0</v>
      </c>
      <c r="K51" s="18" t="n">
        <v>0.17799156</v>
      </c>
      <c r="L51" s="20" t="n">
        <v>0.17944848</v>
      </c>
      <c r="M51" s="18" t="n">
        <v>0</v>
      </c>
      <c r="N51" s="20" t="n">
        <v>0</v>
      </c>
      <c r="O51" s="18" t="n">
        <v>0</v>
      </c>
      <c r="P51" s="20" t="n">
        <v>0</v>
      </c>
      <c r="Q51" s="18" t="n">
        <v>6.23198854</v>
      </c>
      <c r="R51" s="20" t="n">
        <v>0.88499315</v>
      </c>
    </row>
    <row r="52" spans="1:18">
      <c r="A52" s="15" t="s">
        <v>475</v>
      </c>
      <c r="B52" s="17" t="n">
        <v>5571</v>
      </c>
      <c r="C52" s="18">
        <f>(4908.0/B52*100)</f>
        <v/>
      </c>
      <c r="D52" s="19" t="n">
        <v>663</v>
      </c>
      <c r="E52" s="18" t="n">
        <v>52.3387888</v>
      </c>
      <c r="F52" s="20" t="n">
        <v>1.96654742</v>
      </c>
      <c r="G52" s="18" t="n">
        <v>22.73068989</v>
      </c>
      <c r="H52" s="20" t="n">
        <v>1.6342327</v>
      </c>
      <c r="I52" s="18" t="n">
        <v>0</v>
      </c>
      <c r="J52" s="20" t="n">
        <v>0</v>
      </c>
      <c r="K52" s="18" t="n">
        <v>0</v>
      </c>
      <c r="L52" s="20" t="n">
        <v>0</v>
      </c>
      <c r="M52" s="18" t="n">
        <v>0</v>
      </c>
      <c r="N52" s="20" t="n">
        <v>0</v>
      </c>
      <c r="O52" s="18" t="n">
        <v>0</v>
      </c>
      <c r="P52" s="20" t="n">
        <v>0</v>
      </c>
      <c r="Q52" s="18" t="n">
        <v>24.9305213</v>
      </c>
      <c r="R52" s="20" t="n">
        <v>1.58620882</v>
      </c>
    </row>
    <row r="53" spans="1:18">
      <c r="A53" s="15" t="s">
        <v>476</v>
      </c>
      <c r="B53" s="17" t="n">
        <v>4740</v>
      </c>
      <c r="C53" s="18">
        <f>(3975.0/B53*100)</f>
        <v/>
      </c>
      <c r="D53" s="19" t="n">
        <v>765</v>
      </c>
      <c r="E53" s="18" t="n">
        <v>45.31284005</v>
      </c>
      <c r="F53" s="20" t="n">
        <v>1.75579521</v>
      </c>
      <c r="G53" s="18" t="n">
        <v>18.95161663</v>
      </c>
      <c r="H53" s="20" t="n">
        <v>1.42366238</v>
      </c>
      <c r="I53" s="18" t="n">
        <v>0</v>
      </c>
      <c r="J53" s="20" t="n">
        <v>0</v>
      </c>
      <c r="K53" s="18" t="n">
        <v>8.27826439</v>
      </c>
      <c r="L53" s="20" t="n">
        <v>1.04258084</v>
      </c>
      <c r="M53" s="18" t="n">
        <v>0.95192914</v>
      </c>
      <c r="N53" s="20" t="n">
        <v>0.80169176</v>
      </c>
      <c r="O53" s="18" t="n">
        <v>0</v>
      </c>
      <c r="P53" s="20" t="n">
        <v>0</v>
      </c>
      <c r="Q53" s="18" t="n">
        <v>26.50534979</v>
      </c>
      <c r="R53" s="20" t="n">
        <v>1.80391804</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(4702.0/B55*100)</f>
        <v/>
      </c>
      <c r="D55" s="19" t="n">
        <v>657</v>
      </c>
      <c r="E55" s="18" t="n">
        <v>36.60846149</v>
      </c>
      <c r="F55" s="20" t="n">
        <v>2.09714883</v>
      </c>
      <c r="G55" s="18" t="n">
        <v>57.52442621</v>
      </c>
      <c r="H55" s="20" t="n">
        <v>2.11363894</v>
      </c>
      <c r="I55" s="18" t="n">
        <v>0</v>
      </c>
      <c r="J55" s="20" t="n">
        <v>0</v>
      </c>
      <c r="K55" s="18" t="n">
        <v>0.19466337</v>
      </c>
      <c r="L55" s="20" t="n">
        <v>0.16510399</v>
      </c>
      <c r="M55" s="18" t="n">
        <v>0</v>
      </c>
      <c r="N55" s="20" t="n">
        <v>0</v>
      </c>
      <c r="O55" s="18" t="n">
        <v>0</v>
      </c>
      <c r="P55" s="20" t="n">
        <v>0</v>
      </c>
      <c r="Q55" s="18" t="n">
        <v>5.67244894</v>
      </c>
      <c r="R55" s="20" t="n">
        <v>0.84684074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(5734.0/B61*100)</f>
        <v/>
      </c>
      <c r="D61" s="19" t="n">
        <v>791</v>
      </c>
      <c r="E61" s="18" t="n">
        <v>52.62195375</v>
      </c>
      <c r="F61" s="20" t="n">
        <v>1.92797474</v>
      </c>
      <c r="G61" s="18" t="n">
        <v>35.04668758</v>
      </c>
      <c r="H61" s="20" t="n">
        <v>1.85721593</v>
      </c>
      <c r="I61" s="18" t="n">
        <v>0</v>
      </c>
      <c r="J61" s="20" t="n">
        <v>0</v>
      </c>
      <c r="K61" s="18" t="n">
        <v>0</v>
      </c>
      <c r="L61" s="20" t="n">
        <v>0</v>
      </c>
      <c r="M61" s="18" t="n">
        <v>0</v>
      </c>
      <c r="N61" s="20" t="n">
        <v>0</v>
      </c>
      <c r="O61" s="18" t="n">
        <v>0</v>
      </c>
      <c r="P61" s="20" t="n">
        <v>0</v>
      </c>
      <c r="Q61" s="18" t="n">
        <v>12.33135867</v>
      </c>
      <c r="R61" s="20" t="n">
        <v>1.28602775</v>
      </c>
    </row>
    <row r="62" spans="1:18">
      <c r="A62" s="15" t="s">
        <v>486</v>
      </c>
      <c r="B62" s="17" t="n">
        <v>4476</v>
      </c>
      <c r="C62" s="18">
        <f>(3919.0/B62*100)</f>
        <v/>
      </c>
      <c r="D62" s="19" t="n">
        <v>557</v>
      </c>
      <c r="E62" s="18" t="n">
        <v>55.57592808</v>
      </c>
      <c r="F62" s="20" t="n">
        <v>2.0191751</v>
      </c>
      <c r="G62" s="18" t="n">
        <v>39.18057938</v>
      </c>
      <c r="H62" s="20" t="n">
        <v>1.85873338</v>
      </c>
      <c r="I62" s="18" t="n">
        <v>0</v>
      </c>
      <c r="J62" s="20" t="n">
        <v>0</v>
      </c>
      <c r="K62" s="18" t="n">
        <v>0</v>
      </c>
      <c r="L62" s="20" t="n">
        <v>0</v>
      </c>
      <c r="M62" s="18" t="n">
        <v>0.71477625</v>
      </c>
      <c r="N62" s="20" t="n">
        <v>0.35794726</v>
      </c>
      <c r="O62" s="18" t="n">
        <v>0</v>
      </c>
      <c r="P62" s="20" t="n">
        <v>0</v>
      </c>
      <c r="Q62" s="18" t="n">
        <v>4.52871629</v>
      </c>
      <c r="R62" s="20" t="n">
        <v>0.92278079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(4974.0/B67*100)</f>
        <v/>
      </c>
      <c r="D67" s="19" t="n">
        <v>691</v>
      </c>
      <c r="E67" s="18" t="n">
        <v>43.90422231</v>
      </c>
      <c r="F67" s="20" t="n">
        <v>1.8515503</v>
      </c>
      <c r="G67" s="18" t="n">
        <v>30.0420648</v>
      </c>
      <c r="H67" s="20" t="n">
        <v>1.70089989</v>
      </c>
      <c r="I67" s="18" t="n">
        <v>0</v>
      </c>
      <c r="J67" s="20" t="n">
        <v>0</v>
      </c>
      <c r="K67" s="18" t="n">
        <v>1.27269262</v>
      </c>
      <c r="L67" s="20" t="n">
        <v>0.5282117200000001</v>
      </c>
      <c r="M67" s="18" t="n">
        <v>0.60143263</v>
      </c>
      <c r="N67" s="20" t="n">
        <v>0.49113928</v>
      </c>
      <c r="O67" s="18" t="n">
        <v>0</v>
      </c>
      <c r="P67" s="20" t="n">
        <v>0</v>
      </c>
      <c r="Q67" s="18" t="n">
        <v>24.17958765</v>
      </c>
      <c r="R67" s="20" t="n">
        <v>1.29424456</v>
      </c>
    </row>
    <row r="68" spans="1:18">
      <c r="A68" s="15" t="s">
        <v>492</v>
      </c>
      <c r="B68" s="17" t="n">
        <v>6971</v>
      </c>
      <c r="C68" s="18">
        <f>(6189.0/B68*100)</f>
        <v/>
      </c>
      <c r="D68" s="19" t="n">
        <v>782</v>
      </c>
      <c r="E68" s="18" t="n">
        <v>67.65665249</v>
      </c>
      <c r="F68" s="20" t="n">
        <v>2.01922716</v>
      </c>
      <c r="G68" s="18" t="n">
        <v>15.0963443</v>
      </c>
      <c r="H68" s="20" t="n">
        <v>1.57537906</v>
      </c>
      <c r="I68" s="18" t="n">
        <v>0</v>
      </c>
      <c r="J68" s="20" t="n">
        <v>0</v>
      </c>
      <c r="K68" s="18" t="n">
        <v>0.13204561</v>
      </c>
      <c r="L68" s="20" t="n">
        <v>0.13195784</v>
      </c>
      <c r="M68" s="18" t="n">
        <v>0.13872974</v>
      </c>
      <c r="N68" s="20" t="n">
        <v>0.13873601</v>
      </c>
      <c r="O68" s="18" t="n">
        <v>0</v>
      </c>
      <c r="P68" s="20" t="n">
        <v>0</v>
      </c>
      <c r="Q68" s="18" t="n">
        <v>16.97622785</v>
      </c>
      <c r="R68" s="20" t="n">
        <v>1.45317047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(10081.0/B70*100)</f>
        <v/>
      </c>
      <c r="D70" s="19" t="n">
        <v>2002</v>
      </c>
      <c r="E70" s="18" t="n">
        <v>55.82991337</v>
      </c>
      <c r="F70" s="20" t="n">
        <v>1.04061478</v>
      </c>
      <c r="G70" s="18" t="n">
        <v>26.19071677</v>
      </c>
      <c r="H70" s="20" t="n">
        <v>0.90322881</v>
      </c>
      <c r="I70" s="18" t="n">
        <v>0</v>
      </c>
      <c r="J70" s="20" t="n">
        <v>0</v>
      </c>
      <c r="K70" s="18" t="n">
        <v>1.31274041</v>
      </c>
      <c r="L70" s="20" t="n">
        <v>0.25308731</v>
      </c>
      <c r="M70" s="18" t="n">
        <v>0.04920348</v>
      </c>
      <c r="N70" s="20" t="n">
        <v>0.04920916</v>
      </c>
      <c r="O70" s="18" t="n">
        <v>0</v>
      </c>
      <c r="P70" s="20" t="n">
        <v>0</v>
      </c>
      <c r="Q70" s="18" t="n">
        <v>16.61742597</v>
      </c>
      <c r="R70" s="20" t="n">
        <v>0.83899113</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(5315.0/B72*100)</f>
        <v/>
      </c>
      <c r="D72" s="19" t="n">
        <v>721</v>
      </c>
      <c r="E72" s="18" t="n">
        <v>48.38835188</v>
      </c>
      <c r="F72" s="20" t="n">
        <v>1.8805163</v>
      </c>
      <c r="G72" s="18" t="n">
        <v>47.04192398</v>
      </c>
      <c r="H72" s="20" t="n">
        <v>1.83209152</v>
      </c>
      <c r="I72" s="18" t="n">
        <v>0</v>
      </c>
      <c r="J72" s="20" t="n">
        <v>0</v>
      </c>
      <c r="K72" s="18" t="n">
        <v>0.10884603</v>
      </c>
      <c r="L72" s="20" t="n">
        <v>0.10903764</v>
      </c>
      <c r="M72" s="18" t="n">
        <v>0</v>
      </c>
      <c r="N72" s="20" t="n">
        <v>0</v>
      </c>
      <c r="O72" s="18" t="n">
        <v>0</v>
      </c>
      <c r="P72" s="20" t="n">
        <v>0</v>
      </c>
      <c r="Q72" s="18" t="n">
        <v>4.46087811</v>
      </c>
      <c r="R72" s="20" t="n">
        <v>0.68114144</v>
      </c>
    </row>
    <row r="73" spans="1:18">
      <c r="A73" s="15" t="s">
        <v>497</v>
      </c>
      <c r="B73" s="17" t="n">
        <v>6115</v>
      </c>
      <c r="C73" s="18">
        <f>(5360.0/B73*100)</f>
        <v/>
      </c>
      <c r="D73" s="19" t="n">
        <v>755</v>
      </c>
      <c r="E73" s="18" t="n">
        <v>36.27371918</v>
      </c>
      <c r="F73" s="20" t="n">
        <v>1.82990419</v>
      </c>
      <c r="G73" s="18" t="n">
        <v>61.61279669</v>
      </c>
      <c r="H73" s="20" t="n">
        <v>1.79417729</v>
      </c>
      <c r="I73" s="18" t="n">
        <v>0</v>
      </c>
      <c r="J73" s="20" t="n">
        <v>0</v>
      </c>
      <c r="K73" s="18" t="n">
        <v>0.2599022</v>
      </c>
      <c r="L73" s="20" t="n">
        <v>0.18377557</v>
      </c>
      <c r="M73" s="18" t="n">
        <v>0</v>
      </c>
      <c r="N73" s="20" t="n">
        <v>0</v>
      </c>
      <c r="O73" s="18" t="n">
        <v>0</v>
      </c>
      <c r="P73" s="20" t="n">
        <v>0</v>
      </c>
      <c r="Q73" s="18" t="n">
        <v>1.85358193</v>
      </c>
      <c r="R73" s="20" t="n">
        <v>0.51057035</v>
      </c>
    </row>
    <row r="74" spans="1:18">
      <c r="A74" s="15" t="s">
        <v>498</v>
      </c>
      <c r="B74" s="17" t="n">
        <v>7708</v>
      </c>
      <c r="C74" s="18">
        <f>(6759.0/B74*100)</f>
        <v/>
      </c>
      <c r="D74" s="19" t="n">
        <v>949</v>
      </c>
      <c r="E74" s="18" t="n">
        <v>44.08732815</v>
      </c>
      <c r="F74" s="20" t="n">
        <v>1.64650884</v>
      </c>
      <c r="G74" s="18" t="n">
        <v>48.86883794</v>
      </c>
      <c r="H74" s="20" t="n">
        <v>1.66048924</v>
      </c>
      <c r="I74" s="18" t="n">
        <v>0</v>
      </c>
      <c r="J74" s="20" t="n">
        <v>0</v>
      </c>
      <c r="K74" s="18" t="n">
        <v>0.13876457</v>
      </c>
      <c r="L74" s="20" t="n">
        <v>0.09220839</v>
      </c>
      <c r="M74" s="18" t="n">
        <v>0</v>
      </c>
      <c r="N74" s="20" t="n">
        <v>0</v>
      </c>
      <c r="O74" s="18" t="n">
        <v>0</v>
      </c>
      <c r="P74" s="20" t="n">
        <v>0</v>
      </c>
      <c r="Q74" s="18" t="n">
        <v>6.90506934</v>
      </c>
      <c r="R74" s="20" t="n">
        <v>0.80571737</v>
      </c>
    </row>
    <row r="75" spans="1:18">
      <c r="A75" s="15" t="s">
        <v>499</v>
      </c>
      <c r="B75" s="17" t="n">
        <v>8249</v>
      </c>
      <c r="C75" s="18">
        <f>(7271.0/B75*100)</f>
        <v/>
      </c>
      <c r="D75" s="19" t="n">
        <v>978</v>
      </c>
      <c r="E75" s="18" t="n">
        <v>64.8707038</v>
      </c>
      <c r="F75" s="20" t="n">
        <v>1.88481216</v>
      </c>
      <c r="G75" s="18" t="n">
        <v>31.17825136</v>
      </c>
      <c r="H75" s="20" t="n">
        <v>1.95532685</v>
      </c>
      <c r="I75" s="18" t="n">
        <v>0</v>
      </c>
      <c r="J75" s="20" t="n">
        <v>0</v>
      </c>
      <c r="K75" s="18" t="n">
        <v>0</v>
      </c>
      <c r="L75" s="20" t="n">
        <v>0</v>
      </c>
      <c r="M75" s="18" t="n">
        <v>0.27370352</v>
      </c>
      <c r="N75" s="20" t="n">
        <v>0.24714626</v>
      </c>
      <c r="O75" s="18" t="n">
        <v>0</v>
      </c>
      <c r="P75" s="20" t="n">
        <v>0</v>
      </c>
      <c r="Q75" s="18" t="n">
        <v>3.67734132</v>
      </c>
      <c r="R75" s="20" t="n">
        <v>0.75976035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(4770.0/B77*100)</f>
        <v/>
      </c>
      <c r="D77" s="19" t="n">
        <v>605</v>
      </c>
      <c r="E77" s="18" t="n">
        <v>48.89995525</v>
      </c>
      <c r="F77" s="20" t="n">
        <v>1.96851761</v>
      </c>
      <c r="G77" s="18" t="n">
        <v>26.26160426</v>
      </c>
      <c r="H77" s="20" t="n">
        <v>1.74557283</v>
      </c>
      <c r="I77" s="18" t="n">
        <v>0</v>
      </c>
      <c r="J77" s="20" t="n">
        <v>0</v>
      </c>
      <c r="K77" s="18" t="n">
        <v>1.58468223</v>
      </c>
      <c r="L77" s="20" t="n">
        <v>0.52001801</v>
      </c>
      <c r="M77" s="18" t="n">
        <v>0.55800176</v>
      </c>
      <c r="N77" s="20" t="n">
        <v>0.40276896</v>
      </c>
      <c r="O77" s="18" t="n">
        <v>0</v>
      </c>
      <c r="P77" s="20" t="n">
        <v>0</v>
      </c>
      <c r="Q77" s="18" t="n">
        <v>22.6957565</v>
      </c>
      <c r="R77" s="20" t="n">
        <v>1.99365313</v>
      </c>
    </row>
    <row r="78" spans="1:18">
      <c r="A78" s="15" t="s">
        <v>502</v>
      </c>
      <c r="B78" s="17" t="n">
        <v>14167</v>
      </c>
      <c r="C78" s="18">
        <f>(12407.0/B78*100)</f>
        <v/>
      </c>
      <c r="D78" s="19" t="n">
        <v>1760</v>
      </c>
      <c r="E78" s="18" t="n">
        <v>58.26906465</v>
      </c>
      <c r="F78" s="20" t="n">
        <v>1.49600558</v>
      </c>
      <c r="G78" s="18" t="n">
        <v>33.33606655</v>
      </c>
      <c r="H78" s="20" t="n">
        <v>1.37747188</v>
      </c>
      <c r="I78" s="18" t="n">
        <v>0</v>
      </c>
      <c r="J78" s="20" t="n">
        <v>0</v>
      </c>
      <c r="K78" s="18" t="n">
        <v>0.62063561</v>
      </c>
      <c r="L78" s="20" t="n">
        <v>0.22349733</v>
      </c>
      <c r="M78" s="18" t="n">
        <v>0.10462605</v>
      </c>
      <c r="N78" s="20" t="n">
        <v>0.08759886</v>
      </c>
      <c r="O78" s="18" t="n">
        <v>0</v>
      </c>
      <c r="P78" s="20" t="n">
        <v>0</v>
      </c>
      <c r="Q78" s="18" t="n">
        <v>7.66960713</v>
      </c>
      <c r="R78" s="20" t="n">
        <v>0.68816291</v>
      </c>
    </row>
    <row r="79" spans="1:18">
      <c r="A79" s="15" t="s">
        <v>503</v>
      </c>
      <c r="B79" s="17" t="n">
        <v>6062</v>
      </c>
      <c r="C79" s="18">
        <f>(5340.0/B79*100)</f>
        <v/>
      </c>
      <c r="D79" s="19" t="n">
        <v>722</v>
      </c>
      <c r="E79" s="18" t="n">
        <v>41.32467655</v>
      </c>
      <c r="F79" s="20" t="n">
        <v>1.99065976</v>
      </c>
      <c r="G79" s="18" t="n">
        <v>26.77319366</v>
      </c>
      <c r="H79" s="20" t="n">
        <v>1.96997197</v>
      </c>
      <c r="I79" s="18" t="n">
        <v>0</v>
      </c>
      <c r="J79" s="20" t="n">
        <v>0</v>
      </c>
      <c r="K79" s="18" t="n">
        <v>0.83512651</v>
      </c>
      <c r="L79" s="20" t="n">
        <v>0.38904054</v>
      </c>
      <c r="M79" s="18" t="n">
        <v>0.26819495</v>
      </c>
      <c r="N79" s="20" t="n">
        <v>0.1721955</v>
      </c>
      <c r="O79" s="18" t="n">
        <v>0</v>
      </c>
      <c r="P79" s="20" t="n">
        <v>0</v>
      </c>
      <c r="Q79" s="18" t="n">
        <v>30.79880833</v>
      </c>
      <c r="R79" s="20" t="n">
        <v>2.09498132</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(28394.0/B82*100)</f>
        <v/>
      </c>
      <c r="D82" s="19" t="n">
        <v>3936</v>
      </c>
      <c r="E82" s="18" t="n">
        <v>44.67718323</v>
      </c>
      <c r="F82" s="20" t="n">
        <v>1.06177253</v>
      </c>
      <c r="G82" s="18" t="n">
        <v>49.22602219</v>
      </c>
      <c r="H82" s="20" t="n">
        <v>1.22034385</v>
      </c>
      <c r="I82" s="18" t="n">
        <v>0</v>
      </c>
      <c r="J82" s="20" t="n">
        <v>0</v>
      </c>
      <c r="K82" s="18" t="n">
        <v>0.09366723</v>
      </c>
      <c r="L82" s="20" t="n">
        <v>0.05894477</v>
      </c>
      <c r="M82" s="18" t="n">
        <v>0</v>
      </c>
      <c r="N82" s="20" t="n">
        <v>0</v>
      </c>
      <c r="O82" s="18" t="n">
        <v>0</v>
      </c>
      <c r="P82" s="20" t="n">
        <v>0</v>
      </c>
      <c r="Q82" s="18" t="n">
        <v>6.00312736</v>
      </c>
      <c r="R82" s="20" t="n">
        <v>0.64033872</v>
      </c>
    </row>
    <row r="83" spans="1:18">
      <c r="A83" s="15" t="s">
        <v>507</v>
      </c>
      <c r="B83" s="17" t="n">
        <v>1652</v>
      </c>
      <c r="C83" s="18">
        <f>(1463.0/B83*100)</f>
        <v/>
      </c>
      <c r="D83" s="19" t="n">
        <v>189</v>
      </c>
      <c r="E83" s="18" t="n">
        <v>57.62032705</v>
      </c>
      <c r="F83" s="20" t="n">
        <v>3.98400398</v>
      </c>
      <c r="G83" s="18" t="n">
        <v>38.47401843</v>
      </c>
      <c r="H83" s="20" t="n">
        <v>3.84101568</v>
      </c>
      <c r="I83" s="18" t="n">
        <v>0</v>
      </c>
      <c r="J83" s="20" t="n">
        <v>0</v>
      </c>
      <c r="K83" s="18" t="n">
        <v>0.55311672</v>
      </c>
      <c r="L83" s="20" t="n">
        <v>0.5016751</v>
      </c>
      <c r="M83" s="18" t="n">
        <v>0</v>
      </c>
      <c r="N83" s="20" t="n">
        <v>0</v>
      </c>
      <c r="O83" s="18" t="n">
        <v>0</v>
      </c>
      <c r="P83" s="20" t="n">
        <v>0</v>
      </c>
      <c r="Q83" s="18" t="n">
        <v>3.3525378</v>
      </c>
      <c r="R83" s="20" t="n">
        <v>1.10847468</v>
      </c>
    </row>
    <row r="84" spans="1:18">
      <c r="A84" s="23" t="s">
        <v>508</v>
      </c>
      <c r="B84" s="24" t="n">
        <v>1887</v>
      </c>
      <c r="C84" s="25">
        <f>(1662.0/B84*100)</f>
        <v/>
      </c>
      <c r="D84" s="19" t="n">
        <v>225</v>
      </c>
      <c r="E84" s="18" t="n">
        <v>63.95442276</v>
      </c>
      <c r="F84" s="20" t="n">
        <v>3.75136299</v>
      </c>
      <c r="G84" s="18" t="n">
        <v>33.90054489</v>
      </c>
      <c r="H84" s="20" t="n">
        <v>3.70276813</v>
      </c>
      <c r="I84" s="18" t="n">
        <v>0</v>
      </c>
      <c r="J84" s="20" t="n">
        <v>0</v>
      </c>
      <c r="K84" s="18" t="n">
        <v>0</v>
      </c>
      <c r="L84" s="20" t="n">
        <v>0</v>
      </c>
      <c r="M84" s="18" t="n">
        <v>0</v>
      </c>
      <c r="N84" s="20" t="n">
        <v>0</v>
      </c>
      <c r="O84" s="18" t="n">
        <v>0</v>
      </c>
      <c r="P84" s="20" t="n">
        <v>0</v>
      </c>
      <c r="Q84" s="18" t="n">
        <v>2.14503235</v>
      </c>
      <c r="R84" s="20" t="n">
        <v>1.17633972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(12768.0/B7*100)</f>
        <v/>
      </c>
      <c r="D7" s="19" t="n">
        <v>1762</v>
      </c>
      <c r="E7" s="18" t="n">
        <v>90.13293148</v>
      </c>
      <c r="F7" s="20" t="n">
        <v>0.8939096</v>
      </c>
      <c r="G7" s="18" t="n">
        <v>8.732686599999999</v>
      </c>
      <c r="H7" s="20" t="n">
        <v>0.8848069</v>
      </c>
      <c r="I7" s="18" t="n">
        <v>0</v>
      </c>
      <c r="J7" s="20" t="n">
        <v>0</v>
      </c>
      <c r="K7" s="18" t="n">
        <v>0.18753341</v>
      </c>
      <c r="L7" s="20" t="n">
        <v>0.10379219</v>
      </c>
      <c r="M7" s="18" t="n">
        <v>0</v>
      </c>
      <c r="N7" s="20" t="n">
        <v>0</v>
      </c>
      <c r="O7" s="18" t="n">
        <v>0</v>
      </c>
      <c r="P7" s="20" t="n">
        <v>0</v>
      </c>
      <c r="Q7" s="18" t="n">
        <v>0.94684851</v>
      </c>
      <c r="R7" s="20" t="n">
        <v>0.24027632</v>
      </c>
    </row>
    <row r="8" spans="1:18">
      <c r="A8" s="15" t="s">
        <v>430</v>
      </c>
      <c r="B8" s="17" t="n">
        <v>7007</v>
      </c>
      <c r="C8" s="18">
        <f>(6103.0/B8*100)</f>
        <v/>
      </c>
      <c r="D8" s="19" t="n">
        <v>904</v>
      </c>
      <c r="E8" s="18" t="n">
        <v>84.0616866</v>
      </c>
      <c r="F8" s="20" t="n">
        <v>1.27237934</v>
      </c>
      <c r="G8" s="18" t="n">
        <v>14.55676291</v>
      </c>
      <c r="H8" s="20" t="n">
        <v>1.1921652</v>
      </c>
      <c r="I8" s="18" t="n">
        <v>0</v>
      </c>
      <c r="J8" s="20" t="n">
        <v>0</v>
      </c>
      <c r="K8" s="18" t="n">
        <v>0</v>
      </c>
      <c r="L8" s="20" t="n">
        <v>0</v>
      </c>
      <c r="M8" s="18" t="n">
        <v>0</v>
      </c>
      <c r="N8" s="20" t="n">
        <v>0</v>
      </c>
      <c r="O8" s="18" t="n">
        <v>0</v>
      </c>
      <c r="P8" s="20" t="n">
        <v>0</v>
      </c>
      <c r="Q8" s="18" t="n">
        <v>1.38155049</v>
      </c>
      <c r="R8" s="20" t="n">
        <v>0.47979315</v>
      </c>
    </row>
    <row r="9" spans="1:18">
      <c r="A9" s="15" t="s">
        <v>431</v>
      </c>
      <c r="B9" s="17" t="n">
        <v>9651</v>
      </c>
      <c r="C9" s="18">
        <f>(8504.0/B9*100)</f>
        <v/>
      </c>
      <c r="D9" s="19" t="n">
        <v>1147</v>
      </c>
      <c r="E9" s="18" t="n">
        <v>77.82635414000001</v>
      </c>
      <c r="F9" s="20" t="n">
        <v>1.15327051</v>
      </c>
      <c r="G9" s="18" t="n">
        <v>20.82633319</v>
      </c>
      <c r="H9" s="20" t="n">
        <v>1.18508412</v>
      </c>
      <c r="I9" s="18" t="n">
        <v>0</v>
      </c>
      <c r="J9" s="20" t="n">
        <v>0</v>
      </c>
      <c r="K9" s="18" t="n">
        <v>0</v>
      </c>
      <c r="L9" s="20" t="n">
        <v>0</v>
      </c>
      <c r="M9" s="18" t="n">
        <v>0</v>
      </c>
      <c r="N9" s="20" t="n">
        <v>0</v>
      </c>
      <c r="O9" s="18" t="n">
        <v>0</v>
      </c>
      <c r="P9" s="20" t="n">
        <v>0</v>
      </c>
      <c r="Q9" s="18" t="n">
        <v>1.34731267</v>
      </c>
      <c r="R9" s="20" t="n">
        <v>0.32111179</v>
      </c>
    </row>
    <row r="10" spans="1:18">
      <c r="A10" s="15" t="s">
        <v>432</v>
      </c>
      <c r="B10" s="17" t="n">
        <v>20058</v>
      </c>
      <c r="C10" s="18">
        <f>(17574.0/B10*100)</f>
        <v/>
      </c>
      <c r="D10" s="19" t="n">
        <v>2484</v>
      </c>
      <c r="E10" s="18" t="n">
        <v>89.00978875</v>
      </c>
      <c r="F10" s="20" t="n">
        <v>1.10320228</v>
      </c>
      <c r="G10" s="18" t="n">
        <v>10.08751977</v>
      </c>
      <c r="H10" s="20" t="n">
        <v>1.09191306</v>
      </c>
      <c r="I10" s="18" t="n">
        <v>0</v>
      </c>
      <c r="J10" s="20" t="n">
        <v>0</v>
      </c>
      <c r="K10" s="18" t="n">
        <v>0.26173194</v>
      </c>
      <c r="L10" s="20" t="n">
        <v>0.15992294</v>
      </c>
      <c r="M10" s="18" t="n">
        <v>0</v>
      </c>
      <c r="N10" s="20" t="n">
        <v>0</v>
      </c>
      <c r="O10" s="18" t="n">
        <v>0</v>
      </c>
      <c r="P10" s="20" t="n">
        <v>0</v>
      </c>
      <c r="Q10" s="18" t="n">
        <v>0.64095954</v>
      </c>
      <c r="R10" s="20" t="n">
        <v>0.19801966</v>
      </c>
    </row>
    <row r="11" spans="1:18">
      <c r="A11" s="15" t="s">
        <v>433</v>
      </c>
      <c r="B11" s="17" t="n">
        <v>7053</v>
      </c>
      <c r="C11" s="18">
        <f>(6205.0/B11*100)</f>
        <v/>
      </c>
      <c r="D11" s="19" t="n">
        <v>848</v>
      </c>
      <c r="E11" s="18" t="n">
        <v>90.94171962999999</v>
      </c>
      <c r="F11" s="20" t="n">
        <v>1.25594195</v>
      </c>
      <c r="G11" s="18" t="n">
        <v>6.14822533</v>
      </c>
      <c r="H11" s="20" t="n">
        <v>1.04127352</v>
      </c>
      <c r="I11" s="18" t="n">
        <v>0</v>
      </c>
      <c r="J11" s="20" t="n">
        <v>0</v>
      </c>
      <c r="K11" s="18" t="n">
        <v>0.23223328</v>
      </c>
      <c r="L11" s="20" t="n">
        <v>0.20216087</v>
      </c>
      <c r="M11" s="18" t="n">
        <v>0</v>
      </c>
      <c r="N11" s="20" t="n">
        <v>0</v>
      </c>
      <c r="O11" s="18" t="n">
        <v>0</v>
      </c>
      <c r="P11" s="20" t="n">
        <v>0</v>
      </c>
      <c r="Q11" s="18" t="n">
        <v>2.67782177</v>
      </c>
      <c r="R11" s="20" t="n">
        <v>0.65086871</v>
      </c>
    </row>
    <row r="12" spans="1:18">
      <c r="A12" s="15" t="s">
        <v>434</v>
      </c>
      <c r="B12" s="17" t="n">
        <v>6894</v>
      </c>
      <c r="C12" s="18">
        <f>(6067.0/B12*100)</f>
        <v/>
      </c>
      <c r="D12" s="19" t="n">
        <v>827</v>
      </c>
      <c r="E12" s="18" t="n">
        <v>88.91950674</v>
      </c>
      <c r="F12" s="20" t="n">
        <v>1.20743479</v>
      </c>
      <c r="G12" s="18" t="n">
        <v>9.431546839999999</v>
      </c>
      <c r="H12" s="20" t="n">
        <v>1.07739041</v>
      </c>
      <c r="I12" s="18" t="n">
        <v>0</v>
      </c>
      <c r="J12" s="20" t="n">
        <v>0</v>
      </c>
      <c r="K12" s="18" t="n">
        <v>0</v>
      </c>
      <c r="L12" s="20" t="n">
        <v>0</v>
      </c>
      <c r="M12" s="18" t="n">
        <v>0</v>
      </c>
      <c r="N12" s="20" t="n">
        <v>0</v>
      </c>
      <c r="O12" s="18" t="n">
        <v>0</v>
      </c>
      <c r="P12" s="20" t="n">
        <v>0</v>
      </c>
      <c r="Q12" s="18" t="n">
        <v>1.64894642</v>
      </c>
      <c r="R12" s="20" t="n">
        <v>0.65915521</v>
      </c>
    </row>
    <row r="13" spans="1:18">
      <c r="A13" s="15" t="s">
        <v>435</v>
      </c>
      <c r="B13" s="17" t="n">
        <v>7161</v>
      </c>
      <c r="C13" s="18">
        <f>(6322.0/B13*100)</f>
        <v/>
      </c>
      <c r="D13" s="19" t="n">
        <v>839</v>
      </c>
      <c r="E13" s="18" t="n">
        <v>87.02890447999999</v>
      </c>
      <c r="F13" s="20" t="n">
        <v>1.36718918</v>
      </c>
      <c r="G13" s="18" t="n">
        <v>11.27963405</v>
      </c>
      <c r="H13" s="20" t="n">
        <v>1.24408724</v>
      </c>
      <c r="I13" s="18" t="n">
        <v>0</v>
      </c>
      <c r="J13" s="20" t="n">
        <v>0</v>
      </c>
      <c r="K13" s="18" t="n">
        <v>0.51179487</v>
      </c>
      <c r="L13" s="20" t="n">
        <v>0.36687548</v>
      </c>
      <c r="M13" s="18" t="n">
        <v>0</v>
      </c>
      <c r="N13" s="20" t="n">
        <v>0</v>
      </c>
      <c r="O13" s="18" t="n">
        <v>0</v>
      </c>
      <c r="P13" s="20" t="n">
        <v>0</v>
      </c>
      <c r="Q13" s="18" t="n">
        <v>1.17966659</v>
      </c>
      <c r="R13" s="20" t="n">
        <v>0.3405032</v>
      </c>
    </row>
    <row r="14" spans="1:18">
      <c r="A14" s="15" t="s">
        <v>436</v>
      </c>
      <c r="B14" s="17" t="n">
        <v>5587</v>
      </c>
      <c r="C14" s="18">
        <f>(4899.0/B14*100)</f>
        <v/>
      </c>
      <c r="D14" s="19" t="n">
        <v>688</v>
      </c>
      <c r="E14" s="18" t="n">
        <v>74.31216392</v>
      </c>
      <c r="F14" s="20" t="n">
        <v>1.76953411</v>
      </c>
      <c r="G14" s="18" t="n">
        <v>25.68783608</v>
      </c>
      <c r="H14" s="20" t="n">
        <v>1.76953411</v>
      </c>
      <c r="I14" s="18" t="n">
        <v>0</v>
      </c>
      <c r="J14" s="20" t="n">
        <v>0</v>
      </c>
      <c r="K14" s="18" t="n">
        <v>0</v>
      </c>
      <c r="L14" s="20" t="n">
        <v>0</v>
      </c>
      <c r="M14" s="18" t="n">
        <v>0</v>
      </c>
      <c r="N14" s="20" t="n">
        <v>0</v>
      </c>
      <c r="O14" s="18" t="n">
        <v>0</v>
      </c>
      <c r="P14" s="20" t="n">
        <v>0</v>
      </c>
      <c r="Q14" s="18" t="n">
        <v>0</v>
      </c>
      <c r="R14" s="20" t="n">
        <v>0</v>
      </c>
    </row>
    <row r="15" spans="1:18">
      <c r="A15" s="15" t="s">
        <v>437</v>
      </c>
      <c r="B15" s="17" t="n">
        <v>5882</v>
      </c>
      <c r="C15" s="18">
        <f>(5174.0/B15*100)</f>
        <v/>
      </c>
      <c r="D15" s="19" t="n">
        <v>708</v>
      </c>
      <c r="E15" s="18" t="n">
        <v>82.50667751</v>
      </c>
      <c r="F15" s="20" t="n">
        <v>1.66438506</v>
      </c>
      <c r="G15" s="18" t="n">
        <v>16.8188604</v>
      </c>
      <c r="H15" s="20" t="n">
        <v>1.62604677</v>
      </c>
      <c r="I15" s="18" t="n">
        <v>0</v>
      </c>
      <c r="J15" s="20" t="n">
        <v>0</v>
      </c>
      <c r="K15" s="18" t="n">
        <v>0.13163318</v>
      </c>
      <c r="L15" s="20" t="n">
        <v>0.13226258</v>
      </c>
      <c r="M15" s="18" t="n">
        <v>0</v>
      </c>
      <c r="N15" s="20" t="n">
        <v>0</v>
      </c>
      <c r="O15" s="18" t="n">
        <v>0</v>
      </c>
      <c r="P15" s="20" t="n">
        <v>0</v>
      </c>
      <c r="Q15" s="18" t="n">
        <v>0.54282891</v>
      </c>
      <c r="R15" s="20" t="n">
        <v>0.27559556</v>
      </c>
    </row>
    <row r="16" spans="1:18">
      <c r="A16" s="15" t="s">
        <v>438</v>
      </c>
      <c r="B16" s="17" t="n">
        <v>6108</v>
      </c>
      <c r="C16" s="18">
        <f>(5377.0/B16*100)</f>
        <v/>
      </c>
      <c r="D16" s="19" t="n">
        <v>731</v>
      </c>
      <c r="E16" s="18" t="n">
        <v>80.31005168</v>
      </c>
      <c r="F16" s="20" t="n">
        <v>1.27387873</v>
      </c>
      <c r="G16" s="18" t="n">
        <v>17.08880318</v>
      </c>
      <c r="H16" s="20" t="n">
        <v>1.24654547</v>
      </c>
      <c r="I16" s="18" t="n">
        <v>0</v>
      </c>
      <c r="J16" s="20" t="n">
        <v>0</v>
      </c>
      <c r="K16" s="18" t="n">
        <v>0.7680822</v>
      </c>
      <c r="L16" s="20" t="n">
        <v>0.37370015</v>
      </c>
      <c r="M16" s="18" t="n">
        <v>0</v>
      </c>
      <c r="N16" s="20" t="n">
        <v>0</v>
      </c>
      <c r="O16" s="18" t="n">
        <v>0</v>
      </c>
      <c r="P16" s="20" t="n">
        <v>0</v>
      </c>
      <c r="Q16" s="18" t="n">
        <v>1.83306295</v>
      </c>
      <c r="R16" s="20" t="n">
        <v>0.50689252</v>
      </c>
    </row>
    <row r="17" spans="1:18">
      <c r="A17" s="15" t="s">
        <v>439</v>
      </c>
      <c r="B17" s="17" t="n">
        <v>6504</v>
      </c>
      <c r="C17" s="18">
        <f>(5737.0/B17*100)</f>
        <v/>
      </c>
      <c r="D17" s="19" t="n">
        <v>767</v>
      </c>
      <c r="E17" s="18" t="n">
        <v>78.32711745</v>
      </c>
      <c r="F17" s="20" t="n">
        <v>1.61955774</v>
      </c>
      <c r="G17" s="18" t="n">
        <v>19.43014381</v>
      </c>
      <c r="H17" s="20" t="n">
        <v>1.65181289</v>
      </c>
      <c r="I17" s="18" t="n">
        <v>0</v>
      </c>
      <c r="J17" s="20" t="n">
        <v>0</v>
      </c>
      <c r="K17" s="18" t="n">
        <v>0.15464654</v>
      </c>
      <c r="L17" s="20" t="n">
        <v>0.15474629</v>
      </c>
      <c r="M17" s="18" t="n">
        <v>0</v>
      </c>
      <c r="N17" s="20" t="n">
        <v>0</v>
      </c>
      <c r="O17" s="18" t="n">
        <v>0</v>
      </c>
      <c r="P17" s="20" t="n">
        <v>0</v>
      </c>
      <c r="Q17" s="18" t="n">
        <v>2.0880922</v>
      </c>
      <c r="R17" s="20" t="n">
        <v>0.49941117</v>
      </c>
    </row>
    <row r="18" spans="1:18">
      <c r="A18" s="15" t="s">
        <v>440</v>
      </c>
      <c r="B18" s="17" t="n">
        <v>5532</v>
      </c>
      <c r="C18" s="18">
        <f>(4852.0/B18*100)</f>
        <v/>
      </c>
      <c r="D18" s="19" t="n">
        <v>680</v>
      </c>
      <c r="E18" s="18" t="n">
        <v>82.61532894</v>
      </c>
      <c r="F18" s="20" t="n">
        <v>1.61493326</v>
      </c>
      <c r="G18" s="18" t="n">
        <v>14.26970798</v>
      </c>
      <c r="H18" s="20" t="n">
        <v>1.40885519</v>
      </c>
      <c r="I18" s="18" t="n">
        <v>0</v>
      </c>
      <c r="J18" s="20" t="n">
        <v>0</v>
      </c>
      <c r="K18" s="18" t="n">
        <v>0.49346589</v>
      </c>
      <c r="L18" s="20" t="n">
        <v>0.31418035</v>
      </c>
      <c r="M18" s="18" t="n">
        <v>0</v>
      </c>
      <c r="N18" s="20" t="n">
        <v>0</v>
      </c>
      <c r="O18" s="18" t="n">
        <v>0</v>
      </c>
      <c r="P18" s="20" t="n">
        <v>0</v>
      </c>
      <c r="Q18" s="18" t="n">
        <v>2.62149719</v>
      </c>
      <c r="R18" s="20" t="n">
        <v>0.7016749</v>
      </c>
    </row>
    <row r="19" spans="1:18">
      <c r="A19" s="15" t="s">
        <v>441</v>
      </c>
      <c r="B19" s="17" t="n">
        <v>5658</v>
      </c>
      <c r="C19" s="18">
        <f>(4955.0/B19*100)</f>
        <v/>
      </c>
      <c r="D19" s="19" t="n">
        <v>703</v>
      </c>
      <c r="E19" s="18" t="n">
        <v>87.00918882000001</v>
      </c>
      <c r="F19" s="20" t="n">
        <v>1.26337667</v>
      </c>
      <c r="G19" s="18" t="n">
        <v>12.21080321</v>
      </c>
      <c r="H19" s="20" t="n">
        <v>1.2344257</v>
      </c>
      <c r="I19" s="18" t="n">
        <v>0</v>
      </c>
      <c r="J19" s="20" t="n">
        <v>0</v>
      </c>
      <c r="K19" s="18" t="n">
        <v>0</v>
      </c>
      <c r="L19" s="20" t="n">
        <v>0</v>
      </c>
      <c r="M19" s="18" t="n">
        <v>0</v>
      </c>
      <c r="N19" s="20" t="n">
        <v>0</v>
      </c>
      <c r="O19" s="18" t="n">
        <v>0</v>
      </c>
      <c r="P19" s="20" t="n">
        <v>0</v>
      </c>
      <c r="Q19" s="18" t="n">
        <v>0.78000797</v>
      </c>
      <c r="R19" s="20" t="n">
        <v>0.47154007</v>
      </c>
    </row>
    <row r="20" spans="1:18">
      <c r="A20" s="15" t="s">
        <v>442</v>
      </c>
      <c r="B20" s="17" t="n">
        <v>3371</v>
      </c>
      <c r="C20" s="18">
        <f>(2962.0/B20*100)</f>
        <v/>
      </c>
      <c r="D20" s="19" t="n">
        <v>409</v>
      </c>
      <c r="E20" s="18" t="n">
        <v>83.98038235999999</v>
      </c>
      <c r="F20" s="20" t="n">
        <v>1.7306699</v>
      </c>
      <c r="G20" s="18" t="n">
        <v>12.77456314</v>
      </c>
      <c r="H20" s="20" t="n">
        <v>1.53011329</v>
      </c>
      <c r="I20" s="18" t="n">
        <v>0</v>
      </c>
      <c r="J20" s="20" t="n">
        <v>0</v>
      </c>
      <c r="K20" s="18" t="n">
        <v>0.5175582399999999</v>
      </c>
      <c r="L20" s="20" t="n">
        <v>0.35464301</v>
      </c>
      <c r="M20" s="18" t="n">
        <v>0</v>
      </c>
      <c r="N20" s="20" t="n">
        <v>0</v>
      </c>
      <c r="O20" s="18" t="n">
        <v>0</v>
      </c>
      <c r="P20" s="20" t="n">
        <v>0</v>
      </c>
      <c r="Q20" s="18" t="n">
        <v>2.72749627</v>
      </c>
      <c r="R20" s="20" t="n">
        <v>0.83748741</v>
      </c>
    </row>
    <row r="21" spans="1:18">
      <c r="A21" s="15" t="s">
        <v>443</v>
      </c>
      <c r="B21" s="17" t="n">
        <v>5741</v>
      </c>
      <c r="C21" s="18">
        <f>(4782.0/B21*100)</f>
        <v/>
      </c>
      <c r="D21" s="19" t="n">
        <v>959</v>
      </c>
      <c r="E21" s="18" t="n">
        <v>90.61933624</v>
      </c>
      <c r="F21" s="20" t="n">
        <v>0.84909199</v>
      </c>
      <c r="G21" s="18" t="n">
        <v>9.089062569999999</v>
      </c>
      <c r="H21" s="20" t="n">
        <v>0.8185295</v>
      </c>
      <c r="I21" s="18" t="n">
        <v>0</v>
      </c>
      <c r="J21" s="20" t="n">
        <v>0</v>
      </c>
      <c r="K21" s="18" t="n">
        <v>0</v>
      </c>
      <c r="L21" s="20" t="n">
        <v>0</v>
      </c>
      <c r="M21" s="18" t="n">
        <v>0</v>
      </c>
      <c r="N21" s="20" t="n">
        <v>0</v>
      </c>
      <c r="O21" s="18" t="n">
        <v>0</v>
      </c>
      <c r="P21" s="20" t="n">
        <v>0</v>
      </c>
      <c r="Q21" s="18" t="n">
        <v>0.29160119</v>
      </c>
      <c r="R21" s="20" t="n">
        <v>0.19364276</v>
      </c>
    </row>
    <row r="22" spans="1:18">
      <c r="A22" s="15" t="s">
        <v>444</v>
      </c>
      <c r="B22" s="17" t="n">
        <v>6598</v>
      </c>
      <c r="C22" s="18">
        <f>(5767.0/B22*100)</f>
        <v/>
      </c>
      <c r="D22" s="19" t="n">
        <v>831</v>
      </c>
      <c r="E22" s="18" t="n">
        <v>81.70907969</v>
      </c>
      <c r="F22" s="20" t="n">
        <v>1.36039303</v>
      </c>
      <c r="G22" s="18" t="n">
        <v>15.05992825</v>
      </c>
      <c r="H22" s="20" t="n">
        <v>1.18036916</v>
      </c>
      <c r="I22" s="18" t="n">
        <v>0</v>
      </c>
      <c r="J22" s="20" t="n">
        <v>0</v>
      </c>
      <c r="K22" s="18" t="n">
        <v>0.31708561</v>
      </c>
      <c r="L22" s="20" t="n">
        <v>0.23418124</v>
      </c>
      <c r="M22" s="18" t="n">
        <v>0</v>
      </c>
      <c r="N22" s="20" t="n">
        <v>0</v>
      </c>
      <c r="O22" s="18" t="n">
        <v>0</v>
      </c>
      <c r="P22" s="20" t="n">
        <v>0</v>
      </c>
      <c r="Q22" s="18" t="n">
        <v>2.91390645</v>
      </c>
      <c r="R22" s="20" t="n">
        <v>0.59176885</v>
      </c>
    </row>
    <row r="23" spans="1:18">
      <c r="A23" s="15" t="s">
        <v>445</v>
      </c>
      <c r="B23" s="17" t="n">
        <v>11583</v>
      </c>
      <c r="C23" s="18">
        <f>(10129.0/B23*100)</f>
        <v/>
      </c>
      <c r="D23" s="19" t="n">
        <v>1454</v>
      </c>
      <c r="E23" s="18" t="n">
        <v>84.00261703</v>
      </c>
      <c r="F23" s="20" t="n">
        <v>1.45192829</v>
      </c>
      <c r="G23" s="18" t="n">
        <v>13.83476345</v>
      </c>
      <c r="H23" s="20" t="n">
        <v>1.27114165</v>
      </c>
      <c r="I23" s="18" t="n">
        <v>0</v>
      </c>
      <c r="J23" s="20" t="n">
        <v>0</v>
      </c>
      <c r="K23" s="18" t="n">
        <v>0.39146764</v>
      </c>
      <c r="L23" s="20" t="n">
        <v>0.27537639</v>
      </c>
      <c r="M23" s="18" t="n">
        <v>0</v>
      </c>
      <c r="N23" s="20" t="n">
        <v>0</v>
      </c>
      <c r="O23" s="18" t="n">
        <v>0</v>
      </c>
      <c r="P23" s="20" t="n">
        <v>0</v>
      </c>
      <c r="Q23" s="18" t="n">
        <v>1.77115187</v>
      </c>
      <c r="R23" s="20" t="n">
        <v>0.6249980000000001</v>
      </c>
    </row>
    <row r="24" spans="1:18">
      <c r="A24" s="15" t="s">
        <v>446</v>
      </c>
      <c r="B24" s="17" t="n">
        <v>6647</v>
      </c>
      <c r="C24" s="18">
        <f>(5880.0/B24*100)</f>
        <v/>
      </c>
      <c r="D24" s="19" t="n">
        <v>767</v>
      </c>
      <c r="E24" s="18" t="n">
        <v>77.6777986</v>
      </c>
      <c r="F24" s="20" t="n">
        <v>1.46833442</v>
      </c>
      <c r="G24" s="18" t="n">
        <v>21.7231995</v>
      </c>
      <c r="H24" s="20" t="n">
        <v>1.47688328</v>
      </c>
      <c r="I24" s="18" t="n">
        <v>0</v>
      </c>
      <c r="J24" s="20" t="n">
        <v>0</v>
      </c>
      <c r="K24" s="18" t="n">
        <v>0.11796807</v>
      </c>
      <c r="L24" s="20" t="n">
        <v>0.11839609</v>
      </c>
      <c r="M24" s="18" t="n">
        <v>0</v>
      </c>
      <c r="N24" s="20" t="n">
        <v>0</v>
      </c>
      <c r="O24" s="18" t="n">
        <v>0</v>
      </c>
      <c r="P24" s="20" t="n">
        <v>0</v>
      </c>
      <c r="Q24" s="18" t="n">
        <v>0.48103382</v>
      </c>
      <c r="R24" s="20" t="n">
        <v>0.24135891</v>
      </c>
    </row>
    <row r="25" spans="1:18">
      <c r="A25" s="15" t="s">
        <v>447</v>
      </c>
      <c r="B25" s="17" t="n">
        <v>5581</v>
      </c>
      <c r="C25" s="18">
        <f>(4891.0/B25*100)</f>
        <v/>
      </c>
      <c r="D25" s="19" t="n">
        <v>690</v>
      </c>
      <c r="E25" s="18" t="n">
        <v>81.63515945</v>
      </c>
      <c r="F25" s="20" t="n">
        <v>1.51688201</v>
      </c>
      <c r="G25" s="18" t="n">
        <v>17.53603299</v>
      </c>
      <c r="H25" s="20" t="n">
        <v>1.44882635</v>
      </c>
      <c r="I25" s="18" t="n">
        <v>0</v>
      </c>
      <c r="J25" s="20" t="n">
        <v>0</v>
      </c>
      <c r="K25" s="18" t="n">
        <v>0.69150238</v>
      </c>
      <c r="L25" s="20" t="n">
        <v>0.3177594</v>
      </c>
      <c r="M25" s="18" t="n">
        <v>0</v>
      </c>
      <c r="N25" s="20" t="n">
        <v>0</v>
      </c>
      <c r="O25" s="18" t="n">
        <v>0</v>
      </c>
      <c r="P25" s="20" t="n">
        <v>0</v>
      </c>
      <c r="Q25" s="18" t="n">
        <v>0.13730518</v>
      </c>
      <c r="R25" s="20" t="n">
        <v>0.13766232</v>
      </c>
    </row>
    <row r="26" spans="1:18">
      <c r="A26" s="15" t="s">
        <v>448</v>
      </c>
      <c r="B26" s="17" t="n">
        <v>4869</v>
      </c>
      <c r="C26" s="18">
        <f>(4269.0/B26*100)</f>
        <v/>
      </c>
      <c r="D26" s="19" t="n">
        <v>600</v>
      </c>
      <c r="E26" s="18" t="n">
        <v>83.48031199</v>
      </c>
      <c r="F26" s="20" t="n">
        <v>1.88138612</v>
      </c>
      <c r="G26" s="18" t="n">
        <v>15.79886269</v>
      </c>
      <c r="H26" s="20" t="n">
        <v>1.89588254</v>
      </c>
      <c r="I26" s="18" t="n">
        <v>0</v>
      </c>
      <c r="J26" s="20" t="n">
        <v>0</v>
      </c>
      <c r="K26" s="18" t="n">
        <v>0.15532569</v>
      </c>
      <c r="L26" s="20" t="n">
        <v>0.15368104</v>
      </c>
      <c r="M26" s="18" t="n">
        <v>0</v>
      </c>
      <c r="N26" s="20" t="n">
        <v>0</v>
      </c>
      <c r="O26" s="18" t="n">
        <v>0</v>
      </c>
      <c r="P26" s="20" t="n">
        <v>0</v>
      </c>
      <c r="Q26" s="18" t="n">
        <v>0.56549962</v>
      </c>
      <c r="R26" s="20" t="n">
        <v>0.35947194</v>
      </c>
    </row>
    <row r="27" spans="1:18">
      <c r="A27" s="15" t="s">
        <v>449</v>
      </c>
      <c r="B27" s="17" t="n">
        <v>5299</v>
      </c>
      <c r="C27" s="18">
        <f>(4638.0/B27*100)</f>
        <v/>
      </c>
      <c r="D27" s="19" t="n">
        <v>661</v>
      </c>
      <c r="E27" s="18" t="n">
        <v>81.64328829</v>
      </c>
      <c r="F27" s="20" t="n">
        <v>1.45641503</v>
      </c>
      <c r="G27" s="18" t="n">
        <v>16.65032354</v>
      </c>
      <c r="H27" s="20" t="n">
        <v>1.37054428</v>
      </c>
      <c r="I27" s="18" t="n">
        <v>0</v>
      </c>
      <c r="J27" s="20" t="n">
        <v>0</v>
      </c>
      <c r="K27" s="18" t="n">
        <v>0.32178053</v>
      </c>
      <c r="L27" s="20" t="n">
        <v>0.2224102</v>
      </c>
      <c r="M27" s="18" t="n">
        <v>0</v>
      </c>
      <c r="N27" s="20" t="n">
        <v>0</v>
      </c>
      <c r="O27" s="18" t="n">
        <v>0</v>
      </c>
      <c r="P27" s="20" t="n">
        <v>0</v>
      </c>
      <c r="Q27" s="18" t="n">
        <v>1.38460764</v>
      </c>
      <c r="R27" s="20" t="n">
        <v>0.45303968</v>
      </c>
    </row>
    <row r="28" spans="1:18">
      <c r="A28" s="15" t="s">
        <v>450</v>
      </c>
      <c r="B28" s="17" t="n">
        <v>7568</v>
      </c>
      <c r="C28" s="18">
        <f>(6672.0/B28*100)</f>
        <v/>
      </c>
      <c r="D28" s="19" t="n">
        <v>896</v>
      </c>
      <c r="E28" s="18" t="n">
        <v>90.76426178</v>
      </c>
      <c r="F28" s="20" t="n">
        <v>1.18683651</v>
      </c>
      <c r="G28" s="18" t="n">
        <v>7.94447339</v>
      </c>
      <c r="H28" s="20" t="n">
        <v>1.07338697</v>
      </c>
      <c r="I28" s="18" t="n">
        <v>0</v>
      </c>
      <c r="J28" s="20" t="n">
        <v>0</v>
      </c>
      <c r="K28" s="18" t="n">
        <v>0.23129482</v>
      </c>
      <c r="L28" s="20" t="n">
        <v>0.1669258</v>
      </c>
      <c r="M28" s="18" t="n">
        <v>0</v>
      </c>
      <c r="N28" s="20" t="n">
        <v>0</v>
      </c>
      <c r="O28" s="18" t="n">
        <v>0</v>
      </c>
      <c r="P28" s="20" t="n">
        <v>0</v>
      </c>
      <c r="Q28" s="18" t="n">
        <v>1.05997001</v>
      </c>
      <c r="R28" s="20" t="n">
        <v>0.42800099</v>
      </c>
    </row>
    <row r="29" spans="1:18">
      <c r="A29" s="15" t="s">
        <v>451</v>
      </c>
      <c r="B29" s="17" t="n">
        <v>5385</v>
      </c>
      <c r="C29" s="18">
        <f>(4748.0/B29*100)</f>
        <v/>
      </c>
      <c r="D29" s="19" t="n">
        <v>637</v>
      </c>
      <c r="E29" s="18" t="n">
        <v>76.52554005</v>
      </c>
      <c r="F29" s="20" t="n">
        <v>1.60400258</v>
      </c>
      <c r="G29" s="18" t="n">
        <v>23.11090026</v>
      </c>
      <c r="H29" s="20" t="n">
        <v>1.57567979</v>
      </c>
      <c r="I29" s="18" t="n">
        <v>0</v>
      </c>
      <c r="J29" s="20" t="n">
        <v>0</v>
      </c>
      <c r="K29" s="18" t="n">
        <v>0.2010417</v>
      </c>
      <c r="L29" s="20" t="n">
        <v>0.198841</v>
      </c>
      <c r="M29" s="18" t="n">
        <v>0</v>
      </c>
      <c r="N29" s="20" t="n">
        <v>0</v>
      </c>
      <c r="O29" s="18" t="n">
        <v>0</v>
      </c>
      <c r="P29" s="20" t="n">
        <v>0</v>
      </c>
      <c r="Q29" s="18" t="n">
        <v>0.16251798</v>
      </c>
      <c r="R29" s="20" t="n">
        <v>0.1689403</v>
      </c>
    </row>
    <row r="30" spans="1:18">
      <c r="A30" s="15" t="s">
        <v>452</v>
      </c>
      <c r="B30" s="17" t="n">
        <v>4520</v>
      </c>
      <c r="C30" s="18">
        <f>(4003.0/B30*100)</f>
        <v/>
      </c>
      <c r="D30" s="19" t="n">
        <v>517</v>
      </c>
      <c r="E30" s="18" t="n">
        <v>87.80361637999999</v>
      </c>
      <c r="F30" s="20" t="n">
        <v>1.56454824</v>
      </c>
      <c r="G30" s="18" t="n">
        <v>10.58171442</v>
      </c>
      <c r="H30" s="20" t="n">
        <v>1.36884992</v>
      </c>
      <c r="I30" s="18" t="n">
        <v>0</v>
      </c>
      <c r="J30" s="20" t="n">
        <v>0</v>
      </c>
      <c r="K30" s="18" t="n">
        <v>0</v>
      </c>
      <c r="L30" s="20" t="n">
        <v>0</v>
      </c>
      <c r="M30" s="18" t="n">
        <v>0</v>
      </c>
      <c r="N30" s="20" t="n">
        <v>0</v>
      </c>
      <c r="O30" s="18" t="n">
        <v>0</v>
      </c>
      <c r="P30" s="20" t="n">
        <v>0</v>
      </c>
      <c r="Q30" s="18" t="n">
        <v>1.6146692</v>
      </c>
      <c r="R30" s="20" t="n">
        <v>0.63045289</v>
      </c>
    </row>
    <row r="31" spans="1:18">
      <c r="A31" s="15" t="s">
        <v>453</v>
      </c>
      <c r="B31" s="17" t="n">
        <v>5456</v>
      </c>
      <c r="C31" s="18">
        <f>(4800.0/B31*100)</f>
        <v/>
      </c>
      <c r="D31" s="19" t="n">
        <v>656</v>
      </c>
      <c r="E31" s="18" t="n">
        <v>76.99003994</v>
      </c>
      <c r="F31" s="20" t="n">
        <v>1.43799397</v>
      </c>
      <c r="G31" s="18" t="n">
        <v>21.6670111</v>
      </c>
      <c r="H31" s="20" t="n">
        <v>1.40223784</v>
      </c>
      <c r="I31" s="18" t="n">
        <v>0</v>
      </c>
      <c r="J31" s="20" t="n">
        <v>0</v>
      </c>
      <c r="K31" s="18" t="n">
        <v>0.32129991</v>
      </c>
      <c r="L31" s="20" t="n">
        <v>0.23832954</v>
      </c>
      <c r="M31" s="18" t="n">
        <v>0</v>
      </c>
      <c r="N31" s="20" t="n">
        <v>0</v>
      </c>
      <c r="O31" s="18" t="n">
        <v>0</v>
      </c>
      <c r="P31" s="20" t="n">
        <v>0</v>
      </c>
      <c r="Q31" s="18" t="n">
        <v>1.02164905</v>
      </c>
      <c r="R31" s="20" t="n">
        <v>0.3815574</v>
      </c>
    </row>
    <row r="32" spans="1:18">
      <c r="A32" s="15" t="s">
        <v>454</v>
      </c>
      <c r="B32" s="17" t="n">
        <v>4478</v>
      </c>
      <c r="C32" s="18">
        <f>(3735.0/B32*100)</f>
        <v/>
      </c>
      <c r="D32" s="19" t="n">
        <v>743</v>
      </c>
      <c r="E32" s="18" t="n">
        <v>89.62695955</v>
      </c>
      <c r="F32" s="20" t="n">
        <v>1.15557008</v>
      </c>
      <c r="G32" s="18" t="n">
        <v>10.00314219</v>
      </c>
      <c r="H32" s="20" t="n">
        <v>1.19636627</v>
      </c>
      <c r="I32" s="18" t="n">
        <v>0</v>
      </c>
      <c r="J32" s="20" t="n">
        <v>0</v>
      </c>
      <c r="K32" s="18" t="n">
        <v>0.12994118</v>
      </c>
      <c r="L32" s="20" t="n">
        <v>0.12231666</v>
      </c>
      <c r="M32" s="18" t="n">
        <v>0</v>
      </c>
      <c r="N32" s="20" t="n">
        <v>0</v>
      </c>
      <c r="O32" s="18" t="n">
        <v>0</v>
      </c>
      <c r="P32" s="20" t="n">
        <v>0</v>
      </c>
      <c r="Q32" s="18" t="n">
        <v>0.23995708</v>
      </c>
      <c r="R32" s="20" t="n">
        <v>0.16996855</v>
      </c>
    </row>
    <row r="33" spans="1:18">
      <c r="A33" s="15" t="s">
        <v>455</v>
      </c>
      <c r="B33" s="17" t="n">
        <v>7325</v>
      </c>
      <c r="C33" s="18">
        <f>(6439.0/B33*100)</f>
        <v/>
      </c>
      <c r="D33" s="19" t="n">
        <v>886</v>
      </c>
      <c r="E33" s="18" t="n">
        <v>83.07713505</v>
      </c>
      <c r="F33" s="20" t="n">
        <v>1.85094098</v>
      </c>
      <c r="G33" s="18" t="n">
        <v>16.54318725</v>
      </c>
      <c r="H33" s="20" t="n">
        <v>1.89713896</v>
      </c>
      <c r="I33" s="18" t="n">
        <v>0</v>
      </c>
      <c r="J33" s="20" t="n">
        <v>0</v>
      </c>
      <c r="K33" s="18" t="n">
        <v>0</v>
      </c>
      <c r="L33" s="20" t="n">
        <v>0</v>
      </c>
      <c r="M33" s="18" t="n">
        <v>0</v>
      </c>
      <c r="N33" s="20" t="n">
        <v>0</v>
      </c>
      <c r="O33" s="18" t="n">
        <v>0</v>
      </c>
      <c r="P33" s="20" t="n">
        <v>0</v>
      </c>
      <c r="Q33" s="18" t="n">
        <v>0.3796777</v>
      </c>
      <c r="R33" s="20" t="n">
        <v>0.24297383</v>
      </c>
    </row>
    <row r="34" spans="1:18">
      <c r="A34" s="15" t="s">
        <v>456</v>
      </c>
      <c r="B34" s="17" t="n">
        <v>6350</v>
      </c>
      <c r="C34" s="18">
        <f>(5604.0/B34*100)</f>
        <v/>
      </c>
      <c r="D34" s="19" t="n">
        <v>746</v>
      </c>
      <c r="E34" s="18" t="n">
        <v>86.48327575</v>
      </c>
      <c r="F34" s="20" t="n">
        <v>1.20855801</v>
      </c>
      <c r="G34" s="18" t="n">
        <v>12.302142</v>
      </c>
      <c r="H34" s="20" t="n">
        <v>1.16332333</v>
      </c>
      <c r="I34" s="18" t="n">
        <v>0</v>
      </c>
      <c r="J34" s="20" t="n">
        <v>0</v>
      </c>
      <c r="K34" s="18" t="n">
        <v>0</v>
      </c>
      <c r="L34" s="20" t="n">
        <v>0</v>
      </c>
      <c r="M34" s="18" t="n">
        <v>0</v>
      </c>
      <c r="N34" s="20" t="n">
        <v>0</v>
      </c>
      <c r="O34" s="18" t="n">
        <v>0</v>
      </c>
      <c r="P34" s="20" t="n">
        <v>0</v>
      </c>
      <c r="Q34" s="18" t="n">
        <v>1.21458226</v>
      </c>
      <c r="R34" s="20" t="n">
        <v>0.50691449</v>
      </c>
    </row>
    <row r="35" spans="1:18">
      <c r="A35" s="15" t="s">
        <v>457</v>
      </c>
      <c r="B35" s="17" t="n">
        <v>6406</v>
      </c>
      <c r="C35" s="18">
        <f>(5646.0/B35*100)</f>
        <v/>
      </c>
      <c r="D35" s="19" t="n">
        <v>760</v>
      </c>
      <c r="E35" s="18" t="n">
        <v>85.25578136</v>
      </c>
      <c r="F35" s="20" t="n">
        <v>1.39604924</v>
      </c>
      <c r="G35" s="18" t="n">
        <v>14.23583119</v>
      </c>
      <c r="H35" s="20" t="n">
        <v>1.37927489</v>
      </c>
      <c r="I35" s="18" t="n">
        <v>0</v>
      </c>
      <c r="J35" s="20" t="n">
        <v>0</v>
      </c>
      <c r="K35" s="18" t="n">
        <v>0</v>
      </c>
      <c r="L35" s="20" t="n">
        <v>0</v>
      </c>
      <c r="M35" s="18" t="n">
        <v>0</v>
      </c>
      <c r="N35" s="20" t="n">
        <v>0</v>
      </c>
      <c r="O35" s="18" t="n">
        <v>0</v>
      </c>
      <c r="P35" s="20" t="n">
        <v>0</v>
      </c>
      <c r="Q35" s="18" t="n">
        <v>0.50838745</v>
      </c>
      <c r="R35" s="20" t="n">
        <v>0.22373001</v>
      </c>
    </row>
    <row r="36" spans="1:18">
      <c r="A36" s="15" t="s">
        <v>458</v>
      </c>
      <c r="B36" s="17" t="n">
        <v>6736</v>
      </c>
      <c r="C36" s="18">
        <f>(5915.0/B36*100)</f>
        <v/>
      </c>
      <c r="D36" s="19" t="n">
        <v>821</v>
      </c>
      <c r="E36" s="18" t="n">
        <v>86.36994391</v>
      </c>
      <c r="F36" s="20" t="n">
        <v>1.01743424</v>
      </c>
      <c r="G36" s="18" t="n">
        <v>12.9956999</v>
      </c>
      <c r="H36" s="20" t="n">
        <v>1.08744045</v>
      </c>
      <c r="I36" s="18" t="n">
        <v>0</v>
      </c>
      <c r="J36" s="20" t="n">
        <v>0</v>
      </c>
      <c r="K36" s="18" t="n">
        <v>0</v>
      </c>
      <c r="L36" s="20" t="n">
        <v>0</v>
      </c>
      <c r="M36" s="18" t="n">
        <v>0</v>
      </c>
      <c r="N36" s="20" t="n">
        <v>0</v>
      </c>
      <c r="O36" s="18" t="n">
        <v>0</v>
      </c>
      <c r="P36" s="20" t="n">
        <v>0</v>
      </c>
      <c r="Q36" s="18" t="n">
        <v>0.6343562</v>
      </c>
      <c r="R36" s="20" t="n">
        <v>0.24758906</v>
      </c>
    </row>
    <row r="37" spans="1:18">
      <c r="A37" s="15" t="s">
        <v>459</v>
      </c>
      <c r="B37" s="17" t="n">
        <v>5458</v>
      </c>
      <c r="C37" s="18">
        <f>(4777.0/B37*100)</f>
        <v/>
      </c>
      <c r="D37" s="19" t="n">
        <v>681</v>
      </c>
      <c r="E37" s="18" t="n">
        <v>80.49275142</v>
      </c>
      <c r="F37" s="20" t="n">
        <v>1.5892866</v>
      </c>
      <c r="G37" s="18" t="n">
        <v>16.38394611</v>
      </c>
      <c r="H37" s="20" t="n">
        <v>1.54498123</v>
      </c>
      <c r="I37" s="18" t="n">
        <v>0</v>
      </c>
      <c r="J37" s="20" t="n">
        <v>0</v>
      </c>
      <c r="K37" s="18" t="n">
        <v>0.12876693</v>
      </c>
      <c r="L37" s="20" t="n">
        <v>0.18245206</v>
      </c>
      <c r="M37" s="18" t="n">
        <v>0</v>
      </c>
      <c r="N37" s="20" t="n">
        <v>0</v>
      </c>
      <c r="O37" s="18" t="n">
        <v>0</v>
      </c>
      <c r="P37" s="20" t="n">
        <v>0</v>
      </c>
      <c r="Q37" s="18" t="n">
        <v>2.99453553</v>
      </c>
      <c r="R37" s="20" t="n">
        <v>0.66453199</v>
      </c>
    </row>
    <row r="38" spans="1:18">
      <c r="A38" s="15" t="s">
        <v>460</v>
      </c>
      <c r="B38" s="17" t="n">
        <v>5860</v>
      </c>
      <c r="C38" s="18">
        <f>(4868.0/B38*100)</f>
        <v/>
      </c>
      <c r="D38" s="19" t="n">
        <v>992</v>
      </c>
      <c r="E38" s="18" t="n">
        <v>79.43307362</v>
      </c>
      <c r="F38" s="20" t="n">
        <v>1.43366136</v>
      </c>
      <c r="G38" s="18" t="n">
        <v>18.97047027</v>
      </c>
      <c r="H38" s="20" t="n">
        <v>1.42940107</v>
      </c>
      <c r="I38" s="18" t="n">
        <v>0</v>
      </c>
      <c r="J38" s="20" t="n">
        <v>0</v>
      </c>
      <c r="K38" s="18" t="n">
        <v>0.08335842</v>
      </c>
      <c r="L38" s="20" t="n">
        <v>0.08326802</v>
      </c>
      <c r="M38" s="18" t="n">
        <v>0</v>
      </c>
      <c r="N38" s="20" t="n">
        <v>0</v>
      </c>
      <c r="O38" s="18" t="n">
        <v>0</v>
      </c>
      <c r="P38" s="20" t="n">
        <v>0</v>
      </c>
      <c r="Q38" s="18" t="n">
        <v>1.51309769</v>
      </c>
      <c r="R38" s="20" t="n">
        <v>0.35953012</v>
      </c>
    </row>
    <row r="39" spans="1:18">
      <c r="A39" s="15" t="s">
        <v>461</v>
      </c>
      <c r="B39" s="17" t="n">
        <v>5895</v>
      </c>
      <c r="C39" s="18">
        <f>(5173.0/B39*100)</f>
        <v/>
      </c>
      <c r="D39" s="19" t="n">
        <v>722</v>
      </c>
      <c r="E39" s="18" t="n">
        <v>91.08476803000001</v>
      </c>
      <c r="F39" s="20" t="n">
        <v>1.26974586</v>
      </c>
      <c r="G39" s="18" t="n">
        <v>6.80642454</v>
      </c>
      <c r="H39" s="20" t="n">
        <v>1.1515163</v>
      </c>
      <c r="I39" s="18" t="n">
        <v>0</v>
      </c>
      <c r="J39" s="20" t="n">
        <v>0</v>
      </c>
      <c r="K39" s="18" t="n">
        <v>0.20089188</v>
      </c>
      <c r="L39" s="20" t="n">
        <v>0.20136022</v>
      </c>
      <c r="M39" s="18" t="n">
        <v>0</v>
      </c>
      <c r="N39" s="20" t="n">
        <v>0</v>
      </c>
      <c r="O39" s="18" t="n">
        <v>0</v>
      </c>
      <c r="P39" s="20" t="n">
        <v>0</v>
      </c>
      <c r="Q39" s="18" t="n">
        <v>1.90791555</v>
      </c>
      <c r="R39" s="20" t="n">
        <v>0.41641117</v>
      </c>
    </row>
    <row r="40" spans="1:18">
      <c r="A40" s="15" t="s">
        <v>462</v>
      </c>
      <c r="B40" s="17" t="n">
        <v>14157</v>
      </c>
      <c r="C40" s="18">
        <f>(12435.0/B40*100)</f>
        <v/>
      </c>
      <c r="D40" s="19" t="n">
        <v>1722</v>
      </c>
      <c r="E40" s="18" t="n">
        <v>87.41598521</v>
      </c>
      <c r="F40" s="20" t="n">
        <v>1.22162518</v>
      </c>
      <c r="G40" s="18" t="n">
        <v>11.0006057</v>
      </c>
      <c r="H40" s="20" t="n">
        <v>1.1751406</v>
      </c>
      <c r="I40" s="18" t="n">
        <v>0</v>
      </c>
      <c r="J40" s="20" t="n">
        <v>0</v>
      </c>
      <c r="K40" s="18" t="n">
        <v>0.13068038</v>
      </c>
      <c r="L40" s="20" t="n">
        <v>0.08011486</v>
      </c>
      <c r="M40" s="18" t="n">
        <v>0</v>
      </c>
      <c r="N40" s="20" t="n">
        <v>0</v>
      </c>
      <c r="O40" s="18" t="n">
        <v>0</v>
      </c>
      <c r="P40" s="20" t="n">
        <v>0</v>
      </c>
      <c r="Q40" s="18" t="n">
        <v>1.45272872</v>
      </c>
      <c r="R40" s="20" t="n">
        <v>0.42143124</v>
      </c>
    </row>
    <row r="41" spans="1:18">
      <c r="A41" s="15" t="s">
        <v>463</v>
      </c>
      <c r="B41" s="17" t="n">
        <v>5712</v>
      </c>
      <c r="C41" s="18">
        <f>(5013.0/B41*100)</f>
        <v/>
      </c>
      <c r="D41" s="19" t="n">
        <v>699</v>
      </c>
      <c r="E41" s="18" t="n">
        <v>92.14859986</v>
      </c>
      <c r="F41" s="20" t="n">
        <v>0.97548873</v>
      </c>
      <c r="G41" s="18" t="n">
        <v>7.10747065</v>
      </c>
      <c r="H41" s="20" t="n">
        <v>1.01166741</v>
      </c>
      <c r="I41" s="18" t="n">
        <v>0</v>
      </c>
      <c r="J41" s="20" t="n">
        <v>0</v>
      </c>
      <c r="K41" s="18" t="n">
        <v>0.22848603</v>
      </c>
      <c r="L41" s="20" t="n">
        <v>0.22191466</v>
      </c>
      <c r="M41" s="18" t="n">
        <v>0</v>
      </c>
      <c r="N41" s="20" t="n">
        <v>0</v>
      </c>
      <c r="O41" s="18" t="n">
        <v>0</v>
      </c>
      <c r="P41" s="20" t="n">
        <v>0</v>
      </c>
      <c r="Q41" s="18" t="n">
        <v>0.51544346</v>
      </c>
      <c r="R41" s="20" t="n">
        <v>0.24597995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(20673.0/B46*100)</f>
        <v/>
      </c>
      <c r="D46" s="19" t="n">
        <v>2468</v>
      </c>
      <c r="E46" s="18" t="n">
        <v>89.59967981</v>
      </c>
      <c r="F46" s="20" t="n">
        <v>0.79209436</v>
      </c>
      <c r="G46" s="18" t="n">
        <v>5.94393202</v>
      </c>
      <c r="H46" s="20" t="n">
        <v>0.69638875</v>
      </c>
      <c r="I46" s="18" t="n">
        <v>0</v>
      </c>
      <c r="J46" s="20" t="n">
        <v>0</v>
      </c>
      <c r="K46" s="18" t="n">
        <v>0.64911385</v>
      </c>
      <c r="L46" s="20" t="n">
        <v>0.14675441</v>
      </c>
      <c r="M46" s="18" t="n">
        <v>0</v>
      </c>
      <c r="N46" s="20" t="n">
        <v>0</v>
      </c>
      <c r="O46" s="18" t="n">
        <v>0</v>
      </c>
      <c r="P46" s="20" t="n">
        <v>0</v>
      </c>
      <c r="Q46" s="18" t="n">
        <v>3.80727432</v>
      </c>
      <c r="R46" s="20" t="n">
        <v>0.53917643</v>
      </c>
    </row>
    <row r="47" spans="1:18">
      <c r="A47" s="15" t="s">
        <v>470</v>
      </c>
      <c r="B47" s="17" t="n">
        <v>5928</v>
      </c>
      <c r="C47" s="18">
        <f>(5196.0/B47*100)</f>
        <v/>
      </c>
      <c r="D47" s="19" t="n">
        <v>732</v>
      </c>
      <c r="E47" s="18" t="n">
        <v>88.86776954</v>
      </c>
      <c r="F47" s="20" t="n">
        <v>1.08958479</v>
      </c>
      <c r="G47" s="18" t="n">
        <v>8.54762665</v>
      </c>
      <c r="H47" s="20" t="n">
        <v>1.04760646</v>
      </c>
      <c r="I47" s="18" t="n">
        <v>0</v>
      </c>
      <c r="J47" s="20" t="n">
        <v>0</v>
      </c>
      <c r="K47" s="18" t="n">
        <v>0.28193603</v>
      </c>
      <c r="L47" s="20" t="n">
        <v>0.20840413</v>
      </c>
      <c r="M47" s="18" t="n">
        <v>0</v>
      </c>
      <c r="N47" s="20" t="n">
        <v>0</v>
      </c>
      <c r="O47" s="18" t="n">
        <v>0</v>
      </c>
      <c r="P47" s="20" t="n">
        <v>0</v>
      </c>
      <c r="Q47" s="18" t="n">
        <v>2.30266778</v>
      </c>
      <c r="R47" s="20" t="n">
        <v>0.49574652</v>
      </c>
    </row>
    <row r="48" spans="1:18">
      <c r="A48" s="15" t="s">
        <v>471</v>
      </c>
      <c r="B48" s="17" t="n">
        <v>9841</v>
      </c>
      <c r="C48" s="18">
        <f>(8647.0/B48*100)</f>
        <v/>
      </c>
      <c r="D48" s="19" t="n">
        <v>1194</v>
      </c>
      <c r="E48" s="18" t="n">
        <v>82.36791866999999</v>
      </c>
      <c r="F48" s="20" t="n">
        <v>1.80717371</v>
      </c>
      <c r="G48" s="18" t="n">
        <v>15.62669046</v>
      </c>
      <c r="H48" s="20" t="n">
        <v>1.73854997</v>
      </c>
      <c r="I48" s="18" t="n">
        <v>0</v>
      </c>
      <c r="J48" s="20" t="n">
        <v>0</v>
      </c>
      <c r="K48" s="18" t="n">
        <v>1.10751338</v>
      </c>
      <c r="L48" s="20" t="n">
        <v>0.45560743</v>
      </c>
      <c r="M48" s="18" t="n">
        <v>0</v>
      </c>
      <c r="N48" s="20" t="n">
        <v>0</v>
      </c>
      <c r="O48" s="18" t="n">
        <v>0</v>
      </c>
      <c r="P48" s="20" t="n">
        <v>0</v>
      </c>
      <c r="Q48" s="18" t="n">
        <v>0.8978774899999999</v>
      </c>
      <c r="R48" s="20" t="n">
        <v>0.35399703</v>
      </c>
    </row>
    <row r="49" spans="1:18">
      <c r="A49" s="15" t="s">
        <v>472</v>
      </c>
      <c r="B49" s="17" t="n">
        <v>11795</v>
      </c>
      <c r="C49" s="18">
        <f>(10359.0/B49*100)</f>
        <v/>
      </c>
      <c r="D49" s="19" t="n">
        <v>1436</v>
      </c>
      <c r="E49" s="18" t="n">
        <v>89.43002041</v>
      </c>
      <c r="F49" s="20" t="n">
        <v>1.15621204</v>
      </c>
      <c r="G49" s="18" t="n">
        <v>7.39945637</v>
      </c>
      <c r="H49" s="20" t="n">
        <v>0.89543293</v>
      </c>
      <c r="I49" s="18" t="n">
        <v>0</v>
      </c>
      <c r="J49" s="20" t="n">
        <v>0</v>
      </c>
      <c r="K49" s="18" t="n">
        <v>1.00994568</v>
      </c>
      <c r="L49" s="20" t="n">
        <v>0.34000903</v>
      </c>
      <c r="M49" s="18" t="n">
        <v>0</v>
      </c>
      <c r="N49" s="20" t="n">
        <v>0</v>
      </c>
      <c r="O49" s="18" t="n">
        <v>0</v>
      </c>
      <c r="P49" s="20" t="n">
        <v>0</v>
      </c>
      <c r="Q49" s="18" t="n">
        <v>2.16057754</v>
      </c>
      <c r="R49" s="20" t="n">
        <v>0.71217754</v>
      </c>
    </row>
    <row r="50" spans="1:18">
      <c r="A50" s="15" t="s">
        <v>473</v>
      </c>
      <c r="B50" s="17" t="n">
        <v>6866</v>
      </c>
      <c r="C50" s="18">
        <f>(6118.0/B50*100)</f>
        <v/>
      </c>
      <c r="D50" s="19" t="n">
        <v>748</v>
      </c>
      <c r="E50" s="18" t="n">
        <v>89.43215802</v>
      </c>
      <c r="F50" s="20" t="n">
        <v>1.10531048</v>
      </c>
      <c r="G50" s="18" t="n">
        <v>7.4350597</v>
      </c>
      <c r="H50" s="20" t="n">
        <v>0.93387303</v>
      </c>
      <c r="I50" s="18" t="n">
        <v>0</v>
      </c>
      <c r="J50" s="20" t="n">
        <v>0</v>
      </c>
      <c r="K50" s="18" t="n">
        <v>0.49435162</v>
      </c>
      <c r="L50" s="20" t="n">
        <v>0.29050813</v>
      </c>
      <c r="M50" s="18" t="n">
        <v>0</v>
      </c>
      <c r="N50" s="20" t="n">
        <v>0</v>
      </c>
      <c r="O50" s="18" t="n">
        <v>0</v>
      </c>
      <c r="P50" s="20" t="n">
        <v>0</v>
      </c>
      <c r="Q50" s="18" t="n">
        <v>2.63843066</v>
      </c>
      <c r="R50" s="20" t="n">
        <v>0.55146369</v>
      </c>
    </row>
    <row r="51" spans="1:18">
      <c r="A51" s="15" t="s">
        <v>474</v>
      </c>
      <c r="B51" s="17" t="n">
        <v>5809</v>
      </c>
      <c r="C51" s="18">
        <f>(5103.0/B51*100)</f>
        <v/>
      </c>
      <c r="D51" s="19" t="n">
        <v>706</v>
      </c>
      <c r="E51" s="18" t="n">
        <v>89.25634705</v>
      </c>
      <c r="F51" s="20" t="n">
        <v>0.9841038600000001</v>
      </c>
      <c r="G51" s="18" t="n">
        <v>9.66442176</v>
      </c>
      <c r="H51" s="20" t="n">
        <v>0.91216681</v>
      </c>
      <c r="I51" s="18" t="n">
        <v>0</v>
      </c>
      <c r="J51" s="20" t="n">
        <v>0</v>
      </c>
      <c r="K51" s="18" t="n">
        <v>0.17799156</v>
      </c>
      <c r="L51" s="20" t="n">
        <v>0.17944848</v>
      </c>
      <c r="M51" s="18" t="n">
        <v>0</v>
      </c>
      <c r="N51" s="20" t="n">
        <v>0</v>
      </c>
      <c r="O51" s="18" t="n">
        <v>0</v>
      </c>
      <c r="P51" s="20" t="n">
        <v>0</v>
      </c>
      <c r="Q51" s="18" t="n">
        <v>0.90123962</v>
      </c>
      <c r="R51" s="20" t="n">
        <v>0.38310014</v>
      </c>
    </row>
    <row r="52" spans="1:18">
      <c r="A52" s="15" t="s">
        <v>475</v>
      </c>
      <c r="B52" s="17" t="n">
        <v>5571</v>
      </c>
      <c r="C52" s="18">
        <f>(4908.0/B52*100)</f>
        <v/>
      </c>
      <c r="D52" s="19" t="n">
        <v>663</v>
      </c>
      <c r="E52" s="18" t="n">
        <v>88.87942961</v>
      </c>
      <c r="F52" s="20" t="n">
        <v>1.22189961</v>
      </c>
      <c r="G52" s="18" t="n">
        <v>9.493732120000001</v>
      </c>
      <c r="H52" s="20" t="n">
        <v>1.04798392</v>
      </c>
      <c r="I52" s="18" t="n">
        <v>0</v>
      </c>
      <c r="J52" s="20" t="n">
        <v>0</v>
      </c>
      <c r="K52" s="18" t="n">
        <v>0</v>
      </c>
      <c r="L52" s="20" t="n">
        <v>0</v>
      </c>
      <c r="M52" s="18" t="n">
        <v>0</v>
      </c>
      <c r="N52" s="20" t="n">
        <v>0</v>
      </c>
      <c r="O52" s="18" t="n">
        <v>0</v>
      </c>
      <c r="P52" s="20" t="n">
        <v>0</v>
      </c>
      <c r="Q52" s="18" t="n">
        <v>1.62683827</v>
      </c>
      <c r="R52" s="20" t="n">
        <v>0.55506281</v>
      </c>
    </row>
    <row r="53" spans="1:18">
      <c r="A53" s="15" t="s">
        <v>476</v>
      </c>
      <c r="B53" s="17" t="n">
        <v>4740</v>
      </c>
      <c r="C53" s="18">
        <f>(3970.0/B53*100)</f>
        <v/>
      </c>
      <c r="D53" s="19" t="n">
        <v>770</v>
      </c>
      <c r="E53" s="18" t="n">
        <v>81.50256503999999</v>
      </c>
      <c r="F53" s="20" t="n">
        <v>1.47762514</v>
      </c>
      <c r="G53" s="18" t="n">
        <v>4.30521042</v>
      </c>
      <c r="H53" s="20" t="n">
        <v>0.68082453</v>
      </c>
      <c r="I53" s="18" t="n">
        <v>0</v>
      </c>
      <c r="J53" s="20" t="n">
        <v>0</v>
      </c>
      <c r="K53" s="18" t="n">
        <v>8.85605951</v>
      </c>
      <c r="L53" s="20" t="n">
        <v>1.0751761</v>
      </c>
      <c r="M53" s="18" t="n">
        <v>0</v>
      </c>
      <c r="N53" s="20" t="n">
        <v>0</v>
      </c>
      <c r="O53" s="18" t="n">
        <v>0</v>
      </c>
      <c r="P53" s="20" t="n">
        <v>0</v>
      </c>
      <c r="Q53" s="18" t="n">
        <v>5.33616503</v>
      </c>
      <c r="R53" s="20" t="n">
        <v>0.91860385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(4702.0/B55*100)</f>
        <v/>
      </c>
      <c r="D55" s="19" t="n">
        <v>657</v>
      </c>
      <c r="E55" s="18" t="n">
        <v>69.19127007</v>
      </c>
      <c r="F55" s="20" t="n">
        <v>1.86618795</v>
      </c>
      <c r="G55" s="18" t="n">
        <v>29.59647496</v>
      </c>
      <c r="H55" s="20" t="n">
        <v>1.86416883</v>
      </c>
      <c r="I55" s="18" t="n">
        <v>0</v>
      </c>
      <c r="J55" s="20" t="n">
        <v>0</v>
      </c>
      <c r="K55" s="18" t="n">
        <v>0.19466337</v>
      </c>
      <c r="L55" s="20" t="n">
        <v>0.16510399</v>
      </c>
      <c r="M55" s="18" t="n">
        <v>0</v>
      </c>
      <c r="N55" s="20" t="n">
        <v>0</v>
      </c>
      <c r="O55" s="18" t="n">
        <v>0</v>
      </c>
      <c r="P55" s="20" t="n">
        <v>0</v>
      </c>
      <c r="Q55" s="18" t="n">
        <v>1.01759161</v>
      </c>
      <c r="R55" s="20" t="n">
        <v>0.30670626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(5734.0/B61*100)</f>
        <v/>
      </c>
      <c r="D61" s="19" t="n">
        <v>791</v>
      </c>
      <c r="E61" s="18" t="n">
        <v>86.22982772</v>
      </c>
      <c r="F61" s="20" t="n">
        <v>1.36119925</v>
      </c>
      <c r="G61" s="18" t="n">
        <v>12.05962775</v>
      </c>
      <c r="H61" s="20" t="n">
        <v>1.31342859</v>
      </c>
      <c r="I61" s="18" t="n">
        <v>0</v>
      </c>
      <c r="J61" s="20" t="n">
        <v>0</v>
      </c>
      <c r="K61" s="18" t="n">
        <v>0</v>
      </c>
      <c r="L61" s="20" t="n">
        <v>0</v>
      </c>
      <c r="M61" s="18" t="n">
        <v>0</v>
      </c>
      <c r="N61" s="20" t="n">
        <v>0</v>
      </c>
      <c r="O61" s="18" t="n">
        <v>0</v>
      </c>
      <c r="P61" s="20" t="n">
        <v>0</v>
      </c>
      <c r="Q61" s="18" t="n">
        <v>1.71054453</v>
      </c>
      <c r="R61" s="20" t="n">
        <v>0.5492171</v>
      </c>
    </row>
    <row r="62" spans="1:18">
      <c r="A62" s="15" t="s">
        <v>486</v>
      </c>
      <c r="B62" s="17" t="n">
        <v>4476</v>
      </c>
      <c r="C62" s="18">
        <f>(3919.0/B62*100)</f>
        <v/>
      </c>
      <c r="D62" s="19" t="n">
        <v>557</v>
      </c>
      <c r="E62" s="18" t="n">
        <v>80.9368209</v>
      </c>
      <c r="F62" s="20" t="n">
        <v>1.58232183</v>
      </c>
      <c r="G62" s="18" t="n">
        <v>19.0631791</v>
      </c>
      <c r="H62" s="20" t="n">
        <v>1.58232183</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(4973.0/B67*100)</f>
        <v/>
      </c>
      <c r="D67" s="19" t="n">
        <v>692</v>
      </c>
      <c r="E67" s="18" t="n">
        <v>87.92814464999999</v>
      </c>
      <c r="F67" s="20" t="n">
        <v>1.15385442</v>
      </c>
      <c r="G67" s="18" t="n">
        <v>6.10089945</v>
      </c>
      <c r="H67" s="20" t="n">
        <v>0.87401668</v>
      </c>
      <c r="I67" s="18" t="n">
        <v>0</v>
      </c>
      <c r="J67" s="20" t="n">
        <v>0</v>
      </c>
      <c r="K67" s="18" t="n">
        <v>1.2708597</v>
      </c>
      <c r="L67" s="20" t="n">
        <v>0.52750661</v>
      </c>
      <c r="M67" s="18" t="n">
        <v>0</v>
      </c>
      <c r="N67" s="20" t="n">
        <v>0</v>
      </c>
      <c r="O67" s="18" t="n">
        <v>0</v>
      </c>
      <c r="P67" s="20" t="n">
        <v>0</v>
      </c>
      <c r="Q67" s="18" t="n">
        <v>4.70009621</v>
      </c>
      <c r="R67" s="20" t="n">
        <v>0.82694139</v>
      </c>
    </row>
    <row r="68" spans="1:18">
      <c r="A68" s="15" t="s">
        <v>492</v>
      </c>
      <c r="B68" s="17" t="n">
        <v>6971</v>
      </c>
      <c r="C68" s="18">
        <f>(6178.0/B68*100)</f>
        <v/>
      </c>
      <c r="D68" s="19" t="n">
        <v>793</v>
      </c>
      <c r="E68" s="18" t="n">
        <v>90.00897259</v>
      </c>
      <c r="F68" s="20" t="n">
        <v>1.24218604</v>
      </c>
      <c r="G68" s="18" t="n">
        <v>8.53437716</v>
      </c>
      <c r="H68" s="20" t="n">
        <v>1.19780395</v>
      </c>
      <c r="I68" s="18" t="n">
        <v>0</v>
      </c>
      <c r="J68" s="20" t="n">
        <v>0</v>
      </c>
      <c r="K68" s="18" t="n">
        <v>0.13031217</v>
      </c>
      <c r="L68" s="20" t="n">
        <v>0.13021815</v>
      </c>
      <c r="M68" s="18" t="n">
        <v>0</v>
      </c>
      <c r="N68" s="20" t="n">
        <v>0</v>
      </c>
      <c r="O68" s="18" t="n">
        <v>0</v>
      </c>
      <c r="P68" s="20" t="n">
        <v>0</v>
      </c>
      <c r="Q68" s="18" t="n">
        <v>1.32633808</v>
      </c>
      <c r="R68" s="20" t="n">
        <v>0.43369172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(10078.0/B70*100)</f>
        <v/>
      </c>
      <c r="D70" s="19" t="n">
        <v>2005</v>
      </c>
      <c r="E70" s="18" t="n">
        <v>87.16385767</v>
      </c>
      <c r="F70" s="20" t="n">
        <v>0.73691426</v>
      </c>
      <c r="G70" s="18" t="n">
        <v>7.85800153</v>
      </c>
      <c r="H70" s="20" t="n">
        <v>0.56793136</v>
      </c>
      <c r="I70" s="18" t="n">
        <v>0</v>
      </c>
      <c r="J70" s="20" t="n">
        <v>0</v>
      </c>
      <c r="K70" s="18" t="n">
        <v>1.50784294</v>
      </c>
      <c r="L70" s="20" t="n">
        <v>0.25122182</v>
      </c>
      <c r="M70" s="18" t="n">
        <v>0</v>
      </c>
      <c r="N70" s="20" t="n">
        <v>0</v>
      </c>
      <c r="O70" s="18" t="n">
        <v>0</v>
      </c>
      <c r="P70" s="20" t="n">
        <v>0</v>
      </c>
      <c r="Q70" s="18" t="n">
        <v>3.47029786</v>
      </c>
      <c r="R70" s="20" t="n">
        <v>0.40580424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(5314.0/B72*100)</f>
        <v/>
      </c>
      <c r="D72" s="19" t="n">
        <v>722</v>
      </c>
      <c r="E72" s="18" t="n">
        <v>83.56688824</v>
      </c>
      <c r="F72" s="20" t="n">
        <v>1.56418125</v>
      </c>
      <c r="G72" s="18" t="n">
        <v>15.53705364</v>
      </c>
      <c r="H72" s="20" t="n">
        <v>1.58127293</v>
      </c>
      <c r="I72" s="18" t="n">
        <v>0</v>
      </c>
      <c r="J72" s="20" t="n">
        <v>0</v>
      </c>
      <c r="K72" s="18" t="n">
        <v>0.10870471</v>
      </c>
      <c r="L72" s="20" t="n">
        <v>0.10889152</v>
      </c>
      <c r="M72" s="18" t="n">
        <v>0</v>
      </c>
      <c r="N72" s="20" t="n">
        <v>0</v>
      </c>
      <c r="O72" s="18" t="n">
        <v>0</v>
      </c>
      <c r="P72" s="20" t="n">
        <v>0</v>
      </c>
      <c r="Q72" s="18" t="n">
        <v>0.7873534</v>
      </c>
      <c r="R72" s="20" t="n">
        <v>0.6399615</v>
      </c>
    </row>
    <row r="73" spans="1:18">
      <c r="A73" s="15" t="s">
        <v>497</v>
      </c>
      <c r="B73" s="17" t="n">
        <v>6115</v>
      </c>
      <c r="C73" s="18">
        <f>(5360.0/B73*100)</f>
        <v/>
      </c>
      <c r="D73" s="19" t="n">
        <v>755</v>
      </c>
      <c r="E73" s="18" t="n">
        <v>81.15233009000001</v>
      </c>
      <c r="F73" s="20" t="n">
        <v>1.55331486</v>
      </c>
      <c r="G73" s="18" t="n">
        <v>18.46638137</v>
      </c>
      <c r="H73" s="20" t="n">
        <v>1.56432424</v>
      </c>
      <c r="I73" s="18" t="n">
        <v>0</v>
      </c>
      <c r="J73" s="20" t="n">
        <v>0</v>
      </c>
      <c r="K73" s="18" t="n">
        <v>0.2599022</v>
      </c>
      <c r="L73" s="20" t="n">
        <v>0.18377557</v>
      </c>
      <c r="M73" s="18" t="n">
        <v>0</v>
      </c>
      <c r="N73" s="20" t="n">
        <v>0</v>
      </c>
      <c r="O73" s="18" t="n">
        <v>0</v>
      </c>
      <c r="P73" s="20" t="n">
        <v>0</v>
      </c>
      <c r="Q73" s="18" t="n">
        <v>0.12138634</v>
      </c>
      <c r="R73" s="20" t="n">
        <v>0.10576341</v>
      </c>
    </row>
    <row r="74" spans="1:18">
      <c r="A74" s="15" t="s">
        <v>498</v>
      </c>
      <c r="B74" s="17" t="n">
        <v>7708</v>
      </c>
      <c r="C74" s="18">
        <f>(6759.0/B74*100)</f>
        <v/>
      </c>
      <c r="D74" s="19" t="n">
        <v>949</v>
      </c>
      <c r="E74" s="18" t="n">
        <v>86.43395437</v>
      </c>
      <c r="F74" s="20" t="n">
        <v>1.27944127</v>
      </c>
      <c r="G74" s="18" t="n">
        <v>13.21643597</v>
      </c>
      <c r="H74" s="20" t="n">
        <v>1.2344287</v>
      </c>
      <c r="I74" s="18" t="n">
        <v>0</v>
      </c>
      <c r="J74" s="20" t="n">
        <v>0</v>
      </c>
      <c r="K74" s="18" t="n">
        <v>0.13876457</v>
      </c>
      <c r="L74" s="20" t="n">
        <v>0.09220839</v>
      </c>
      <c r="M74" s="18" t="n">
        <v>0</v>
      </c>
      <c r="N74" s="20" t="n">
        <v>0</v>
      </c>
      <c r="O74" s="18" t="n">
        <v>0</v>
      </c>
      <c r="P74" s="20" t="n">
        <v>0</v>
      </c>
      <c r="Q74" s="18" t="n">
        <v>0.21084509</v>
      </c>
      <c r="R74" s="20" t="n">
        <v>0.19605258</v>
      </c>
    </row>
    <row r="75" spans="1:18">
      <c r="A75" s="15" t="s">
        <v>499</v>
      </c>
      <c r="B75" s="17" t="n">
        <v>8249</v>
      </c>
      <c r="C75" s="18">
        <f>(7270.0/B75*100)</f>
        <v/>
      </c>
      <c r="D75" s="19" t="n">
        <v>979</v>
      </c>
      <c r="E75" s="18" t="n">
        <v>95.68333294</v>
      </c>
      <c r="F75" s="20" t="n">
        <v>0.79019004</v>
      </c>
      <c r="G75" s="18" t="n">
        <v>3.91178169</v>
      </c>
      <c r="H75" s="20" t="n">
        <v>0.77041969</v>
      </c>
      <c r="I75" s="18" t="n">
        <v>0</v>
      </c>
      <c r="J75" s="20" t="n">
        <v>0</v>
      </c>
      <c r="K75" s="18" t="n">
        <v>0</v>
      </c>
      <c r="L75" s="20" t="n">
        <v>0</v>
      </c>
      <c r="M75" s="18" t="n">
        <v>0</v>
      </c>
      <c r="N75" s="20" t="n">
        <v>0</v>
      </c>
      <c r="O75" s="18" t="n">
        <v>0</v>
      </c>
      <c r="P75" s="20" t="n">
        <v>0</v>
      </c>
      <c r="Q75" s="18" t="n">
        <v>0.40488537</v>
      </c>
      <c r="R75" s="20" t="n">
        <v>0.21962092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(4768.0/B77*100)</f>
        <v/>
      </c>
      <c r="D77" s="19" t="n">
        <v>607</v>
      </c>
      <c r="E77" s="18" t="n">
        <v>90.43726054</v>
      </c>
      <c r="F77" s="20" t="n">
        <v>1.42122183</v>
      </c>
      <c r="G77" s="18" t="n">
        <v>5.3994767</v>
      </c>
      <c r="H77" s="20" t="n">
        <v>1.03334703</v>
      </c>
      <c r="I77" s="18" t="n">
        <v>0</v>
      </c>
      <c r="J77" s="20" t="n">
        <v>0</v>
      </c>
      <c r="K77" s="18" t="n">
        <v>2.08427334</v>
      </c>
      <c r="L77" s="20" t="n">
        <v>0.66944195</v>
      </c>
      <c r="M77" s="18" t="n">
        <v>0</v>
      </c>
      <c r="N77" s="20" t="n">
        <v>0</v>
      </c>
      <c r="O77" s="18" t="n">
        <v>0</v>
      </c>
      <c r="P77" s="20" t="n">
        <v>0</v>
      </c>
      <c r="Q77" s="18" t="n">
        <v>2.07898942</v>
      </c>
      <c r="R77" s="20" t="n">
        <v>0.59356137</v>
      </c>
    </row>
    <row r="78" spans="1:18">
      <c r="A78" s="15" t="s">
        <v>502</v>
      </c>
      <c r="B78" s="17" t="n">
        <v>14167</v>
      </c>
      <c r="C78" s="18">
        <f>(12409.0/B78*100)</f>
        <v/>
      </c>
      <c r="D78" s="19" t="n">
        <v>1758</v>
      </c>
      <c r="E78" s="18" t="n">
        <v>89.29317254999999</v>
      </c>
      <c r="F78" s="20" t="n">
        <v>0.83662392</v>
      </c>
      <c r="G78" s="18" t="n">
        <v>8.970344949999999</v>
      </c>
      <c r="H78" s="20" t="n">
        <v>0.792584</v>
      </c>
      <c r="I78" s="18" t="n">
        <v>0</v>
      </c>
      <c r="J78" s="20" t="n">
        <v>0</v>
      </c>
      <c r="K78" s="18" t="n">
        <v>0.71689734</v>
      </c>
      <c r="L78" s="20" t="n">
        <v>0.21126533</v>
      </c>
      <c r="M78" s="18" t="n">
        <v>0</v>
      </c>
      <c r="N78" s="20" t="n">
        <v>0</v>
      </c>
      <c r="O78" s="18" t="n">
        <v>0</v>
      </c>
      <c r="P78" s="20" t="n">
        <v>0</v>
      </c>
      <c r="Q78" s="18" t="n">
        <v>1.01958516</v>
      </c>
      <c r="R78" s="20" t="n">
        <v>0.26458538</v>
      </c>
    </row>
    <row r="79" spans="1:18">
      <c r="A79" s="15" t="s">
        <v>503</v>
      </c>
      <c r="B79" s="17" t="n">
        <v>6062</v>
      </c>
      <c r="C79" s="18">
        <f>(5340.0/B79*100)</f>
        <v/>
      </c>
      <c r="D79" s="19" t="n">
        <v>722</v>
      </c>
      <c r="E79" s="18" t="n">
        <v>83.35073674</v>
      </c>
      <c r="F79" s="20" t="n">
        <v>1.49459636</v>
      </c>
      <c r="G79" s="18" t="n">
        <v>9.668955070000001</v>
      </c>
      <c r="H79" s="20" t="n">
        <v>1.0691271</v>
      </c>
      <c r="I79" s="18" t="n">
        <v>0</v>
      </c>
      <c r="J79" s="20" t="n">
        <v>0</v>
      </c>
      <c r="K79" s="18" t="n">
        <v>0.83512651</v>
      </c>
      <c r="L79" s="20" t="n">
        <v>0.38904054</v>
      </c>
      <c r="M79" s="18" t="n">
        <v>0</v>
      </c>
      <c r="N79" s="20" t="n">
        <v>0</v>
      </c>
      <c r="O79" s="18" t="n">
        <v>0</v>
      </c>
      <c r="P79" s="20" t="n">
        <v>0</v>
      </c>
      <c r="Q79" s="18" t="n">
        <v>6.14518168</v>
      </c>
      <c r="R79" s="20" t="n">
        <v>0.92813246</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(28392.0/B82*100)</f>
        <v/>
      </c>
      <c r="D82" s="19" t="n">
        <v>3938</v>
      </c>
      <c r="E82" s="18" t="n">
        <v>86.10660913</v>
      </c>
      <c r="F82" s="20" t="n">
        <v>0.74332073</v>
      </c>
      <c r="G82" s="18" t="n">
        <v>13.14595521</v>
      </c>
      <c r="H82" s="20" t="n">
        <v>0.72886243</v>
      </c>
      <c r="I82" s="18" t="n">
        <v>0</v>
      </c>
      <c r="J82" s="20" t="n">
        <v>0</v>
      </c>
      <c r="K82" s="18" t="n">
        <v>0.10470287</v>
      </c>
      <c r="L82" s="20" t="n">
        <v>0.05991091</v>
      </c>
      <c r="M82" s="18" t="n">
        <v>0</v>
      </c>
      <c r="N82" s="20" t="n">
        <v>0</v>
      </c>
      <c r="O82" s="18" t="n">
        <v>0</v>
      </c>
      <c r="P82" s="20" t="n">
        <v>0</v>
      </c>
      <c r="Q82" s="18" t="n">
        <v>0.6427328</v>
      </c>
      <c r="R82" s="20" t="n">
        <v>0.21756429</v>
      </c>
    </row>
    <row r="83" spans="1:18">
      <c r="A83" s="15" t="s">
        <v>507</v>
      </c>
      <c r="B83" s="17" t="n">
        <v>1652</v>
      </c>
      <c r="C83" s="18">
        <f>(1463.0/B83*100)</f>
        <v/>
      </c>
      <c r="D83" s="19" t="n">
        <v>189</v>
      </c>
      <c r="E83" s="18" t="n">
        <v>88.65683665</v>
      </c>
      <c r="F83" s="20" t="n">
        <v>2.45559471</v>
      </c>
      <c r="G83" s="18" t="n">
        <v>10.79004663</v>
      </c>
      <c r="H83" s="20" t="n">
        <v>2.41715474</v>
      </c>
      <c r="I83" s="18" t="n">
        <v>0</v>
      </c>
      <c r="J83" s="20" t="n">
        <v>0</v>
      </c>
      <c r="K83" s="18" t="n">
        <v>0.55311672</v>
      </c>
      <c r="L83" s="20" t="n">
        <v>0.5016751</v>
      </c>
      <c r="M83" s="18" t="n">
        <v>0</v>
      </c>
      <c r="N83" s="20" t="n">
        <v>0</v>
      </c>
      <c r="O83" s="18" t="n">
        <v>0</v>
      </c>
      <c r="P83" s="20" t="n">
        <v>0</v>
      </c>
      <c r="Q83" s="18" t="n">
        <v>0</v>
      </c>
      <c r="R83" s="20" t="n">
        <v>0</v>
      </c>
    </row>
    <row r="84" spans="1:18">
      <c r="A84" s="23" t="s">
        <v>508</v>
      </c>
      <c r="B84" s="24" t="n">
        <v>1887</v>
      </c>
      <c r="C84" s="25">
        <f>(1662.0/B84*100)</f>
        <v/>
      </c>
      <c r="D84" s="19" t="n">
        <v>225</v>
      </c>
      <c r="E84" s="18" t="n">
        <v>93.39159994000001</v>
      </c>
      <c r="F84" s="20" t="n">
        <v>1.82860355</v>
      </c>
      <c r="G84" s="18" t="n">
        <v>6.1768795</v>
      </c>
      <c r="H84" s="20" t="n">
        <v>1.78366694</v>
      </c>
      <c r="I84" s="18" t="n">
        <v>0</v>
      </c>
      <c r="J84" s="20" t="n">
        <v>0</v>
      </c>
      <c r="K84" s="18" t="n">
        <v>0</v>
      </c>
      <c r="L84" s="20" t="n">
        <v>0</v>
      </c>
      <c r="M84" s="18" t="n">
        <v>0</v>
      </c>
      <c r="N84" s="20" t="n">
        <v>0</v>
      </c>
      <c r="O84" s="18" t="n">
        <v>0</v>
      </c>
      <c r="P84" s="20" t="n">
        <v>0</v>
      </c>
      <c r="Q84" s="18" t="n">
        <v>0.43152056</v>
      </c>
      <c r="R84" s="20" t="n">
        <v>0.43150063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(12772.0/B7*100)</f>
        <v/>
      </c>
      <c r="D7" s="19" t="n">
        <v>1758</v>
      </c>
      <c r="E7" s="18" t="n">
        <v>13.54859194</v>
      </c>
      <c r="F7" s="20" t="n">
        <v>0.83410298</v>
      </c>
      <c r="G7" s="18" t="n">
        <v>83.03319392</v>
      </c>
      <c r="H7" s="20" t="n">
        <v>1.00158692</v>
      </c>
      <c r="I7" s="18" t="n">
        <v>0</v>
      </c>
      <c r="J7" s="20" t="n">
        <v>0</v>
      </c>
      <c r="K7" s="18" t="n">
        <v>0.260337</v>
      </c>
      <c r="L7" s="20" t="n">
        <v>0.12662584</v>
      </c>
      <c r="M7" s="18" t="n">
        <v>0</v>
      </c>
      <c r="N7" s="20" t="n">
        <v>0</v>
      </c>
      <c r="O7" s="18" t="n">
        <v>0</v>
      </c>
      <c r="P7" s="20" t="n">
        <v>0</v>
      </c>
      <c r="Q7" s="18" t="n">
        <v>3.15787715</v>
      </c>
      <c r="R7" s="20" t="n">
        <v>0.49248003</v>
      </c>
    </row>
    <row r="8" spans="1:18">
      <c r="A8" s="15" t="s">
        <v>430</v>
      </c>
      <c r="B8" s="17" t="n">
        <v>7007</v>
      </c>
      <c r="C8" s="18">
        <f>(6103.0/B8*100)</f>
        <v/>
      </c>
      <c r="D8" s="19" t="n">
        <v>904</v>
      </c>
      <c r="E8" s="18" t="n">
        <v>21.03829721</v>
      </c>
      <c r="F8" s="20" t="n">
        <v>1.5639142</v>
      </c>
      <c r="G8" s="18" t="n">
        <v>75.44067465000001</v>
      </c>
      <c r="H8" s="20" t="n">
        <v>1.67058781</v>
      </c>
      <c r="I8" s="18" t="n">
        <v>0</v>
      </c>
      <c r="J8" s="20" t="n">
        <v>0</v>
      </c>
      <c r="K8" s="18" t="n">
        <v>0</v>
      </c>
      <c r="L8" s="20" t="n">
        <v>0</v>
      </c>
      <c r="M8" s="18" t="n">
        <v>0</v>
      </c>
      <c r="N8" s="20" t="n">
        <v>0</v>
      </c>
      <c r="O8" s="18" t="n">
        <v>0</v>
      </c>
      <c r="P8" s="20" t="n">
        <v>0</v>
      </c>
      <c r="Q8" s="18" t="n">
        <v>3.52102814</v>
      </c>
      <c r="R8" s="20" t="n">
        <v>0.70822606</v>
      </c>
    </row>
    <row r="9" spans="1:18">
      <c r="A9" s="15" t="s">
        <v>431</v>
      </c>
      <c r="B9" s="17" t="n">
        <v>9651</v>
      </c>
      <c r="C9" s="18">
        <f>(8504.0/B9*100)</f>
        <v/>
      </c>
      <c r="D9" s="19" t="n">
        <v>1147</v>
      </c>
      <c r="E9" s="18" t="n">
        <v>8.34143518</v>
      </c>
      <c r="F9" s="20" t="n">
        <v>0.96639009</v>
      </c>
      <c r="G9" s="18" t="n">
        <v>89.37083226</v>
      </c>
      <c r="H9" s="20" t="n">
        <v>1.08761432</v>
      </c>
      <c r="I9" s="18" t="n">
        <v>0</v>
      </c>
      <c r="J9" s="20" t="n">
        <v>0</v>
      </c>
      <c r="K9" s="18" t="n">
        <v>0</v>
      </c>
      <c r="L9" s="20" t="n">
        <v>0</v>
      </c>
      <c r="M9" s="18" t="n">
        <v>0</v>
      </c>
      <c r="N9" s="20" t="n">
        <v>0</v>
      </c>
      <c r="O9" s="18" t="n">
        <v>0</v>
      </c>
      <c r="P9" s="20" t="n">
        <v>0</v>
      </c>
      <c r="Q9" s="18" t="n">
        <v>2.28773256</v>
      </c>
      <c r="R9" s="20" t="n">
        <v>0.48411677</v>
      </c>
    </row>
    <row r="10" spans="1:18">
      <c r="A10" s="15" t="s">
        <v>432</v>
      </c>
      <c r="B10" s="17" t="n">
        <v>20058</v>
      </c>
      <c r="C10" s="18">
        <f>(17574.0/B10*100)</f>
        <v/>
      </c>
      <c r="D10" s="19" t="n">
        <v>2484</v>
      </c>
      <c r="E10" s="18" t="n">
        <v>9.61114957</v>
      </c>
      <c r="F10" s="20" t="n">
        <v>0.838556</v>
      </c>
      <c r="G10" s="18" t="n">
        <v>88.738412</v>
      </c>
      <c r="H10" s="20" t="n">
        <v>0.90398433</v>
      </c>
      <c r="I10" s="18" t="n">
        <v>0</v>
      </c>
      <c r="J10" s="20" t="n">
        <v>0</v>
      </c>
      <c r="K10" s="18" t="n">
        <v>0.26173194</v>
      </c>
      <c r="L10" s="20" t="n">
        <v>0.15992294</v>
      </c>
      <c r="M10" s="18" t="n">
        <v>0</v>
      </c>
      <c r="N10" s="20" t="n">
        <v>0</v>
      </c>
      <c r="O10" s="18" t="n">
        <v>0</v>
      </c>
      <c r="P10" s="20" t="n">
        <v>0</v>
      </c>
      <c r="Q10" s="18" t="n">
        <v>1.38870649</v>
      </c>
      <c r="R10" s="20" t="n">
        <v>0.30594627</v>
      </c>
    </row>
    <row r="11" spans="1:18">
      <c r="A11" s="15" t="s">
        <v>433</v>
      </c>
      <c r="B11" s="17" t="n">
        <v>7053</v>
      </c>
      <c r="C11" s="18">
        <f>(6207.0/B11*100)</f>
        <v/>
      </c>
      <c r="D11" s="19" t="n">
        <v>846</v>
      </c>
      <c r="E11" s="18" t="n">
        <v>16.01697019</v>
      </c>
      <c r="F11" s="20" t="n">
        <v>1.620608</v>
      </c>
      <c r="G11" s="18" t="n">
        <v>74.41704129999999</v>
      </c>
      <c r="H11" s="20" t="n">
        <v>1.99467944</v>
      </c>
      <c r="I11" s="18" t="n">
        <v>0</v>
      </c>
      <c r="J11" s="20" t="n">
        <v>0</v>
      </c>
      <c r="K11" s="18" t="n">
        <v>0.23292313</v>
      </c>
      <c r="L11" s="20" t="n">
        <v>0.20275734</v>
      </c>
      <c r="M11" s="18" t="n">
        <v>0</v>
      </c>
      <c r="N11" s="20" t="n">
        <v>0</v>
      </c>
      <c r="O11" s="18" t="n">
        <v>0</v>
      </c>
      <c r="P11" s="20" t="n">
        <v>0</v>
      </c>
      <c r="Q11" s="18" t="n">
        <v>9.333065380000001</v>
      </c>
      <c r="R11" s="20" t="n">
        <v>1.20566503</v>
      </c>
    </row>
    <row r="12" spans="1:18">
      <c r="A12" s="15" t="s">
        <v>434</v>
      </c>
      <c r="B12" s="17" t="n">
        <v>6894</v>
      </c>
      <c r="C12" s="18">
        <f>(6068.0/B12*100)</f>
        <v/>
      </c>
      <c r="D12" s="19" t="n">
        <v>826</v>
      </c>
      <c r="E12" s="18" t="n">
        <v>12.29013884</v>
      </c>
      <c r="F12" s="20" t="n">
        <v>1.19978404</v>
      </c>
      <c r="G12" s="18" t="n">
        <v>84.48296207</v>
      </c>
      <c r="H12" s="20" t="n">
        <v>1.49485291</v>
      </c>
      <c r="I12" s="18" t="n">
        <v>0</v>
      </c>
      <c r="J12" s="20" t="n">
        <v>0</v>
      </c>
      <c r="K12" s="18" t="n">
        <v>0</v>
      </c>
      <c r="L12" s="20" t="n">
        <v>0</v>
      </c>
      <c r="M12" s="18" t="n">
        <v>0</v>
      </c>
      <c r="N12" s="20" t="n">
        <v>0</v>
      </c>
      <c r="O12" s="18" t="n">
        <v>0</v>
      </c>
      <c r="P12" s="20" t="n">
        <v>0</v>
      </c>
      <c r="Q12" s="18" t="n">
        <v>3.22689909</v>
      </c>
      <c r="R12" s="20" t="n">
        <v>0.82533417</v>
      </c>
    </row>
    <row r="13" spans="1:18">
      <c r="A13" s="15" t="s">
        <v>435</v>
      </c>
      <c r="B13" s="17" t="n">
        <v>7161</v>
      </c>
      <c r="C13" s="18">
        <f>(6323.0/B13*100)</f>
        <v/>
      </c>
      <c r="D13" s="19" t="n">
        <v>838</v>
      </c>
      <c r="E13" s="18" t="n">
        <v>8.429201470000001</v>
      </c>
      <c r="F13" s="20" t="n">
        <v>1.06411332</v>
      </c>
      <c r="G13" s="18" t="n">
        <v>88.13626207999999</v>
      </c>
      <c r="H13" s="20" t="n">
        <v>1.15097061</v>
      </c>
      <c r="I13" s="18" t="n">
        <v>0</v>
      </c>
      <c r="J13" s="20" t="n">
        <v>0</v>
      </c>
      <c r="K13" s="18" t="n">
        <v>0.51192953</v>
      </c>
      <c r="L13" s="20" t="n">
        <v>0.3669735</v>
      </c>
      <c r="M13" s="18" t="n">
        <v>0</v>
      </c>
      <c r="N13" s="20" t="n">
        <v>0</v>
      </c>
      <c r="O13" s="18" t="n">
        <v>0</v>
      </c>
      <c r="P13" s="20" t="n">
        <v>0</v>
      </c>
      <c r="Q13" s="18" t="n">
        <v>2.92260691</v>
      </c>
      <c r="R13" s="20" t="n">
        <v>0.65156634</v>
      </c>
    </row>
    <row r="14" spans="1:18">
      <c r="A14" s="15" t="s">
        <v>436</v>
      </c>
      <c r="B14" s="17" t="n">
        <v>5587</v>
      </c>
      <c r="C14" s="18">
        <f>(4900.0/B14*100)</f>
        <v/>
      </c>
      <c r="D14" s="19" t="n">
        <v>687</v>
      </c>
      <c r="E14" s="18" t="n">
        <v>9.079334210000001</v>
      </c>
      <c r="F14" s="20" t="n">
        <v>1.13592369</v>
      </c>
      <c r="G14" s="18" t="n">
        <v>90.80950174</v>
      </c>
      <c r="H14" s="20" t="n">
        <v>1.14926249</v>
      </c>
      <c r="I14" s="18" t="n">
        <v>0</v>
      </c>
      <c r="J14" s="20" t="n">
        <v>0</v>
      </c>
      <c r="K14" s="18" t="n">
        <v>0</v>
      </c>
      <c r="L14" s="20" t="n">
        <v>0</v>
      </c>
      <c r="M14" s="18" t="n">
        <v>0</v>
      </c>
      <c r="N14" s="20" t="n">
        <v>0</v>
      </c>
      <c r="O14" s="18" t="n">
        <v>0</v>
      </c>
      <c r="P14" s="20" t="n">
        <v>0</v>
      </c>
      <c r="Q14" s="18" t="n">
        <v>0.11116405</v>
      </c>
      <c r="R14" s="20" t="n">
        <v>0.11075305</v>
      </c>
    </row>
    <row r="15" spans="1:18">
      <c r="A15" s="15" t="s">
        <v>437</v>
      </c>
      <c r="B15" s="17" t="n">
        <v>5882</v>
      </c>
      <c r="C15" s="18">
        <f>(5174.0/B15*100)</f>
        <v/>
      </c>
      <c r="D15" s="19" t="n">
        <v>708</v>
      </c>
      <c r="E15" s="18" t="n">
        <v>9.62363648</v>
      </c>
      <c r="F15" s="20" t="n">
        <v>1.11124903</v>
      </c>
      <c r="G15" s="18" t="n">
        <v>88.22930805999999</v>
      </c>
      <c r="H15" s="20" t="n">
        <v>1.29966456</v>
      </c>
      <c r="I15" s="18" t="n">
        <v>0</v>
      </c>
      <c r="J15" s="20" t="n">
        <v>0</v>
      </c>
      <c r="K15" s="18" t="n">
        <v>0.13163318</v>
      </c>
      <c r="L15" s="20" t="n">
        <v>0.13226258</v>
      </c>
      <c r="M15" s="18" t="n">
        <v>0</v>
      </c>
      <c r="N15" s="20" t="n">
        <v>0</v>
      </c>
      <c r="O15" s="18" t="n">
        <v>0</v>
      </c>
      <c r="P15" s="20" t="n">
        <v>0</v>
      </c>
      <c r="Q15" s="18" t="n">
        <v>2.01542229</v>
      </c>
      <c r="R15" s="20" t="n">
        <v>0.60886221</v>
      </c>
    </row>
    <row r="16" spans="1:18">
      <c r="A16" s="15" t="s">
        <v>438</v>
      </c>
      <c r="B16" s="17" t="n">
        <v>6108</v>
      </c>
      <c r="C16" s="18">
        <f>(5377.0/B16*100)</f>
        <v/>
      </c>
      <c r="D16" s="19" t="n">
        <v>731</v>
      </c>
      <c r="E16" s="18" t="n">
        <v>11.02641556</v>
      </c>
      <c r="F16" s="20" t="n">
        <v>1.12454119</v>
      </c>
      <c r="G16" s="18" t="n">
        <v>84.94175920000001</v>
      </c>
      <c r="H16" s="20" t="n">
        <v>1.42992439</v>
      </c>
      <c r="I16" s="18" t="n">
        <v>0</v>
      </c>
      <c r="J16" s="20" t="n">
        <v>0</v>
      </c>
      <c r="K16" s="18" t="n">
        <v>0.7680822</v>
      </c>
      <c r="L16" s="20" t="n">
        <v>0.37370015</v>
      </c>
      <c r="M16" s="18" t="n">
        <v>0</v>
      </c>
      <c r="N16" s="20" t="n">
        <v>0</v>
      </c>
      <c r="O16" s="18" t="n">
        <v>0</v>
      </c>
      <c r="P16" s="20" t="n">
        <v>0</v>
      </c>
      <c r="Q16" s="18" t="n">
        <v>3.26374305</v>
      </c>
      <c r="R16" s="20" t="n">
        <v>0.67371489</v>
      </c>
    </row>
    <row r="17" spans="1:18">
      <c r="A17" s="15" t="s">
        <v>439</v>
      </c>
      <c r="B17" s="17" t="n">
        <v>6504</v>
      </c>
      <c r="C17" s="18">
        <f>(5738.0/B17*100)</f>
        <v/>
      </c>
      <c r="D17" s="19" t="n">
        <v>766</v>
      </c>
      <c r="E17" s="18" t="n">
        <v>12.63272232</v>
      </c>
      <c r="F17" s="20" t="n">
        <v>1.20635478</v>
      </c>
      <c r="G17" s="18" t="n">
        <v>83.40465465</v>
      </c>
      <c r="H17" s="20" t="n">
        <v>1.45633891</v>
      </c>
      <c r="I17" s="18" t="n">
        <v>0</v>
      </c>
      <c r="J17" s="20" t="n">
        <v>0</v>
      </c>
      <c r="K17" s="18" t="n">
        <v>0.15486506</v>
      </c>
      <c r="L17" s="20" t="n">
        <v>0.15496132</v>
      </c>
      <c r="M17" s="18" t="n">
        <v>0</v>
      </c>
      <c r="N17" s="20" t="n">
        <v>0</v>
      </c>
      <c r="O17" s="18" t="n">
        <v>0</v>
      </c>
      <c r="P17" s="20" t="n">
        <v>0</v>
      </c>
      <c r="Q17" s="18" t="n">
        <v>3.80775797</v>
      </c>
      <c r="R17" s="20" t="n">
        <v>0.600679</v>
      </c>
    </row>
    <row r="18" spans="1:18">
      <c r="A18" s="15" t="s">
        <v>440</v>
      </c>
      <c r="B18" s="17" t="n">
        <v>5532</v>
      </c>
      <c r="C18" s="18">
        <f>(4852.0/B18*100)</f>
        <v/>
      </c>
      <c r="D18" s="19" t="n">
        <v>680</v>
      </c>
      <c r="E18" s="18" t="n">
        <v>18.00136599</v>
      </c>
      <c r="F18" s="20" t="n">
        <v>1.51893799</v>
      </c>
      <c r="G18" s="18" t="n">
        <v>74.68297867</v>
      </c>
      <c r="H18" s="20" t="n">
        <v>1.73715243</v>
      </c>
      <c r="I18" s="18" t="n">
        <v>0</v>
      </c>
      <c r="J18" s="20" t="n">
        <v>0</v>
      </c>
      <c r="K18" s="18" t="n">
        <v>0.49346589</v>
      </c>
      <c r="L18" s="20" t="n">
        <v>0.31418035</v>
      </c>
      <c r="M18" s="18" t="n">
        <v>0</v>
      </c>
      <c r="N18" s="20" t="n">
        <v>0</v>
      </c>
      <c r="O18" s="18" t="n">
        <v>0</v>
      </c>
      <c r="P18" s="20" t="n">
        <v>0</v>
      </c>
      <c r="Q18" s="18" t="n">
        <v>6.82218945</v>
      </c>
      <c r="R18" s="20" t="n">
        <v>1.20023305</v>
      </c>
    </row>
    <row r="19" spans="1:18">
      <c r="A19" s="15" t="s">
        <v>441</v>
      </c>
      <c r="B19" s="17" t="n">
        <v>5658</v>
      </c>
      <c r="C19" s="18">
        <f>(4955.0/B19*100)</f>
        <v/>
      </c>
      <c r="D19" s="19" t="n">
        <v>703</v>
      </c>
      <c r="E19" s="18" t="n">
        <v>11.55501189</v>
      </c>
      <c r="F19" s="20" t="n">
        <v>1.34808801</v>
      </c>
      <c r="G19" s="18" t="n">
        <v>84.58228583</v>
      </c>
      <c r="H19" s="20" t="n">
        <v>1.52193458</v>
      </c>
      <c r="I19" s="18" t="n">
        <v>0</v>
      </c>
      <c r="J19" s="20" t="n">
        <v>0</v>
      </c>
      <c r="K19" s="18" t="n">
        <v>0</v>
      </c>
      <c r="L19" s="20" t="n">
        <v>0</v>
      </c>
      <c r="M19" s="18" t="n">
        <v>0</v>
      </c>
      <c r="N19" s="20" t="n">
        <v>0</v>
      </c>
      <c r="O19" s="18" t="n">
        <v>0</v>
      </c>
      <c r="P19" s="20" t="n">
        <v>0</v>
      </c>
      <c r="Q19" s="18" t="n">
        <v>3.86270228</v>
      </c>
      <c r="R19" s="20" t="n">
        <v>0.80004674</v>
      </c>
    </row>
    <row r="20" spans="1:18">
      <c r="A20" s="15" t="s">
        <v>442</v>
      </c>
      <c r="B20" s="17" t="n">
        <v>3371</v>
      </c>
      <c r="C20" s="18">
        <f>(2963.0/B20*100)</f>
        <v/>
      </c>
      <c r="D20" s="19" t="n">
        <v>408</v>
      </c>
      <c r="E20" s="18" t="n">
        <v>11.67602078</v>
      </c>
      <c r="F20" s="20" t="n">
        <v>1.48199115</v>
      </c>
      <c r="G20" s="18" t="n">
        <v>83.84470833</v>
      </c>
      <c r="H20" s="20" t="n">
        <v>1.88757299</v>
      </c>
      <c r="I20" s="18" t="n">
        <v>0</v>
      </c>
      <c r="J20" s="20" t="n">
        <v>0</v>
      </c>
      <c r="K20" s="18" t="n">
        <v>0.51888946</v>
      </c>
      <c r="L20" s="20" t="n">
        <v>0.35558345</v>
      </c>
      <c r="M20" s="18" t="n">
        <v>0</v>
      </c>
      <c r="N20" s="20" t="n">
        <v>0</v>
      </c>
      <c r="O20" s="18" t="n">
        <v>0</v>
      </c>
      <c r="P20" s="20" t="n">
        <v>0</v>
      </c>
      <c r="Q20" s="18" t="n">
        <v>3.96038142</v>
      </c>
      <c r="R20" s="20" t="n">
        <v>0.9859409099999999</v>
      </c>
    </row>
    <row r="21" spans="1:18">
      <c r="A21" s="15" t="s">
        <v>443</v>
      </c>
      <c r="B21" s="17" t="n">
        <v>5741</v>
      </c>
      <c r="C21" s="18">
        <f>(4783.0/B21*100)</f>
        <v/>
      </c>
      <c r="D21" s="19" t="n">
        <v>958</v>
      </c>
      <c r="E21" s="18" t="n">
        <v>10.78573878</v>
      </c>
      <c r="F21" s="20" t="n">
        <v>0.9853602</v>
      </c>
      <c r="G21" s="18" t="n">
        <v>88.10689585</v>
      </c>
      <c r="H21" s="20" t="n">
        <v>1.07449679</v>
      </c>
      <c r="I21" s="18" t="n">
        <v>0</v>
      </c>
      <c r="J21" s="20" t="n">
        <v>0</v>
      </c>
      <c r="K21" s="18" t="n">
        <v>0</v>
      </c>
      <c r="L21" s="20" t="n">
        <v>0</v>
      </c>
      <c r="M21" s="18" t="n">
        <v>0</v>
      </c>
      <c r="N21" s="20" t="n">
        <v>0</v>
      </c>
      <c r="O21" s="18" t="n">
        <v>0</v>
      </c>
      <c r="P21" s="20" t="n">
        <v>0</v>
      </c>
      <c r="Q21" s="18" t="n">
        <v>1.10736537</v>
      </c>
      <c r="R21" s="20" t="n">
        <v>0.37435647</v>
      </c>
    </row>
    <row r="22" spans="1:18">
      <c r="A22" s="15" t="s">
        <v>444</v>
      </c>
      <c r="B22" s="17" t="n">
        <v>6598</v>
      </c>
      <c r="C22" s="18">
        <f>(5767.0/B22*100)</f>
        <v/>
      </c>
      <c r="D22" s="19" t="n">
        <v>831</v>
      </c>
      <c r="E22" s="18" t="n">
        <v>17.31947752</v>
      </c>
      <c r="F22" s="20" t="n">
        <v>1.60336491</v>
      </c>
      <c r="G22" s="18" t="n">
        <v>75.80578020999999</v>
      </c>
      <c r="H22" s="20" t="n">
        <v>1.56895024</v>
      </c>
      <c r="I22" s="18" t="n">
        <v>0</v>
      </c>
      <c r="J22" s="20" t="n">
        <v>0</v>
      </c>
      <c r="K22" s="18" t="n">
        <v>0.31708561</v>
      </c>
      <c r="L22" s="20" t="n">
        <v>0.23418124</v>
      </c>
      <c r="M22" s="18" t="n">
        <v>0</v>
      </c>
      <c r="N22" s="20" t="n">
        <v>0</v>
      </c>
      <c r="O22" s="18" t="n">
        <v>0</v>
      </c>
      <c r="P22" s="20" t="n">
        <v>0</v>
      </c>
      <c r="Q22" s="18" t="n">
        <v>6.55765666</v>
      </c>
      <c r="R22" s="20" t="n">
        <v>0.90902454</v>
      </c>
    </row>
    <row r="23" spans="1:18">
      <c r="A23" s="15" t="s">
        <v>445</v>
      </c>
      <c r="B23" s="17" t="n">
        <v>11583</v>
      </c>
      <c r="C23" s="18">
        <f>(10128.0/B23*100)</f>
        <v/>
      </c>
      <c r="D23" s="19" t="n">
        <v>1455</v>
      </c>
      <c r="E23" s="18" t="n">
        <v>11.4818163</v>
      </c>
      <c r="F23" s="20" t="n">
        <v>1.27329028</v>
      </c>
      <c r="G23" s="18" t="n">
        <v>82.62457661000001</v>
      </c>
      <c r="H23" s="20" t="n">
        <v>1.51652095</v>
      </c>
      <c r="I23" s="18" t="n">
        <v>0</v>
      </c>
      <c r="J23" s="20" t="n">
        <v>0</v>
      </c>
      <c r="K23" s="18" t="n">
        <v>0.39100041</v>
      </c>
      <c r="L23" s="20" t="n">
        <v>0.275073</v>
      </c>
      <c r="M23" s="18" t="n">
        <v>0</v>
      </c>
      <c r="N23" s="20" t="n">
        <v>0</v>
      </c>
      <c r="O23" s="18" t="n">
        <v>0</v>
      </c>
      <c r="P23" s="20" t="n">
        <v>0</v>
      </c>
      <c r="Q23" s="18" t="n">
        <v>5.50260668</v>
      </c>
      <c r="R23" s="20" t="n">
        <v>0.98299218</v>
      </c>
    </row>
    <row r="24" spans="1:18">
      <c r="A24" s="15" t="s">
        <v>446</v>
      </c>
      <c r="B24" s="17" t="n">
        <v>6647</v>
      </c>
      <c r="C24" s="18">
        <f>(5881.0/B24*100)</f>
        <v/>
      </c>
      <c r="D24" s="19" t="n">
        <v>766</v>
      </c>
      <c r="E24" s="18" t="n">
        <v>7.98772645</v>
      </c>
      <c r="F24" s="20" t="n">
        <v>1.15610425</v>
      </c>
      <c r="G24" s="18" t="n">
        <v>90.58168361</v>
      </c>
      <c r="H24" s="20" t="n">
        <v>1.12256621</v>
      </c>
      <c r="I24" s="18" t="n">
        <v>0</v>
      </c>
      <c r="J24" s="20" t="n">
        <v>0</v>
      </c>
      <c r="K24" s="18" t="n">
        <v>0.11810241</v>
      </c>
      <c r="L24" s="20" t="n">
        <v>0.11853533</v>
      </c>
      <c r="M24" s="18" t="n">
        <v>0</v>
      </c>
      <c r="N24" s="20" t="n">
        <v>0</v>
      </c>
      <c r="O24" s="18" t="n">
        <v>0</v>
      </c>
      <c r="P24" s="20" t="n">
        <v>0</v>
      </c>
      <c r="Q24" s="18" t="n">
        <v>1.31248752</v>
      </c>
      <c r="R24" s="20" t="n">
        <v>0.36945551</v>
      </c>
    </row>
    <row r="25" spans="1:18">
      <c r="A25" s="15" t="s">
        <v>447</v>
      </c>
      <c r="B25" s="17" t="n">
        <v>5581</v>
      </c>
      <c r="C25" s="18">
        <f>(4891.0/B25*100)</f>
        <v/>
      </c>
      <c r="D25" s="19" t="n">
        <v>690</v>
      </c>
      <c r="E25" s="18" t="n">
        <v>12.56201558</v>
      </c>
      <c r="F25" s="20" t="n">
        <v>1.21684249</v>
      </c>
      <c r="G25" s="18" t="n">
        <v>85.94086649</v>
      </c>
      <c r="H25" s="20" t="n">
        <v>1.14247816</v>
      </c>
      <c r="I25" s="18" t="n">
        <v>0</v>
      </c>
      <c r="J25" s="20" t="n">
        <v>0</v>
      </c>
      <c r="K25" s="18" t="n">
        <v>0.69150238</v>
      </c>
      <c r="L25" s="20" t="n">
        <v>0.3177594</v>
      </c>
      <c r="M25" s="18" t="n">
        <v>0</v>
      </c>
      <c r="N25" s="20" t="n">
        <v>0</v>
      </c>
      <c r="O25" s="18" t="n">
        <v>0</v>
      </c>
      <c r="P25" s="20" t="n">
        <v>0</v>
      </c>
      <c r="Q25" s="18" t="n">
        <v>0.80561555</v>
      </c>
      <c r="R25" s="20" t="n">
        <v>0.35195703</v>
      </c>
    </row>
    <row r="26" spans="1:18">
      <c r="A26" s="15" t="s">
        <v>448</v>
      </c>
      <c r="B26" s="17" t="n">
        <v>4869</v>
      </c>
      <c r="C26" s="18">
        <f>(4269.0/B26*100)</f>
        <v/>
      </c>
      <c r="D26" s="19" t="n">
        <v>600</v>
      </c>
      <c r="E26" s="18" t="n">
        <v>26.10472166</v>
      </c>
      <c r="F26" s="20" t="n">
        <v>1.98010853</v>
      </c>
      <c r="G26" s="18" t="n">
        <v>71.52103474</v>
      </c>
      <c r="H26" s="20" t="n">
        <v>2.0035985</v>
      </c>
      <c r="I26" s="18" t="n">
        <v>0</v>
      </c>
      <c r="J26" s="20" t="n">
        <v>0</v>
      </c>
      <c r="K26" s="18" t="n">
        <v>0.15532569</v>
      </c>
      <c r="L26" s="20" t="n">
        <v>0.15368104</v>
      </c>
      <c r="M26" s="18" t="n">
        <v>0</v>
      </c>
      <c r="N26" s="20" t="n">
        <v>0</v>
      </c>
      <c r="O26" s="18" t="n">
        <v>0</v>
      </c>
      <c r="P26" s="20" t="n">
        <v>0</v>
      </c>
      <c r="Q26" s="18" t="n">
        <v>2.21891791</v>
      </c>
      <c r="R26" s="20" t="n">
        <v>0.63624563</v>
      </c>
    </row>
    <row r="27" spans="1:18">
      <c r="A27" s="15" t="s">
        <v>449</v>
      </c>
      <c r="B27" s="17" t="n">
        <v>5299</v>
      </c>
      <c r="C27" s="18">
        <f>(4639.0/B27*100)</f>
        <v/>
      </c>
      <c r="D27" s="19" t="n">
        <v>660</v>
      </c>
      <c r="E27" s="18" t="n">
        <v>14.71972973</v>
      </c>
      <c r="F27" s="20" t="n">
        <v>1.48717538</v>
      </c>
      <c r="G27" s="18" t="n">
        <v>81.00081747999999</v>
      </c>
      <c r="H27" s="20" t="n">
        <v>1.55083132</v>
      </c>
      <c r="I27" s="18" t="n">
        <v>0</v>
      </c>
      <c r="J27" s="20" t="n">
        <v>0</v>
      </c>
      <c r="K27" s="18" t="n">
        <v>0.32226117</v>
      </c>
      <c r="L27" s="20" t="n">
        <v>0.22278032</v>
      </c>
      <c r="M27" s="18" t="n">
        <v>0</v>
      </c>
      <c r="N27" s="20" t="n">
        <v>0</v>
      </c>
      <c r="O27" s="18" t="n">
        <v>0</v>
      </c>
      <c r="P27" s="20" t="n">
        <v>0</v>
      </c>
      <c r="Q27" s="18" t="n">
        <v>3.95719163</v>
      </c>
      <c r="R27" s="20" t="n">
        <v>0.72795201</v>
      </c>
    </row>
    <row r="28" spans="1:18">
      <c r="A28" s="15" t="s">
        <v>450</v>
      </c>
      <c r="B28" s="17" t="n">
        <v>7568</v>
      </c>
      <c r="C28" s="18">
        <f>(6677.0/B28*100)</f>
        <v/>
      </c>
      <c r="D28" s="19" t="n">
        <v>891</v>
      </c>
      <c r="E28" s="18" t="n">
        <v>25.98642282</v>
      </c>
      <c r="F28" s="20" t="n">
        <v>1.67666054</v>
      </c>
      <c r="G28" s="18" t="n">
        <v>70.51767015999999</v>
      </c>
      <c r="H28" s="20" t="n">
        <v>1.69001387</v>
      </c>
      <c r="I28" s="18" t="n">
        <v>0</v>
      </c>
      <c r="J28" s="20" t="n">
        <v>0</v>
      </c>
      <c r="K28" s="18" t="n">
        <v>0.23257159</v>
      </c>
      <c r="L28" s="20" t="n">
        <v>0.16788819</v>
      </c>
      <c r="M28" s="18" t="n">
        <v>0</v>
      </c>
      <c r="N28" s="20" t="n">
        <v>0</v>
      </c>
      <c r="O28" s="18" t="n">
        <v>0</v>
      </c>
      <c r="P28" s="20" t="n">
        <v>0</v>
      </c>
      <c r="Q28" s="18" t="n">
        <v>3.26333543</v>
      </c>
      <c r="R28" s="20" t="n">
        <v>0.7858474600000001</v>
      </c>
    </row>
    <row r="29" spans="1:18">
      <c r="A29" s="15" t="s">
        <v>451</v>
      </c>
      <c r="B29" s="17" t="n">
        <v>5385</v>
      </c>
      <c r="C29" s="18">
        <f>(4748.0/B29*100)</f>
        <v/>
      </c>
      <c r="D29" s="19" t="n">
        <v>637</v>
      </c>
      <c r="E29" s="18" t="n">
        <v>9.85155132</v>
      </c>
      <c r="F29" s="20" t="n">
        <v>1.23017574</v>
      </c>
      <c r="G29" s="18" t="n">
        <v>88.93153504</v>
      </c>
      <c r="H29" s="20" t="n">
        <v>1.39565452</v>
      </c>
      <c r="I29" s="18" t="n">
        <v>0</v>
      </c>
      <c r="J29" s="20" t="n">
        <v>0</v>
      </c>
      <c r="K29" s="18" t="n">
        <v>0.2010417</v>
      </c>
      <c r="L29" s="20" t="n">
        <v>0.198841</v>
      </c>
      <c r="M29" s="18" t="n">
        <v>0</v>
      </c>
      <c r="N29" s="20" t="n">
        <v>0</v>
      </c>
      <c r="O29" s="18" t="n">
        <v>0</v>
      </c>
      <c r="P29" s="20" t="n">
        <v>0</v>
      </c>
      <c r="Q29" s="18" t="n">
        <v>1.01587194</v>
      </c>
      <c r="R29" s="20" t="n">
        <v>0.40716616</v>
      </c>
    </row>
    <row r="30" spans="1:18">
      <c r="A30" s="15" t="s">
        <v>452</v>
      </c>
      <c r="B30" s="17" t="n">
        <v>4520</v>
      </c>
      <c r="C30" s="18">
        <f>(4003.0/B30*100)</f>
        <v/>
      </c>
      <c r="D30" s="19" t="n">
        <v>517</v>
      </c>
      <c r="E30" s="18" t="n">
        <v>12.04710238</v>
      </c>
      <c r="F30" s="20" t="n">
        <v>1.28866561</v>
      </c>
      <c r="G30" s="18" t="n">
        <v>85.66736699</v>
      </c>
      <c r="H30" s="20" t="n">
        <v>1.52371839</v>
      </c>
      <c r="I30" s="18" t="n">
        <v>0</v>
      </c>
      <c r="J30" s="20" t="n">
        <v>0</v>
      </c>
      <c r="K30" s="18" t="n">
        <v>0</v>
      </c>
      <c r="L30" s="20" t="n">
        <v>0</v>
      </c>
      <c r="M30" s="18" t="n">
        <v>0</v>
      </c>
      <c r="N30" s="20" t="n">
        <v>0</v>
      </c>
      <c r="O30" s="18" t="n">
        <v>0</v>
      </c>
      <c r="P30" s="20" t="n">
        <v>0</v>
      </c>
      <c r="Q30" s="18" t="n">
        <v>2.28553063</v>
      </c>
      <c r="R30" s="20" t="n">
        <v>0.67360817</v>
      </c>
    </row>
    <row r="31" spans="1:18">
      <c r="A31" s="15" t="s">
        <v>453</v>
      </c>
      <c r="B31" s="17" t="n">
        <v>5456</v>
      </c>
      <c r="C31" s="18">
        <f>(4801.0/B31*100)</f>
        <v/>
      </c>
      <c r="D31" s="19" t="n">
        <v>655</v>
      </c>
      <c r="E31" s="18" t="n">
        <v>8.52323466</v>
      </c>
      <c r="F31" s="20" t="n">
        <v>1.23121399</v>
      </c>
      <c r="G31" s="18" t="n">
        <v>85.9826843</v>
      </c>
      <c r="H31" s="20" t="n">
        <v>1.45206239</v>
      </c>
      <c r="I31" s="18" t="n">
        <v>0</v>
      </c>
      <c r="J31" s="20" t="n">
        <v>0</v>
      </c>
      <c r="K31" s="18" t="n">
        <v>0.47112393</v>
      </c>
      <c r="L31" s="20" t="n">
        <v>0.28528469</v>
      </c>
      <c r="M31" s="18" t="n">
        <v>0</v>
      </c>
      <c r="N31" s="20" t="n">
        <v>0</v>
      </c>
      <c r="O31" s="18" t="n">
        <v>0</v>
      </c>
      <c r="P31" s="20" t="n">
        <v>0</v>
      </c>
      <c r="Q31" s="18" t="n">
        <v>5.02295711</v>
      </c>
      <c r="R31" s="20" t="n">
        <v>0.8207252900000001</v>
      </c>
    </row>
    <row r="32" spans="1:18">
      <c r="A32" s="15" t="s">
        <v>454</v>
      </c>
      <c r="B32" s="17" t="n">
        <v>4478</v>
      </c>
      <c r="C32" s="18">
        <f>(3735.0/B32*100)</f>
        <v/>
      </c>
      <c r="D32" s="19" t="n">
        <v>743</v>
      </c>
      <c r="E32" s="18" t="n">
        <v>10.51038152</v>
      </c>
      <c r="F32" s="20" t="n">
        <v>1.21192199</v>
      </c>
      <c r="G32" s="18" t="n">
        <v>87.55499792000001</v>
      </c>
      <c r="H32" s="20" t="n">
        <v>1.36612979</v>
      </c>
      <c r="I32" s="18" t="n">
        <v>0</v>
      </c>
      <c r="J32" s="20" t="n">
        <v>0</v>
      </c>
      <c r="K32" s="18" t="n">
        <v>0.12994118</v>
      </c>
      <c r="L32" s="20" t="n">
        <v>0.12231666</v>
      </c>
      <c r="M32" s="18" t="n">
        <v>0</v>
      </c>
      <c r="N32" s="20" t="n">
        <v>0</v>
      </c>
      <c r="O32" s="18" t="n">
        <v>0</v>
      </c>
      <c r="P32" s="20" t="n">
        <v>0</v>
      </c>
      <c r="Q32" s="18" t="n">
        <v>1.80467939</v>
      </c>
      <c r="R32" s="20" t="n">
        <v>0.41265783</v>
      </c>
    </row>
    <row r="33" spans="1:18">
      <c r="A33" s="15" t="s">
        <v>455</v>
      </c>
      <c r="B33" s="17" t="n">
        <v>7325</v>
      </c>
      <c r="C33" s="18">
        <f>(6438.0/B33*100)</f>
        <v/>
      </c>
      <c r="D33" s="19" t="n">
        <v>887</v>
      </c>
      <c r="E33" s="18" t="n">
        <v>9.26888567</v>
      </c>
      <c r="F33" s="20" t="n">
        <v>1.16928306</v>
      </c>
      <c r="G33" s="18" t="n">
        <v>89.13929069</v>
      </c>
      <c r="H33" s="20" t="n">
        <v>1.34129542</v>
      </c>
      <c r="I33" s="18" t="n">
        <v>0</v>
      </c>
      <c r="J33" s="20" t="n">
        <v>0</v>
      </c>
      <c r="K33" s="18" t="n">
        <v>0</v>
      </c>
      <c r="L33" s="20" t="n">
        <v>0</v>
      </c>
      <c r="M33" s="18" t="n">
        <v>0</v>
      </c>
      <c r="N33" s="20" t="n">
        <v>0</v>
      </c>
      <c r="O33" s="18" t="n">
        <v>0</v>
      </c>
      <c r="P33" s="20" t="n">
        <v>0</v>
      </c>
      <c r="Q33" s="18" t="n">
        <v>1.59182364</v>
      </c>
      <c r="R33" s="20" t="n">
        <v>0.49442774</v>
      </c>
    </row>
    <row r="34" spans="1:18">
      <c r="A34" s="15" t="s">
        <v>456</v>
      </c>
      <c r="B34" s="17" t="n">
        <v>6350</v>
      </c>
      <c r="C34" s="18">
        <f>(5605.0/B34*100)</f>
        <v/>
      </c>
      <c r="D34" s="19" t="n">
        <v>745</v>
      </c>
      <c r="E34" s="18" t="n">
        <v>19.40365383</v>
      </c>
      <c r="F34" s="20" t="n">
        <v>1.48313607</v>
      </c>
      <c r="G34" s="18" t="n">
        <v>78.23659416</v>
      </c>
      <c r="H34" s="20" t="n">
        <v>1.51117046</v>
      </c>
      <c r="I34" s="18" t="n">
        <v>0</v>
      </c>
      <c r="J34" s="20" t="n">
        <v>0</v>
      </c>
      <c r="K34" s="18" t="n">
        <v>0.11290151</v>
      </c>
      <c r="L34" s="20" t="n">
        <v>0.07739989999999999</v>
      </c>
      <c r="M34" s="18" t="n">
        <v>0</v>
      </c>
      <c r="N34" s="20" t="n">
        <v>0</v>
      </c>
      <c r="O34" s="18" t="n">
        <v>0</v>
      </c>
      <c r="P34" s="20" t="n">
        <v>0</v>
      </c>
      <c r="Q34" s="18" t="n">
        <v>2.2468505</v>
      </c>
      <c r="R34" s="20" t="n">
        <v>0.5688344</v>
      </c>
    </row>
    <row r="35" spans="1:18">
      <c r="A35" s="15" t="s">
        <v>457</v>
      </c>
      <c r="B35" s="17" t="n">
        <v>6406</v>
      </c>
      <c r="C35" s="18">
        <f>(5647.0/B35*100)</f>
        <v/>
      </c>
      <c r="D35" s="19" t="n">
        <v>759</v>
      </c>
      <c r="E35" s="18" t="n">
        <v>9.053210119999999</v>
      </c>
      <c r="F35" s="20" t="n">
        <v>1.22732847</v>
      </c>
      <c r="G35" s="18" t="n">
        <v>89.17223523</v>
      </c>
      <c r="H35" s="20" t="n">
        <v>1.33324379</v>
      </c>
      <c r="I35" s="18" t="n">
        <v>0</v>
      </c>
      <c r="J35" s="20" t="n">
        <v>0</v>
      </c>
      <c r="K35" s="18" t="n">
        <v>0</v>
      </c>
      <c r="L35" s="20" t="n">
        <v>0</v>
      </c>
      <c r="M35" s="18" t="n">
        <v>0</v>
      </c>
      <c r="N35" s="20" t="n">
        <v>0</v>
      </c>
      <c r="O35" s="18" t="n">
        <v>0</v>
      </c>
      <c r="P35" s="20" t="n">
        <v>0</v>
      </c>
      <c r="Q35" s="18" t="n">
        <v>1.77455465</v>
      </c>
      <c r="R35" s="20" t="n">
        <v>0.40609544</v>
      </c>
    </row>
    <row r="36" spans="1:18">
      <c r="A36" s="15" t="s">
        <v>458</v>
      </c>
      <c r="B36" s="17" t="n">
        <v>6736</v>
      </c>
      <c r="C36" s="18">
        <f>(5915.0/B36*100)</f>
        <v/>
      </c>
      <c r="D36" s="19" t="n">
        <v>821</v>
      </c>
      <c r="E36" s="18" t="n">
        <v>11.07549043</v>
      </c>
      <c r="F36" s="20" t="n">
        <v>1.17143915</v>
      </c>
      <c r="G36" s="18" t="n">
        <v>84.09374093</v>
      </c>
      <c r="H36" s="20" t="n">
        <v>1.3901274</v>
      </c>
      <c r="I36" s="18" t="n">
        <v>0</v>
      </c>
      <c r="J36" s="20" t="n">
        <v>0</v>
      </c>
      <c r="K36" s="18" t="n">
        <v>0</v>
      </c>
      <c r="L36" s="20" t="n">
        <v>0</v>
      </c>
      <c r="M36" s="18" t="n">
        <v>0</v>
      </c>
      <c r="N36" s="20" t="n">
        <v>0</v>
      </c>
      <c r="O36" s="18" t="n">
        <v>0</v>
      </c>
      <c r="P36" s="20" t="n">
        <v>0</v>
      </c>
      <c r="Q36" s="18" t="n">
        <v>4.83076864</v>
      </c>
      <c r="R36" s="20" t="n">
        <v>0.79109996</v>
      </c>
    </row>
    <row r="37" spans="1:18">
      <c r="A37" s="15" t="s">
        <v>459</v>
      </c>
      <c r="B37" s="17" t="n">
        <v>5458</v>
      </c>
      <c r="C37" s="18">
        <f>(4779.0/B37*100)</f>
        <v/>
      </c>
      <c r="D37" s="19" t="n">
        <v>679</v>
      </c>
      <c r="E37" s="18" t="n">
        <v>14.09353516</v>
      </c>
      <c r="F37" s="20" t="n">
        <v>1.33188695</v>
      </c>
      <c r="G37" s="18" t="n">
        <v>78.40778357000001</v>
      </c>
      <c r="H37" s="20" t="n">
        <v>1.69374804</v>
      </c>
      <c r="I37" s="18" t="n">
        <v>0</v>
      </c>
      <c r="J37" s="20" t="n">
        <v>0</v>
      </c>
      <c r="K37" s="18" t="n">
        <v>0.12911457</v>
      </c>
      <c r="L37" s="20" t="n">
        <v>0.18294481</v>
      </c>
      <c r="M37" s="18" t="n">
        <v>0</v>
      </c>
      <c r="N37" s="20" t="n">
        <v>0</v>
      </c>
      <c r="O37" s="18" t="n">
        <v>0</v>
      </c>
      <c r="P37" s="20" t="n">
        <v>0</v>
      </c>
      <c r="Q37" s="18" t="n">
        <v>7.3695667</v>
      </c>
      <c r="R37" s="20" t="n">
        <v>1.09085995</v>
      </c>
    </row>
    <row r="38" spans="1:18">
      <c r="A38" s="15" t="s">
        <v>460</v>
      </c>
      <c r="B38" s="17" t="n">
        <v>5860</v>
      </c>
      <c r="C38" s="18">
        <f>(4869.0/B38*100)</f>
        <v/>
      </c>
      <c r="D38" s="19" t="n">
        <v>991</v>
      </c>
      <c r="E38" s="18" t="n">
        <v>13.30814802</v>
      </c>
      <c r="F38" s="20" t="n">
        <v>1.20937771</v>
      </c>
      <c r="G38" s="18" t="n">
        <v>83.13499683000001</v>
      </c>
      <c r="H38" s="20" t="n">
        <v>1.40128745</v>
      </c>
      <c r="I38" s="18" t="n">
        <v>0</v>
      </c>
      <c r="J38" s="20" t="n">
        <v>0</v>
      </c>
      <c r="K38" s="18" t="n">
        <v>0.08345016</v>
      </c>
      <c r="L38" s="20" t="n">
        <v>0.08336216</v>
      </c>
      <c r="M38" s="18" t="n">
        <v>0</v>
      </c>
      <c r="N38" s="20" t="n">
        <v>0</v>
      </c>
      <c r="O38" s="18" t="n">
        <v>0</v>
      </c>
      <c r="P38" s="20" t="n">
        <v>0</v>
      </c>
      <c r="Q38" s="18" t="n">
        <v>3.47340498</v>
      </c>
      <c r="R38" s="20" t="n">
        <v>0.58633076</v>
      </c>
    </row>
    <row r="39" spans="1:18">
      <c r="A39" s="15" t="s">
        <v>461</v>
      </c>
      <c r="B39" s="17" t="n">
        <v>5895</v>
      </c>
      <c r="C39" s="18">
        <f>(5173.0/B39*100)</f>
        <v/>
      </c>
      <c r="D39" s="19" t="n">
        <v>722</v>
      </c>
      <c r="E39" s="18" t="n">
        <v>34.07222776</v>
      </c>
      <c r="F39" s="20" t="n">
        <v>2.54905602</v>
      </c>
      <c r="G39" s="18" t="n">
        <v>61.65423387</v>
      </c>
      <c r="H39" s="20" t="n">
        <v>2.54583735</v>
      </c>
      <c r="I39" s="18" t="n">
        <v>0</v>
      </c>
      <c r="J39" s="20" t="n">
        <v>0</v>
      </c>
      <c r="K39" s="18" t="n">
        <v>0.20089188</v>
      </c>
      <c r="L39" s="20" t="n">
        <v>0.20136022</v>
      </c>
      <c r="M39" s="18" t="n">
        <v>0</v>
      </c>
      <c r="N39" s="20" t="n">
        <v>0</v>
      </c>
      <c r="O39" s="18" t="n">
        <v>0</v>
      </c>
      <c r="P39" s="20" t="n">
        <v>0</v>
      </c>
      <c r="Q39" s="18" t="n">
        <v>4.07264649</v>
      </c>
      <c r="R39" s="20" t="n">
        <v>0.80692078</v>
      </c>
    </row>
    <row r="40" spans="1:18">
      <c r="A40" s="15" t="s">
        <v>462</v>
      </c>
      <c r="B40" s="17" t="n">
        <v>14157</v>
      </c>
      <c r="C40" s="18">
        <f>(12437.0/B40*100)</f>
        <v/>
      </c>
      <c r="D40" s="19" t="n">
        <v>1720</v>
      </c>
      <c r="E40" s="18" t="n">
        <v>12.00466318</v>
      </c>
      <c r="F40" s="20" t="n">
        <v>1.113236</v>
      </c>
      <c r="G40" s="18" t="n">
        <v>84.96663768000001</v>
      </c>
      <c r="H40" s="20" t="n">
        <v>1.19131838</v>
      </c>
      <c r="I40" s="18" t="n">
        <v>0</v>
      </c>
      <c r="J40" s="20" t="n">
        <v>0</v>
      </c>
      <c r="K40" s="18" t="n">
        <v>0.14422361</v>
      </c>
      <c r="L40" s="20" t="n">
        <v>0.0807219</v>
      </c>
      <c r="M40" s="18" t="n">
        <v>0</v>
      </c>
      <c r="N40" s="20" t="n">
        <v>0</v>
      </c>
      <c r="O40" s="18" t="n">
        <v>0</v>
      </c>
      <c r="P40" s="20" t="n">
        <v>0</v>
      </c>
      <c r="Q40" s="18" t="n">
        <v>2.88447553</v>
      </c>
      <c r="R40" s="20" t="n">
        <v>0.51326195</v>
      </c>
    </row>
    <row r="41" spans="1:18">
      <c r="A41" s="15" t="s">
        <v>463</v>
      </c>
      <c r="B41" s="17" t="n">
        <v>5712</v>
      </c>
      <c r="C41" s="18">
        <f>(5013.0/B41*100)</f>
        <v/>
      </c>
      <c r="D41" s="19" t="n">
        <v>699</v>
      </c>
      <c r="E41" s="18" t="n">
        <v>14.65742862</v>
      </c>
      <c r="F41" s="20" t="n">
        <v>1.2455834</v>
      </c>
      <c r="G41" s="18" t="n">
        <v>83.84108108</v>
      </c>
      <c r="H41" s="20" t="n">
        <v>1.38632308</v>
      </c>
      <c r="I41" s="18" t="n">
        <v>0</v>
      </c>
      <c r="J41" s="20" t="n">
        <v>0</v>
      </c>
      <c r="K41" s="18" t="n">
        <v>0.35639471</v>
      </c>
      <c r="L41" s="20" t="n">
        <v>0.25748044</v>
      </c>
      <c r="M41" s="18" t="n">
        <v>0</v>
      </c>
      <c r="N41" s="20" t="n">
        <v>0</v>
      </c>
      <c r="O41" s="18" t="n">
        <v>0</v>
      </c>
      <c r="P41" s="20" t="n">
        <v>0</v>
      </c>
      <c r="Q41" s="18" t="n">
        <v>1.14509559</v>
      </c>
      <c r="R41" s="20" t="n">
        <v>0.33089461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(20692.0/B46*100)</f>
        <v/>
      </c>
      <c r="D46" s="19" t="n">
        <v>2449</v>
      </c>
      <c r="E46" s="18" t="n">
        <v>35.4453806</v>
      </c>
      <c r="F46" s="20" t="n">
        <v>1.3005732</v>
      </c>
      <c r="G46" s="18" t="n">
        <v>56.8706661</v>
      </c>
      <c r="H46" s="20" t="n">
        <v>1.30374949</v>
      </c>
      <c r="I46" s="18" t="n">
        <v>0</v>
      </c>
      <c r="J46" s="20" t="n">
        <v>0</v>
      </c>
      <c r="K46" s="18" t="n">
        <v>0.76700848</v>
      </c>
      <c r="L46" s="20" t="n">
        <v>0.16910576</v>
      </c>
      <c r="M46" s="18" t="n">
        <v>0</v>
      </c>
      <c r="N46" s="20" t="n">
        <v>0</v>
      </c>
      <c r="O46" s="18" t="n">
        <v>0</v>
      </c>
      <c r="P46" s="20" t="n">
        <v>0</v>
      </c>
      <c r="Q46" s="18" t="n">
        <v>6.91694482</v>
      </c>
      <c r="R46" s="20" t="n">
        <v>0.69551886</v>
      </c>
    </row>
    <row r="47" spans="1:18">
      <c r="A47" s="15" t="s">
        <v>470</v>
      </c>
      <c r="B47" s="17" t="n">
        <v>5928</v>
      </c>
      <c r="C47" s="18">
        <f>(5196.0/B47*100)</f>
        <v/>
      </c>
      <c r="D47" s="19" t="n">
        <v>732</v>
      </c>
      <c r="E47" s="18" t="n">
        <v>25.82604254</v>
      </c>
      <c r="F47" s="20" t="n">
        <v>2.10114032</v>
      </c>
      <c r="G47" s="18" t="n">
        <v>66.53714208</v>
      </c>
      <c r="H47" s="20" t="n">
        <v>2.28816512</v>
      </c>
      <c r="I47" s="18" t="n">
        <v>0</v>
      </c>
      <c r="J47" s="20" t="n">
        <v>0</v>
      </c>
      <c r="K47" s="18" t="n">
        <v>0.28193603</v>
      </c>
      <c r="L47" s="20" t="n">
        <v>0.20840413</v>
      </c>
      <c r="M47" s="18" t="n">
        <v>0</v>
      </c>
      <c r="N47" s="20" t="n">
        <v>0</v>
      </c>
      <c r="O47" s="18" t="n">
        <v>0</v>
      </c>
      <c r="P47" s="20" t="n">
        <v>0</v>
      </c>
      <c r="Q47" s="18" t="n">
        <v>7.35487935</v>
      </c>
      <c r="R47" s="20" t="n">
        <v>1.12380744</v>
      </c>
    </row>
    <row r="48" spans="1:18">
      <c r="A48" s="15" t="s">
        <v>471</v>
      </c>
      <c r="B48" s="17" t="n">
        <v>9841</v>
      </c>
      <c r="C48" s="18">
        <f>(8648.0/B48*100)</f>
        <v/>
      </c>
      <c r="D48" s="19" t="n">
        <v>1193</v>
      </c>
      <c r="E48" s="18" t="n">
        <v>15.67404848</v>
      </c>
      <c r="F48" s="20" t="n">
        <v>1.60989795</v>
      </c>
      <c r="G48" s="18" t="n">
        <v>81.74782406</v>
      </c>
      <c r="H48" s="20" t="n">
        <v>1.74286398</v>
      </c>
      <c r="I48" s="18" t="n">
        <v>0</v>
      </c>
      <c r="J48" s="20" t="n">
        <v>0</v>
      </c>
      <c r="K48" s="18" t="n">
        <v>1.10915272</v>
      </c>
      <c r="L48" s="20" t="n">
        <v>0.45632275</v>
      </c>
      <c r="M48" s="18" t="n">
        <v>0</v>
      </c>
      <c r="N48" s="20" t="n">
        <v>0</v>
      </c>
      <c r="O48" s="18" t="n">
        <v>0</v>
      </c>
      <c r="P48" s="20" t="n">
        <v>0</v>
      </c>
      <c r="Q48" s="18" t="n">
        <v>1.46897474</v>
      </c>
      <c r="R48" s="20" t="n">
        <v>0.43909854</v>
      </c>
    </row>
    <row r="49" spans="1:18">
      <c r="A49" s="15" t="s">
        <v>472</v>
      </c>
      <c r="B49" s="17" t="n">
        <v>11795</v>
      </c>
      <c r="C49" s="18">
        <f>(10362.0/B49*100)</f>
        <v/>
      </c>
      <c r="D49" s="19" t="n">
        <v>1433</v>
      </c>
      <c r="E49" s="18" t="n">
        <v>36.752644</v>
      </c>
      <c r="F49" s="20" t="n">
        <v>1.71617367</v>
      </c>
      <c r="G49" s="18" t="n">
        <v>57.26740024</v>
      </c>
      <c r="H49" s="20" t="n">
        <v>1.77612971</v>
      </c>
      <c r="I49" s="18" t="n">
        <v>0</v>
      </c>
      <c r="J49" s="20" t="n">
        <v>0</v>
      </c>
      <c r="K49" s="18" t="n">
        <v>1.33797835</v>
      </c>
      <c r="L49" s="20" t="n">
        <v>0.40652135</v>
      </c>
      <c r="M49" s="18" t="n">
        <v>0</v>
      </c>
      <c r="N49" s="20" t="n">
        <v>0</v>
      </c>
      <c r="O49" s="18" t="n">
        <v>0</v>
      </c>
      <c r="P49" s="20" t="n">
        <v>0</v>
      </c>
      <c r="Q49" s="18" t="n">
        <v>4.64197741</v>
      </c>
      <c r="R49" s="20" t="n">
        <v>0.87096538</v>
      </c>
    </row>
    <row r="50" spans="1:18">
      <c r="A50" s="15" t="s">
        <v>473</v>
      </c>
      <c r="B50" s="17" t="n">
        <v>6866</v>
      </c>
      <c r="C50" s="18">
        <f>(6119.0/B50*100)</f>
        <v/>
      </c>
      <c r="D50" s="19" t="n">
        <v>747</v>
      </c>
      <c r="E50" s="18" t="n">
        <v>24.59246627</v>
      </c>
      <c r="F50" s="20" t="n">
        <v>1.71375846</v>
      </c>
      <c r="G50" s="18" t="n">
        <v>69.97425844999999</v>
      </c>
      <c r="H50" s="20" t="n">
        <v>1.83145761</v>
      </c>
      <c r="I50" s="18" t="n">
        <v>0</v>
      </c>
      <c r="J50" s="20" t="n">
        <v>0</v>
      </c>
      <c r="K50" s="18" t="n">
        <v>0.59679833</v>
      </c>
      <c r="L50" s="20" t="n">
        <v>0.30840206</v>
      </c>
      <c r="M50" s="18" t="n">
        <v>0</v>
      </c>
      <c r="N50" s="20" t="n">
        <v>0</v>
      </c>
      <c r="O50" s="18" t="n">
        <v>0</v>
      </c>
      <c r="P50" s="20" t="n">
        <v>0</v>
      </c>
      <c r="Q50" s="18" t="n">
        <v>4.83647694</v>
      </c>
      <c r="R50" s="20" t="n">
        <v>0.8104256</v>
      </c>
    </row>
    <row r="51" spans="1:18">
      <c r="A51" s="15" t="s">
        <v>474</v>
      </c>
      <c r="B51" s="17" t="n">
        <v>5809</v>
      </c>
      <c r="C51" s="18">
        <f>(5103.0/B51*100)</f>
        <v/>
      </c>
      <c r="D51" s="19" t="n">
        <v>706</v>
      </c>
      <c r="E51" s="18" t="n">
        <v>10.80842967</v>
      </c>
      <c r="F51" s="20" t="n">
        <v>1.41502708</v>
      </c>
      <c r="G51" s="18" t="n">
        <v>85.51378183999999</v>
      </c>
      <c r="H51" s="20" t="n">
        <v>1.35772936</v>
      </c>
      <c r="I51" s="18" t="n">
        <v>0</v>
      </c>
      <c r="J51" s="20" t="n">
        <v>0</v>
      </c>
      <c r="K51" s="18" t="n">
        <v>0.17799156</v>
      </c>
      <c r="L51" s="20" t="n">
        <v>0.17944848</v>
      </c>
      <c r="M51" s="18" t="n">
        <v>0</v>
      </c>
      <c r="N51" s="20" t="n">
        <v>0</v>
      </c>
      <c r="O51" s="18" t="n">
        <v>0</v>
      </c>
      <c r="P51" s="20" t="n">
        <v>0</v>
      </c>
      <c r="Q51" s="18" t="n">
        <v>3.49979692</v>
      </c>
      <c r="R51" s="20" t="n">
        <v>0.6780445899999999</v>
      </c>
    </row>
    <row r="52" spans="1:18">
      <c r="A52" s="15" t="s">
        <v>475</v>
      </c>
      <c r="B52" s="17" t="n">
        <v>5571</v>
      </c>
      <c r="C52" s="18">
        <f>(4908.0/B52*100)</f>
        <v/>
      </c>
      <c r="D52" s="19" t="n">
        <v>663</v>
      </c>
      <c r="E52" s="18" t="n">
        <v>23.82488967</v>
      </c>
      <c r="F52" s="20" t="n">
        <v>1.49761939</v>
      </c>
      <c r="G52" s="18" t="n">
        <v>69.69941572</v>
      </c>
      <c r="H52" s="20" t="n">
        <v>1.73414457</v>
      </c>
      <c r="I52" s="18" t="n">
        <v>0</v>
      </c>
      <c r="J52" s="20" t="n">
        <v>0</v>
      </c>
      <c r="K52" s="18" t="n">
        <v>0.19924528</v>
      </c>
      <c r="L52" s="20" t="n">
        <v>0.1989111</v>
      </c>
      <c r="M52" s="18" t="n">
        <v>0</v>
      </c>
      <c r="N52" s="20" t="n">
        <v>0</v>
      </c>
      <c r="O52" s="18" t="n">
        <v>0</v>
      </c>
      <c r="P52" s="20" t="n">
        <v>0</v>
      </c>
      <c r="Q52" s="18" t="n">
        <v>6.27644933</v>
      </c>
      <c r="R52" s="20" t="n">
        <v>0.91144182</v>
      </c>
    </row>
    <row r="53" spans="1:18">
      <c r="A53" s="15" t="s">
        <v>476</v>
      </c>
      <c r="B53" s="17" t="n">
        <v>4740</v>
      </c>
      <c r="C53" s="18">
        <f>(3971.0/B53*100)</f>
        <v/>
      </c>
      <c r="D53" s="19" t="n">
        <v>769</v>
      </c>
      <c r="E53" s="18" t="n">
        <v>46.39064935</v>
      </c>
      <c r="F53" s="20" t="n">
        <v>1.95952937</v>
      </c>
      <c r="G53" s="18" t="n">
        <v>30.60830827</v>
      </c>
      <c r="H53" s="20" t="n">
        <v>1.70217402</v>
      </c>
      <c r="I53" s="18" t="n">
        <v>0</v>
      </c>
      <c r="J53" s="20" t="n">
        <v>0</v>
      </c>
      <c r="K53" s="18" t="n">
        <v>9.266288790000001</v>
      </c>
      <c r="L53" s="20" t="n">
        <v>1.11756972</v>
      </c>
      <c r="M53" s="18" t="n">
        <v>0</v>
      </c>
      <c r="N53" s="20" t="n">
        <v>0</v>
      </c>
      <c r="O53" s="18" t="n">
        <v>0</v>
      </c>
      <c r="P53" s="20" t="n">
        <v>0</v>
      </c>
      <c r="Q53" s="18" t="n">
        <v>13.73475359</v>
      </c>
      <c r="R53" s="20" t="n">
        <v>1.29389176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(4703.0/B55*100)</f>
        <v/>
      </c>
      <c r="D55" s="19" t="n">
        <v>656</v>
      </c>
      <c r="E55" s="18" t="n">
        <v>8.495543039999999</v>
      </c>
      <c r="F55" s="20" t="n">
        <v>1.09080092</v>
      </c>
      <c r="G55" s="18" t="n">
        <v>90.44289139999999</v>
      </c>
      <c r="H55" s="20" t="n">
        <v>1.16102461</v>
      </c>
      <c r="I55" s="18" t="n">
        <v>0</v>
      </c>
      <c r="J55" s="20" t="n">
        <v>0</v>
      </c>
      <c r="K55" s="18" t="n">
        <v>0.19492515</v>
      </c>
      <c r="L55" s="20" t="n">
        <v>0.16532399</v>
      </c>
      <c r="M55" s="18" t="n">
        <v>0</v>
      </c>
      <c r="N55" s="20" t="n">
        <v>0</v>
      </c>
      <c r="O55" s="18" t="n">
        <v>0</v>
      </c>
      <c r="P55" s="20" t="n">
        <v>0</v>
      </c>
      <c r="Q55" s="18" t="n">
        <v>0.86664041</v>
      </c>
      <c r="R55" s="20" t="n">
        <v>0.26908242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(5734.0/B61*100)</f>
        <v/>
      </c>
      <c r="D61" s="19" t="n">
        <v>791</v>
      </c>
      <c r="E61" s="18" t="n">
        <v>15.76352421</v>
      </c>
      <c r="F61" s="20" t="n">
        <v>1.40639734</v>
      </c>
      <c r="G61" s="18" t="n">
        <v>79.74762598</v>
      </c>
      <c r="H61" s="20" t="n">
        <v>1.66447726</v>
      </c>
      <c r="I61" s="18" t="n">
        <v>0</v>
      </c>
      <c r="J61" s="20" t="n">
        <v>0</v>
      </c>
      <c r="K61" s="18" t="n">
        <v>0</v>
      </c>
      <c r="L61" s="20" t="n">
        <v>0</v>
      </c>
      <c r="M61" s="18" t="n">
        <v>0</v>
      </c>
      <c r="N61" s="20" t="n">
        <v>0</v>
      </c>
      <c r="O61" s="18" t="n">
        <v>0</v>
      </c>
      <c r="P61" s="20" t="n">
        <v>0</v>
      </c>
      <c r="Q61" s="18" t="n">
        <v>4.48884981</v>
      </c>
      <c r="R61" s="20" t="n">
        <v>0.85322444</v>
      </c>
    </row>
    <row r="62" spans="1:18">
      <c r="A62" s="15" t="s">
        <v>486</v>
      </c>
      <c r="B62" s="17" t="n">
        <v>4476</v>
      </c>
      <c r="C62" s="18">
        <f>(3919.0/B62*100)</f>
        <v/>
      </c>
      <c r="D62" s="19" t="n">
        <v>557</v>
      </c>
      <c r="E62" s="18" t="n">
        <v>6.10889855</v>
      </c>
      <c r="F62" s="20" t="n">
        <v>1.04178399</v>
      </c>
      <c r="G62" s="18" t="n">
        <v>93.53466145</v>
      </c>
      <c r="H62" s="20" t="n">
        <v>1.09392292</v>
      </c>
      <c r="I62" s="18" t="n">
        <v>0</v>
      </c>
      <c r="J62" s="20" t="n">
        <v>0</v>
      </c>
      <c r="K62" s="18" t="n">
        <v>0</v>
      </c>
      <c r="L62" s="20" t="n">
        <v>0</v>
      </c>
      <c r="M62" s="18" t="n">
        <v>0</v>
      </c>
      <c r="N62" s="20" t="n">
        <v>0</v>
      </c>
      <c r="O62" s="18" t="n">
        <v>0</v>
      </c>
      <c r="P62" s="20" t="n">
        <v>0</v>
      </c>
      <c r="Q62" s="18" t="n">
        <v>0.35644</v>
      </c>
      <c r="R62" s="20" t="n">
        <v>0.25024834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(4974.0/B67*100)</f>
        <v/>
      </c>
      <c r="D67" s="19" t="n">
        <v>691</v>
      </c>
      <c r="E67" s="18" t="n">
        <v>26.7678599</v>
      </c>
      <c r="F67" s="20" t="n">
        <v>1.70190988</v>
      </c>
      <c r="G67" s="18" t="n">
        <v>61.41142045</v>
      </c>
      <c r="H67" s="20" t="n">
        <v>2.03920778</v>
      </c>
      <c r="I67" s="18" t="n">
        <v>0</v>
      </c>
      <c r="J67" s="20" t="n">
        <v>0</v>
      </c>
      <c r="K67" s="18" t="n">
        <v>1.40048831</v>
      </c>
      <c r="L67" s="20" t="n">
        <v>0.54079417</v>
      </c>
      <c r="M67" s="18" t="n">
        <v>0</v>
      </c>
      <c r="N67" s="20" t="n">
        <v>0</v>
      </c>
      <c r="O67" s="18" t="n">
        <v>0</v>
      </c>
      <c r="P67" s="20" t="n">
        <v>0</v>
      </c>
      <c r="Q67" s="18" t="n">
        <v>10.42023135</v>
      </c>
      <c r="R67" s="20" t="n">
        <v>1.25270131</v>
      </c>
    </row>
    <row r="68" spans="1:18">
      <c r="A68" s="15" t="s">
        <v>492</v>
      </c>
      <c r="B68" s="17" t="n">
        <v>6971</v>
      </c>
      <c r="C68" s="18">
        <f>(6188.0/B68*100)</f>
        <v/>
      </c>
      <c r="D68" s="19" t="n">
        <v>783</v>
      </c>
      <c r="E68" s="18" t="n">
        <v>32.27587109</v>
      </c>
      <c r="F68" s="20" t="n">
        <v>1.90337886</v>
      </c>
      <c r="G68" s="18" t="n">
        <v>61.9309838</v>
      </c>
      <c r="H68" s="20" t="n">
        <v>2.01158963</v>
      </c>
      <c r="I68" s="18" t="n">
        <v>0</v>
      </c>
      <c r="J68" s="20" t="n">
        <v>0</v>
      </c>
      <c r="K68" s="18" t="n">
        <v>0.13195017</v>
      </c>
      <c r="L68" s="20" t="n">
        <v>0.13185306</v>
      </c>
      <c r="M68" s="18" t="n">
        <v>0</v>
      </c>
      <c r="N68" s="20" t="n">
        <v>0</v>
      </c>
      <c r="O68" s="18" t="n">
        <v>0</v>
      </c>
      <c r="P68" s="20" t="n">
        <v>0</v>
      </c>
      <c r="Q68" s="18" t="n">
        <v>5.66119494</v>
      </c>
      <c r="R68" s="20" t="n">
        <v>0.9142363100000001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(10079.0/B70*100)</f>
        <v/>
      </c>
      <c r="D70" s="19" t="n">
        <v>2004</v>
      </c>
      <c r="E70" s="18" t="n">
        <v>36.43522161</v>
      </c>
      <c r="F70" s="20" t="n">
        <v>0.9452659</v>
      </c>
      <c r="G70" s="18" t="n">
        <v>55.98578041</v>
      </c>
      <c r="H70" s="20" t="n">
        <v>1.00466027</v>
      </c>
      <c r="I70" s="18" t="n">
        <v>0</v>
      </c>
      <c r="J70" s="20" t="n">
        <v>0</v>
      </c>
      <c r="K70" s="18" t="n">
        <v>1.55613692</v>
      </c>
      <c r="L70" s="20" t="n">
        <v>0.26538416</v>
      </c>
      <c r="M70" s="18" t="n">
        <v>0</v>
      </c>
      <c r="N70" s="20" t="n">
        <v>0</v>
      </c>
      <c r="O70" s="18" t="n">
        <v>0</v>
      </c>
      <c r="P70" s="20" t="n">
        <v>0</v>
      </c>
      <c r="Q70" s="18" t="n">
        <v>6.02286106</v>
      </c>
      <c r="R70" s="20" t="n">
        <v>0.52465504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(5315.0/B72*100)</f>
        <v/>
      </c>
      <c r="D72" s="19" t="n">
        <v>721</v>
      </c>
      <c r="E72" s="18" t="n">
        <v>12.70818533</v>
      </c>
      <c r="F72" s="20" t="n">
        <v>1.26707244</v>
      </c>
      <c r="G72" s="18" t="n">
        <v>85.89691396000001</v>
      </c>
      <c r="H72" s="20" t="n">
        <v>1.38631752</v>
      </c>
      <c r="I72" s="18" t="n">
        <v>0</v>
      </c>
      <c r="J72" s="20" t="n">
        <v>0</v>
      </c>
      <c r="K72" s="18" t="n">
        <v>0.10884603</v>
      </c>
      <c r="L72" s="20" t="n">
        <v>0.10903764</v>
      </c>
      <c r="M72" s="18" t="n">
        <v>0</v>
      </c>
      <c r="N72" s="20" t="n">
        <v>0</v>
      </c>
      <c r="O72" s="18" t="n">
        <v>0</v>
      </c>
      <c r="P72" s="20" t="n">
        <v>0</v>
      </c>
      <c r="Q72" s="18" t="n">
        <v>1.28605467</v>
      </c>
      <c r="R72" s="20" t="n">
        <v>0.40159187</v>
      </c>
    </row>
    <row r="73" spans="1:18">
      <c r="A73" s="15" t="s">
        <v>497</v>
      </c>
      <c r="B73" s="17" t="n">
        <v>6115</v>
      </c>
      <c r="C73" s="18">
        <f>(5360.0/B73*100)</f>
        <v/>
      </c>
      <c r="D73" s="19" t="n">
        <v>755</v>
      </c>
      <c r="E73" s="18" t="n">
        <v>7.26289147</v>
      </c>
      <c r="F73" s="20" t="n">
        <v>0.8770239399999999</v>
      </c>
      <c r="G73" s="18" t="n">
        <v>91.66495048</v>
      </c>
      <c r="H73" s="20" t="n">
        <v>0.92071104</v>
      </c>
      <c r="I73" s="18" t="n">
        <v>0</v>
      </c>
      <c r="J73" s="20" t="n">
        <v>0</v>
      </c>
      <c r="K73" s="18" t="n">
        <v>0.2599022</v>
      </c>
      <c r="L73" s="20" t="n">
        <v>0.18377557</v>
      </c>
      <c r="M73" s="18" t="n">
        <v>0</v>
      </c>
      <c r="N73" s="20" t="n">
        <v>0</v>
      </c>
      <c r="O73" s="18" t="n">
        <v>0</v>
      </c>
      <c r="P73" s="20" t="n">
        <v>0</v>
      </c>
      <c r="Q73" s="18" t="n">
        <v>0.81225585</v>
      </c>
      <c r="R73" s="20" t="n">
        <v>0.31991931</v>
      </c>
    </row>
    <row r="74" spans="1:18">
      <c r="A74" s="15" t="s">
        <v>498</v>
      </c>
      <c r="B74" s="17" t="n">
        <v>7708</v>
      </c>
      <c r="C74" s="18">
        <f>(6759.0/B74*100)</f>
        <v/>
      </c>
      <c r="D74" s="19" t="n">
        <v>949</v>
      </c>
      <c r="E74" s="18" t="n">
        <v>11.81831635</v>
      </c>
      <c r="F74" s="20" t="n">
        <v>1.06340238</v>
      </c>
      <c r="G74" s="18" t="n">
        <v>87.44398535000001</v>
      </c>
      <c r="H74" s="20" t="n">
        <v>1.04322916</v>
      </c>
      <c r="I74" s="18" t="n">
        <v>0</v>
      </c>
      <c r="J74" s="20" t="n">
        <v>0</v>
      </c>
      <c r="K74" s="18" t="n">
        <v>0.13876457</v>
      </c>
      <c r="L74" s="20" t="n">
        <v>0.09220839</v>
      </c>
      <c r="M74" s="18" t="n">
        <v>0</v>
      </c>
      <c r="N74" s="20" t="n">
        <v>0</v>
      </c>
      <c r="O74" s="18" t="n">
        <v>0</v>
      </c>
      <c r="P74" s="20" t="n">
        <v>0</v>
      </c>
      <c r="Q74" s="18" t="n">
        <v>0.5989337300000001</v>
      </c>
      <c r="R74" s="20" t="n">
        <v>0.24567046</v>
      </c>
    </row>
    <row r="75" spans="1:18">
      <c r="A75" s="15" t="s">
        <v>499</v>
      </c>
      <c r="B75" s="17" t="n">
        <v>8249</v>
      </c>
      <c r="C75" s="18">
        <f>(7272.0/B75*100)</f>
        <v/>
      </c>
      <c r="D75" s="19" t="n">
        <v>977</v>
      </c>
      <c r="E75" s="18" t="n">
        <v>25.59094944</v>
      </c>
      <c r="F75" s="20" t="n">
        <v>1.52721535</v>
      </c>
      <c r="G75" s="18" t="n">
        <v>73.39868448</v>
      </c>
      <c r="H75" s="20" t="n">
        <v>1.54963921</v>
      </c>
      <c r="I75" s="18" t="n">
        <v>0</v>
      </c>
      <c r="J75" s="20" t="n">
        <v>0</v>
      </c>
      <c r="K75" s="18" t="n">
        <v>0.21013754</v>
      </c>
      <c r="L75" s="20" t="n">
        <v>0.21001809</v>
      </c>
      <c r="M75" s="18" t="n">
        <v>0</v>
      </c>
      <c r="N75" s="20" t="n">
        <v>0</v>
      </c>
      <c r="O75" s="18" t="n">
        <v>0</v>
      </c>
      <c r="P75" s="20" t="n">
        <v>0</v>
      </c>
      <c r="Q75" s="18" t="n">
        <v>0.80022854</v>
      </c>
      <c r="R75" s="20" t="n">
        <v>0.3082386</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(4769.0/B77*100)</f>
        <v/>
      </c>
      <c r="D77" s="19" t="n">
        <v>606</v>
      </c>
      <c r="E77" s="18" t="n">
        <v>37.35055014</v>
      </c>
      <c r="F77" s="20" t="n">
        <v>2.03904418</v>
      </c>
      <c r="G77" s="18" t="n">
        <v>48.85424705</v>
      </c>
      <c r="H77" s="20" t="n">
        <v>2.19907429</v>
      </c>
      <c r="I77" s="18" t="n">
        <v>0</v>
      </c>
      <c r="J77" s="20" t="n">
        <v>0</v>
      </c>
      <c r="K77" s="18" t="n">
        <v>2.79568354</v>
      </c>
      <c r="L77" s="20" t="n">
        <v>0.77173836</v>
      </c>
      <c r="M77" s="18" t="n">
        <v>0</v>
      </c>
      <c r="N77" s="20" t="n">
        <v>0</v>
      </c>
      <c r="O77" s="18" t="n">
        <v>0</v>
      </c>
      <c r="P77" s="20" t="n">
        <v>0</v>
      </c>
      <c r="Q77" s="18" t="n">
        <v>10.99951926</v>
      </c>
      <c r="R77" s="20" t="n">
        <v>1.24751741</v>
      </c>
    </row>
    <row r="78" spans="1:18">
      <c r="A78" s="15" t="s">
        <v>502</v>
      </c>
      <c r="B78" s="17" t="n">
        <v>14167</v>
      </c>
      <c r="C78" s="18">
        <f>(12409.0/B78*100)</f>
        <v/>
      </c>
      <c r="D78" s="19" t="n">
        <v>1758</v>
      </c>
      <c r="E78" s="18" t="n">
        <v>34.73829542</v>
      </c>
      <c r="F78" s="20" t="n">
        <v>1.42895274</v>
      </c>
      <c r="G78" s="18" t="n">
        <v>62.28081633</v>
      </c>
      <c r="H78" s="20" t="n">
        <v>1.36157369</v>
      </c>
      <c r="I78" s="18" t="n">
        <v>0</v>
      </c>
      <c r="J78" s="20" t="n">
        <v>0</v>
      </c>
      <c r="K78" s="18" t="n">
        <v>0.71689734</v>
      </c>
      <c r="L78" s="20" t="n">
        <v>0.21126533</v>
      </c>
      <c r="M78" s="18" t="n">
        <v>0</v>
      </c>
      <c r="N78" s="20" t="n">
        <v>0</v>
      </c>
      <c r="O78" s="18" t="n">
        <v>0</v>
      </c>
      <c r="P78" s="20" t="n">
        <v>0</v>
      </c>
      <c r="Q78" s="18" t="n">
        <v>2.26399092</v>
      </c>
      <c r="R78" s="20" t="n">
        <v>0.39955366</v>
      </c>
    </row>
    <row r="79" spans="1:18">
      <c r="A79" s="15" t="s">
        <v>503</v>
      </c>
      <c r="B79" s="17" t="n">
        <v>6062</v>
      </c>
      <c r="C79" s="18">
        <f>(5340.0/B79*100)</f>
        <v/>
      </c>
      <c r="D79" s="19" t="n">
        <v>722</v>
      </c>
      <c r="E79" s="18" t="n">
        <v>27.79127651</v>
      </c>
      <c r="F79" s="20" t="n">
        <v>2.0154349</v>
      </c>
      <c r="G79" s="18" t="n">
        <v>58.11863687</v>
      </c>
      <c r="H79" s="20" t="n">
        <v>2.08961156</v>
      </c>
      <c r="I79" s="18" t="n">
        <v>0</v>
      </c>
      <c r="J79" s="20" t="n">
        <v>0</v>
      </c>
      <c r="K79" s="18" t="n">
        <v>0.83512651</v>
      </c>
      <c r="L79" s="20" t="n">
        <v>0.38904054</v>
      </c>
      <c r="M79" s="18" t="n">
        <v>0</v>
      </c>
      <c r="N79" s="20" t="n">
        <v>0</v>
      </c>
      <c r="O79" s="18" t="n">
        <v>0</v>
      </c>
      <c r="P79" s="20" t="n">
        <v>0</v>
      </c>
      <c r="Q79" s="18" t="n">
        <v>13.25496012</v>
      </c>
      <c r="R79" s="20" t="n">
        <v>1.38648509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(28394.0/B82*100)</f>
        <v/>
      </c>
      <c r="D82" s="19" t="n">
        <v>3936</v>
      </c>
      <c r="E82" s="18" t="n">
        <v>10.50701878</v>
      </c>
      <c r="F82" s="20" t="n">
        <v>0.65001593</v>
      </c>
      <c r="G82" s="18" t="n">
        <v>85.49468901</v>
      </c>
      <c r="H82" s="20" t="n">
        <v>0.81487585</v>
      </c>
      <c r="I82" s="18" t="n">
        <v>0</v>
      </c>
      <c r="J82" s="20" t="n">
        <v>0</v>
      </c>
      <c r="K82" s="18" t="n">
        <v>0.10473467</v>
      </c>
      <c r="L82" s="20" t="n">
        <v>0.05992882</v>
      </c>
      <c r="M82" s="18" t="n">
        <v>0</v>
      </c>
      <c r="N82" s="20" t="n">
        <v>0</v>
      </c>
      <c r="O82" s="18" t="n">
        <v>0</v>
      </c>
      <c r="P82" s="20" t="n">
        <v>0</v>
      </c>
      <c r="Q82" s="18" t="n">
        <v>3.89355754</v>
      </c>
      <c r="R82" s="20" t="n">
        <v>0.51730239</v>
      </c>
    </row>
    <row r="83" spans="1:18">
      <c r="A83" s="15" t="s">
        <v>507</v>
      </c>
      <c r="B83" s="17" t="n">
        <v>1652</v>
      </c>
      <c r="C83" s="18">
        <f>(1463.0/B83*100)</f>
        <v/>
      </c>
      <c r="D83" s="19" t="n">
        <v>189</v>
      </c>
      <c r="E83" s="18" t="n">
        <v>10.91879189</v>
      </c>
      <c r="F83" s="20" t="n">
        <v>2.40387732</v>
      </c>
      <c r="G83" s="18" t="n">
        <v>87.92456024000001</v>
      </c>
      <c r="H83" s="20" t="n">
        <v>2.46203152</v>
      </c>
      <c r="I83" s="18" t="n">
        <v>0</v>
      </c>
      <c r="J83" s="20" t="n">
        <v>0</v>
      </c>
      <c r="K83" s="18" t="n">
        <v>0.55311672</v>
      </c>
      <c r="L83" s="20" t="n">
        <v>0.5016751</v>
      </c>
      <c r="M83" s="18" t="n">
        <v>0</v>
      </c>
      <c r="N83" s="20" t="n">
        <v>0</v>
      </c>
      <c r="O83" s="18" t="n">
        <v>0</v>
      </c>
      <c r="P83" s="20" t="n">
        <v>0</v>
      </c>
      <c r="Q83" s="18" t="n">
        <v>0.60353116</v>
      </c>
      <c r="R83" s="20" t="n">
        <v>0.63221153</v>
      </c>
    </row>
    <row r="84" spans="1:18">
      <c r="A84" s="23" t="s">
        <v>508</v>
      </c>
      <c r="B84" s="24" t="n">
        <v>1887</v>
      </c>
      <c r="C84" s="25">
        <f>(1662.0/B84*100)</f>
        <v/>
      </c>
      <c r="D84" s="19" t="n">
        <v>225</v>
      </c>
      <c r="E84" s="18" t="n">
        <v>13.76808422</v>
      </c>
      <c r="F84" s="20" t="n">
        <v>2.72341237</v>
      </c>
      <c r="G84" s="18" t="n">
        <v>84.87703067</v>
      </c>
      <c r="H84" s="20" t="n">
        <v>2.89777652</v>
      </c>
      <c r="I84" s="18" t="n">
        <v>0</v>
      </c>
      <c r="J84" s="20" t="n">
        <v>0</v>
      </c>
      <c r="K84" s="18" t="n">
        <v>0</v>
      </c>
      <c r="L84" s="20" t="n">
        <v>0</v>
      </c>
      <c r="M84" s="18" t="n">
        <v>0</v>
      </c>
      <c r="N84" s="20" t="n">
        <v>0</v>
      </c>
      <c r="O84" s="18" t="n">
        <v>0</v>
      </c>
      <c r="P84" s="20" t="n">
        <v>0</v>
      </c>
      <c r="Q84" s="18" t="n">
        <v>1.35488511</v>
      </c>
      <c r="R84" s="20" t="n">
        <v>0.78184149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(12779.0/B7*100)</f>
        <v/>
      </c>
      <c r="D7" s="19" t="n">
        <v>1751</v>
      </c>
      <c r="E7" s="18" t="n">
        <v>7.64016592</v>
      </c>
      <c r="F7" s="20" t="n">
        <v>0.70618265</v>
      </c>
      <c r="G7" s="18" t="n">
        <v>91.9339092</v>
      </c>
      <c r="H7" s="20" t="n">
        <v>0.70065042</v>
      </c>
      <c r="I7" s="18" t="n">
        <v>0</v>
      </c>
      <c r="J7" s="20" t="n">
        <v>0</v>
      </c>
      <c r="K7" s="18" t="n">
        <v>0.36644971</v>
      </c>
      <c r="L7" s="20" t="n">
        <v>0.16108172</v>
      </c>
      <c r="M7" s="18" t="n">
        <v>0</v>
      </c>
      <c r="N7" s="20" t="n">
        <v>0</v>
      </c>
      <c r="O7" s="18" t="n">
        <v>0</v>
      </c>
      <c r="P7" s="20" t="n">
        <v>0</v>
      </c>
      <c r="Q7" s="18" t="n">
        <v>0.05947517</v>
      </c>
      <c r="R7" s="20" t="n">
        <v>0.02831593</v>
      </c>
    </row>
    <row r="8" spans="1:18">
      <c r="A8" s="15" t="s">
        <v>430</v>
      </c>
      <c r="B8" s="17" t="n">
        <v>7007</v>
      </c>
      <c r="C8" s="18">
        <f>(6102.0/B8*100)</f>
        <v/>
      </c>
      <c r="D8" s="19" t="n">
        <v>905</v>
      </c>
      <c r="E8" s="18" t="n">
        <v>8.245328689999999</v>
      </c>
      <c r="F8" s="20" t="n">
        <v>1.30206537</v>
      </c>
      <c r="G8" s="18" t="n">
        <v>91.75467131000001</v>
      </c>
      <c r="H8" s="20" t="n">
        <v>1.30206537</v>
      </c>
      <c r="I8" s="18" t="n">
        <v>0</v>
      </c>
      <c r="J8" s="20" t="n">
        <v>0</v>
      </c>
      <c r="K8" s="18" t="n">
        <v>0</v>
      </c>
      <c r="L8" s="20" t="n">
        <v>0</v>
      </c>
      <c r="M8" s="18" t="n">
        <v>0</v>
      </c>
      <c r="N8" s="20" t="n">
        <v>0</v>
      </c>
      <c r="O8" s="18" t="n">
        <v>0</v>
      </c>
      <c r="P8" s="20" t="n">
        <v>0</v>
      </c>
      <c r="Q8" s="18" t="n">
        <v>0</v>
      </c>
      <c r="R8" s="20" t="n">
        <v>0</v>
      </c>
    </row>
    <row r="9" spans="1:18">
      <c r="A9" s="15" t="s">
        <v>431</v>
      </c>
      <c r="B9" s="17" t="n">
        <v>9651</v>
      </c>
      <c r="C9" s="18">
        <f>(8507.0/B9*100)</f>
        <v/>
      </c>
      <c r="D9" s="19" t="n">
        <v>1144</v>
      </c>
      <c r="E9" s="18" t="n">
        <v>5.13519795</v>
      </c>
      <c r="F9" s="20" t="n">
        <v>0.62786971</v>
      </c>
      <c r="G9" s="18" t="n">
        <v>94.73636186</v>
      </c>
      <c r="H9" s="20" t="n">
        <v>0.6286504000000001</v>
      </c>
      <c r="I9" s="18" t="n">
        <v>0</v>
      </c>
      <c r="J9" s="20" t="n">
        <v>0</v>
      </c>
      <c r="K9" s="18" t="n">
        <v>0</v>
      </c>
      <c r="L9" s="20" t="n">
        <v>0</v>
      </c>
      <c r="M9" s="18" t="n">
        <v>0</v>
      </c>
      <c r="N9" s="20" t="n">
        <v>0</v>
      </c>
      <c r="O9" s="18" t="n">
        <v>0</v>
      </c>
      <c r="P9" s="20" t="n">
        <v>0</v>
      </c>
      <c r="Q9" s="18" t="n">
        <v>0.12844019</v>
      </c>
      <c r="R9" s="20" t="n">
        <v>0.08794739</v>
      </c>
    </row>
    <row r="10" spans="1:18">
      <c r="A10" s="15" t="s">
        <v>432</v>
      </c>
      <c r="B10" s="17" t="n">
        <v>20058</v>
      </c>
      <c r="C10" s="18">
        <f>(17581.0/B10*100)</f>
        <v/>
      </c>
      <c r="D10" s="19" t="n">
        <v>2477</v>
      </c>
      <c r="E10" s="18" t="n">
        <v>4.3987341</v>
      </c>
      <c r="F10" s="20" t="n">
        <v>0.62571161</v>
      </c>
      <c r="G10" s="18" t="n">
        <v>95.31973212</v>
      </c>
      <c r="H10" s="20" t="n">
        <v>0.61305934</v>
      </c>
      <c r="I10" s="18" t="n">
        <v>0</v>
      </c>
      <c r="J10" s="20" t="n">
        <v>0</v>
      </c>
      <c r="K10" s="18" t="n">
        <v>0.26266409</v>
      </c>
      <c r="L10" s="20" t="n">
        <v>0.16050638</v>
      </c>
      <c r="M10" s="18" t="n">
        <v>0</v>
      </c>
      <c r="N10" s="20" t="n">
        <v>0</v>
      </c>
      <c r="O10" s="18" t="n">
        <v>0</v>
      </c>
      <c r="P10" s="20" t="n">
        <v>0</v>
      </c>
      <c r="Q10" s="18" t="n">
        <v>0.01886969</v>
      </c>
      <c r="R10" s="20" t="n">
        <v>0.01385839</v>
      </c>
    </row>
    <row r="11" spans="1:18">
      <c r="A11" s="15" t="s">
        <v>433</v>
      </c>
      <c r="B11" s="17" t="n">
        <v>7053</v>
      </c>
      <c r="C11" s="18">
        <f>(6210.0/B11*100)</f>
        <v/>
      </c>
      <c r="D11" s="19" t="n">
        <v>843</v>
      </c>
      <c r="E11" s="18" t="n">
        <v>16.87145794</v>
      </c>
      <c r="F11" s="20" t="n">
        <v>1.66888115</v>
      </c>
      <c r="G11" s="18" t="n">
        <v>82.63218625</v>
      </c>
      <c r="H11" s="20" t="n">
        <v>1.66068385</v>
      </c>
      <c r="I11" s="18" t="n">
        <v>0</v>
      </c>
      <c r="J11" s="20" t="n">
        <v>0</v>
      </c>
      <c r="K11" s="18" t="n">
        <v>0.35382144</v>
      </c>
      <c r="L11" s="20" t="n">
        <v>0.23446642</v>
      </c>
      <c r="M11" s="18" t="n">
        <v>0</v>
      </c>
      <c r="N11" s="20" t="n">
        <v>0</v>
      </c>
      <c r="O11" s="18" t="n">
        <v>0</v>
      </c>
      <c r="P11" s="20" t="n">
        <v>0</v>
      </c>
      <c r="Q11" s="18" t="n">
        <v>0.14253436</v>
      </c>
      <c r="R11" s="20" t="n">
        <v>0.14313067</v>
      </c>
    </row>
    <row r="12" spans="1:18">
      <c r="A12" s="15" t="s">
        <v>434</v>
      </c>
      <c r="B12" s="17" t="n">
        <v>6894</v>
      </c>
      <c r="C12" s="18">
        <f>(6069.0/B12*100)</f>
        <v/>
      </c>
      <c r="D12" s="19" t="n">
        <v>825</v>
      </c>
      <c r="E12" s="18" t="n">
        <v>6.5385631</v>
      </c>
      <c r="F12" s="20" t="n">
        <v>1.16890292</v>
      </c>
      <c r="G12" s="18" t="n">
        <v>93.39291142</v>
      </c>
      <c r="H12" s="20" t="n">
        <v>1.16780852</v>
      </c>
      <c r="I12" s="18" t="n">
        <v>0</v>
      </c>
      <c r="J12" s="20" t="n">
        <v>0</v>
      </c>
      <c r="K12" s="18" t="n">
        <v>0</v>
      </c>
      <c r="L12" s="20" t="n">
        <v>0</v>
      </c>
      <c r="M12" s="18" t="n">
        <v>0</v>
      </c>
      <c r="N12" s="20" t="n">
        <v>0</v>
      </c>
      <c r="O12" s="18" t="n">
        <v>0</v>
      </c>
      <c r="P12" s="20" t="n">
        <v>0</v>
      </c>
      <c r="Q12" s="18" t="n">
        <v>0.06852548999999999</v>
      </c>
      <c r="R12" s="20" t="n">
        <v>0.0733432</v>
      </c>
    </row>
    <row r="13" spans="1:18">
      <c r="A13" s="15" t="s">
        <v>435</v>
      </c>
      <c r="B13" s="17" t="n">
        <v>7161</v>
      </c>
      <c r="C13" s="18">
        <f>(6322.0/B13*100)</f>
        <v/>
      </c>
      <c r="D13" s="19" t="n">
        <v>839</v>
      </c>
      <c r="E13" s="18" t="n">
        <v>2.75311043</v>
      </c>
      <c r="F13" s="20" t="n">
        <v>0.5180981099999999</v>
      </c>
      <c r="G13" s="18" t="n">
        <v>96.27773141</v>
      </c>
      <c r="H13" s="20" t="n">
        <v>0.6666265</v>
      </c>
      <c r="I13" s="18" t="n">
        <v>0</v>
      </c>
      <c r="J13" s="20" t="n">
        <v>0</v>
      </c>
      <c r="K13" s="18" t="n">
        <v>0.87017232</v>
      </c>
      <c r="L13" s="20" t="n">
        <v>0.46646621</v>
      </c>
      <c r="M13" s="18" t="n">
        <v>0</v>
      </c>
      <c r="N13" s="20" t="n">
        <v>0</v>
      </c>
      <c r="O13" s="18" t="n">
        <v>0</v>
      </c>
      <c r="P13" s="20" t="n">
        <v>0</v>
      </c>
      <c r="Q13" s="18" t="n">
        <v>0.09898584000000001</v>
      </c>
      <c r="R13" s="20" t="n">
        <v>0.09929151999999999</v>
      </c>
    </row>
    <row r="14" spans="1:18">
      <c r="A14" s="15" t="s">
        <v>436</v>
      </c>
      <c r="B14" s="17" t="n">
        <v>5587</v>
      </c>
      <c r="C14" s="18">
        <f>(4901.0/B14*100)</f>
        <v/>
      </c>
      <c r="D14" s="19" t="n">
        <v>686</v>
      </c>
      <c r="E14" s="18" t="n">
        <v>3.32771625</v>
      </c>
      <c r="F14" s="20" t="n">
        <v>0.73565576</v>
      </c>
      <c r="G14" s="18" t="n">
        <v>96.67228375000001</v>
      </c>
      <c r="H14" s="20" t="n">
        <v>0.73565576</v>
      </c>
      <c r="I14" s="18" t="n">
        <v>0</v>
      </c>
      <c r="J14" s="20" t="n">
        <v>0</v>
      </c>
      <c r="K14" s="18" t="n">
        <v>0</v>
      </c>
      <c r="L14" s="20" t="n">
        <v>0</v>
      </c>
      <c r="M14" s="18" t="n">
        <v>0</v>
      </c>
      <c r="N14" s="20" t="n">
        <v>0</v>
      </c>
      <c r="O14" s="18" t="n">
        <v>0</v>
      </c>
      <c r="P14" s="20" t="n">
        <v>0</v>
      </c>
      <c r="Q14" s="18" t="n">
        <v>0</v>
      </c>
      <c r="R14" s="20" t="n">
        <v>0</v>
      </c>
    </row>
    <row r="15" spans="1:18">
      <c r="A15" s="15" t="s">
        <v>437</v>
      </c>
      <c r="B15" s="17" t="n">
        <v>5882</v>
      </c>
      <c r="C15" s="18">
        <f>(5174.0/B15*100)</f>
        <v/>
      </c>
      <c r="D15" s="19" t="n">
        <v>708</v>
      </c>
      <c r="E15" s="18" t="n">
        <v>5.74972778</v>
      </c>
      <c r="F15" s="20" t="n">
        <v>0.9921099799999999</v>
      </c>
      <c r="G15" s="18" t="n">
        <v>93.99280352</v>
      </c>
      <c r="H15" s="20" t="n">
        <v>0.9951368900000001</v>
      </c>
      <c r="I15" s="18" t="n">
        <v>0</v>
      </c>
      <c r="J15" s="20" t="n">
        <v>0</v>
      </c>
      <c r="K15" s="18" t="n">
        <v>0.2574687</v>
      </c>
      <c r="L15" s="20" t="n">
        <v>0.18338209</v>
      </c>
      <c r="M15" s="18" t="n">
        <v>0</v>
      </c>
      <c r="N15" s="20" t="n">
        <v>0</v>
      </c>
      <c r="O15" s="18" t="n">
        <v>0</v>
      </c>
      <c r="P15" s="20" t="n">
        <v>0</v>
      </c>
      <c r="Q15" s="18" t="n">
        <v>0</v>
      </c>
      <c r="R15" s="20" t="n">
        <v>0</v>
      </c>
    </row>
    <row r="16" spans="1:18">
      <c r="A16" s="15" t="s">
        <v>438</v>
      </c>
      <c r="B16" s="17" t="n">
        <v>6108</v>
      </c>
      <c r="C16" s="18">
        <f>(5381.0/B16*100)</f>
        <v/>
      </c>
      <c r="D16" s="19" t="n">
        <v>727</v>
      </c>
      <c r="E16" s="18" t="n">
        <v>8.68012783</v>
      </c>
      <c r="F16" s="20" t="n">
        <v>1.03286516</v>
      </c>
      <c r="G16" s="18" t="n">
        <v>90.30983396000001</v>
      </c>
      <c r="H16" s="20" t="n">
        <v>1.15447479</v>
      </c>
      <c r="I16" s="18" t="n">
        <v>0</v>
      </c>
      <c r="J16" s="20" t="n">
        <v>0</v>
      </c>
      <c r="K16" s="18" t="n">
        <v>0.77248625</v>
      </c>
      <c r="L16" s="20" t="n">
        <v>0.37604954</v>
      </c>
      <c r="M16" s="18" t="n">
        <v>0</v>
      </c>
      <c r="N16" s="20" t="n">
        <v>0</v>
      </c>
      <c r="O16" s="18" t="n">
        <v>0</v>
      </c>
      <c r="P16" s="20" t="n">
        <v>0</v>
      </c>
      <c r="Q16" s="18" t="n">
        <v>0.23755197</v>
      </c>
      <c r="R16" s="20" t="n">
        <v>0.16659371</v>
      </c>
    </row>
    <row r="17" spans="1:18">
      <c r="A17" s="15" t="s">
        <v>439</v>
      </c>
      <c r="B17" s="17" t="n">
        <v>6504</v>
      </c>
      <c r="C17" s="18">
        <f>(5739.0/B17*100)</f>
        <v/>
      </c>
      <c r="D17" s="19" t="n">
        <v>765</v>
      </c>
      <c r="E17" s="18" t="n">
        <v>5.18567706</v>
      </c>
      <c r="F17" s="20" t="n">
        <v>0.8406686799999999</v>
      </c>
      <c r="G17" s="18" t="n">
        <v>94.56446545999999</v>
      </c>
      <c r="H17" s="20" t="n">
        <v>0.83976485</v>
      </c>
      <c r="I17" s="18" t="n">
        <v>0</v>
      </c>
      <c r="J17" s="20" t="n">
        <v>0</v>
      </c>
      <c r="K17" s="18" t="n">
        <v>0.15507872</v>
      </c>
      <c r="L17" s="20" t="n">
        <v>0.15516998</v>
      </c>
      <c r="M17" s="18" t="n">
        <v>0</v>
      </c>
      <c r="N17" s="20" t="n">
        <v>0</v>
      </c>
      <c r="O17" s="18" t="n">
        <v>0</v>
      </c>
      <c r="P17" s="20" t="n">
        <v>0</v>
      </c>
      <c r="Q17" s="18" t="n">
        <v>0.09477877</v>
      </c>
      <c r="R17" s="20" t="n">
        <v>0.09883394</v>
      </c>
    </row>
    <row r="18" spans="1:18">
      <c r="A18" s="15" t="s">
        <v>440</v>
      </c>
      <c r="B18" s="17" t="n">
        <v>5532</v>
      </c>
      <c r="C18" s="18">
        <f>(4854.0/B18*100)</f>
        <v/>
      </c>
      <c r="D18" s="19" t="n">
        <v>678</v>
      </c>
      <c r="E18" s="18" t="n">
        <v>11.30229898</v>
      </c>
      <c r="F18" s="20" t="n">
        <v>1.36874446</v>
      </c>
      <c r="G18" s="18" t="n">
        <v>87.83638899</v>
      </c>
      <c r="H18" s="20" t="n">
        <v>1.38685848</v>
      </c>
      <c r="I18" s="18" t="n">
        <v>0</v>
      </c>
      <c r="J18" s="20" t="n">
        <v>0</v>
      </c>
      <c r="K18" s="18" t="n">
        <v>0.49548373</v>
      </c>
      <c r="L18" s="20" t="n">
        <v>0.31544305</v>
      </c>
      <c r="M18" s="18" t="n">
        <v>0</v>
      </c>
      <c r="N18" s="20" t="n">
        <v>0</v>
      </c>
      <c r="O18" s="18" t="n">
        <v>0</v>
      </c>
      <c r="P18" s="20" t="n">
        <v>0</v>
      </c>
      <c r="Q18" s="18" t="n">
        <v>0.3658283</v>
      </c>
      <c r="R18" s="20" t="n">
        <v>0.21574891</v>
      </c>
    </row>
    <row r="19" spans="1:18">
      <c r="A19" s="15" t="s">
        <v>441</v>
      </c>
      <c r="B19" s="17" t="n">
        <v>5658</v>
      </c>
      <c r="C19" s="18">
        <f>(4955.0/B19*100)</f>
        <v/>
      </c>
      <c r="D19" s="19" t="n">
        <v>703</v>
      </c>
      <c r="E19" s="18" t="n">
        <v>7.95725925</v>
      </c>
      <c r="F19" s="20" t="n">
        <v>1.044311</v>
      </c>
      <c r="G19" s="18" t="n">
        <v>92.04274074999999</v>
      </c>
      <c r="H19" s="20" t="n">
        <v>1.044311</v>
      </c>
      <c r="I19" s="18" t="n">
        <v>0</v>
      </c>
      <c r="J19" s="20" t="n">
        <v>0</v>
      </c>
      <c r="K19" s="18" t="n">
        <v>0</v>
      </c>
      <c r="L19" s="20" t="n">
        <v>0</v>
      </c>
      <c r="M19" s="18" t="n">
        <v>0</v>
      </c>
      <c r="N19" s="20" t="n">
        <v>0</v>
      </c>
      <c r="O19" s="18" t="n">
        <v>0</v>
      </c>
      <c r="P19" s="20" t="n">
        <v>0</v>
      </c>
      <c r="Q19" s="18" t="n">
        <v>0</v>
      </c>
      <c r="R19" s="20" t="n">
        <v>0</v>
      </c>
    </row>
    <row r="20" spans="1:18">
      <c r="A20" s="15" t="s">
        <v>442</v>
      </c>
      <c r="B20" s="17" t="n">
        <v>3371</v>
      </c>
      <c r="C20" s="18">
        <f>(2965.0/B20*100)</f>
        <v/>
      </c>
      <c r="D20" s="19" t="n">
        <v>406</v>
      </c>
      <c r="E20" s="18" t="n">
        <v>6.05358428</v>
      </c>
      <c r="F20" s="20" t="n">
        <v>1.18040724</v>
      </c>
      <c r="G20" s="18" t="n">
        <v>92.11791669999999</v>
      </c>
      <c r="H20" s="20" t="n">
        <v>1.27671125</v>
      </c>
      <c r="I20" s="18" t="n">
        <v>0</v>
      </c>
      <c r="J20" s="20" t="n">
        <v>0</v>
      </c>
      <c r="K20" s="18" t="n">
        <v>0.52138485</v>
      </c>
      <c r="L20" s="20" t="n">
        <v>0.35727799</v>
      </c>
      <c r="M20" s="18" t="n">
        <v>0</v>
      </c>
      <c r="N20" s="20" t="n">
        <v>0</v>
      </c>
      <c r="O20" s="18" t="n">
        <v>0</v>
      </c>
      <c r="P20" s="20" t="n">
        <v>0</v>
      </c>
      <c r="Q20" s="18" t="n">
        <v>1.30711417</v>
      </c>
      <c r="R20" s="20" t="n">
        <v>0.58879506</v>
      </c>
    </row>
    <row r="21" spans="1:18">
      <c r="A21" s="15" t="s">
        <v>443</v>
      </c>
      <c r="B21" s="17" t="n">
        <v>5741</v>
      </c>
      <c r="C21" s="18">
        <f>(4787.0/B21*100)</f>
        <v/>
      </c>
      <c r="D21" s="19" t="n">
        <v>954</v>
      </c>
      <c r="E21" s="18" t="n">
        <v>2.90857991</v>
      </c>
      <c r="F21" s="20" t="n">
        <v>0.56492988</v>
      </c>
      <c r="G21" s="18" t="n">
        <v>97.09142009</v>
      </c>
      <c r="H21" s="20" t="n">
        <v>0.56492988</v>
      </c>
      <c r="I21" s="18" t="n">
        <v>0</v>
      </c>
      <c r="J21" s="20" t="n">
        <v>0</v>
      </c>
      <c r="K21" s="18" t="n">
        <v>0</v>
      </c>
      <c r="L21" s="20" t="n">
        <v>0</v>
      </c>
      <c r="M21" s="18" t="n">
        <v>0</v>
      </c>
      <c r="N21" s="20" t="n">
        <v>0</v>
      </c>
      <c r="O21" s="18" t="n">
        <v>0</v>
      </c>
      <c r="P21" s="20" t="n">
        <v>0</v>
      </c>
      <c r="Q21" s="18" t="n">
        <v>0</v>
      </c>
      <c r="R21" s="20" t="n">
        <v>0</v>
      </c>
    </row>
    <row r="22" spans="1:18">
      <c r="A22" s="15" t="s">
        <v>444</v>
      </c>
      <c r="B22" s="17" t="n">
        <v>6598</v>
      </c>
      <c r="C22" s="18">
        <f>(5773.0/B22*100)</f>
        <v/>
      </c>
      <c r="D22" s="19" t="n">
        <v>825</v>
      </c>
      <c r="E22" s="18" t="n">
        <v>10.18556151</v>
      </c>
      <c r="F22" s="20" t="n">
        <v>1.23959814</v>
      </c>
      <c r="G22" s="18" t="n">
        <v>88.92565693</v>
      </c>
      <c r="H22" s="20" t="n">
        <v>1.33301464</v>
      </c>
      <c r="I22" s="18" t="n">
        <v>0</v>
      </c>
      <c r="J22" s="20" t="n">
        <v>0</v>
      </c>
      <c r="K22" s="18" t="n">
        <v>0.46425361</v>
      </c>
      <c r="L22" s="20" t="n">
        <v>0.25558661</v>
      </c>
      <c r="M22" s="18" t="n">
        <v>0</v>
      </c>
      <c r="N22" s="20" t="n">
        <v>0</v>
      </c>
      <c r="O22" s="18" t="n">
        <v>0</v>
      </c>
      <c r="P22" s="20" t="n">
        <v>0</v>
      </c>
      <c r="Q22" s="18" t="n">
        <v>0.42452796</v>
      </c>
      <c r="R22" s="20" t="n">
        <v>0.2090826</v>
      </c>
    </row>
    <row r="23" spans="1:18">
      <c r="A23" s="15" t="s">
        <v>445</v>
      </c>
      <c r="B23" s="17" t="n">
        <v>11583</v>
      </c>
      <c r="C23" s="18">
        <f>(10131.0/B23*100)</f>
        <v/>
      </c>
      <c r="D23" s="19" t="n">
        <v>1452</v>
      </c>
      <c r="E23" s="18" t="n">
        <v>7.15746546</v>
      </c>
      <c r="F23" s="20" t="n">
        <v>1.10410568</v>
      </c>
      <c r="G23" s="18" t="n">
        <v>91.58431219000001</v>
      </c>
      <c r="H23" s="20" t="n">
        <v>1.38248995</v>
      </c>
      <c r="I23" s="18" t="n">
        <v>0</v>
      </c>
      <c r="J23" s="20" t="n">
        <v>0</v>
      </c>
      <c r="K23" s="18" t="n">
        <v>0.42816916</v>
      </c>
      <c r="L23" s="20" t="n">
        <v>0.27621031</v>
      </c>
      <c r="M23" s="18" t="n">
        <v>0</v>
      </c>
      <c r="N23" s="20" t="n">
        <v>0</v>
      </c>
      <c r="O23" s="18" t="n">
        <v>0</v>
      </c>
      <c r="P23" s="20" t="n">
        <v>0</v>
      </c>
      <c r="Q23" s="18" t="n">
        <v>0.83005319</v>
      </c>
      <c r="R23" s="20" t="n">
        <v>0.49680494</v>
      </c>
    </row>
    <row r="24" spans="1:18">
      <c r="A24" s="15" t="s">
        <v>446</v>
      </c>
      <c r="B24" s="17" t="n">
        <v>6647</v>
      </c>
      <c r="C24" s="18">
        <f>(5884.0/B24*100)</f>
        <v/>
      </c>
      <c r="D24" s="19" t="n">
        <v>763</v>
      </c>
      <c r="E24" s="18" t="n">
        <v>3.40801351</v>
      </c>
      <c r="F24" s="20" t="n">
        <v>0.77767202</v>
      </c>
      <c r="G24" s="18" t="n">
        <v>96.23125078</v>
      </c>
      <c r="H24" s="20" t="n">
        <v>0.7885194599999999</v>
      </c>
      <c r="I24" s="18" t="n">
        <v>0</v>
      </c>
      <c r="J24" s="20" t="n">
        <v>0</v>
      </c>
      <c r="K24" s="18" t="n">
        <v>0.11882796</v>
      </c>
      <c r="L24" s="20" t="n">
        <v>0.119264</v>
      </c>
      <c r="M24" s="18" t="n">
        <v>0</v>
      </c>
      <c r="N24" s="20" t="n">
        <v>0</v>
      </c>
      <c r="O24" s="18" t="n">
        <v>0</v>
      </c>
      <c r="P24" s="20" t="n">
        <v>0</v>
      </c>
      <c r="Q24" s="18" t="n">
        <v>0.24190775</v>
      </c>
      <c r="R24" s="20" t="n">
        <v>0.01051429</v>
      </c>
    </row>
    <row r="25" spans="1:18">
      <c r="A25" s="15" t="s">
        <v>447</v>
      </c>
      <c r="B25" s="17" t="n">
        <v>5581</v>
      </c>
      <c r="C25" s="18">
        <f>(4891.0/B25*100)</f>
        <v/>
      </c>
      <c r="D25" s="19" t="n">
        <v>690</v>
      </c>
      <c r="E25" s="18" t="n">
        <v>4.81028481</v>
      </c>
      <c r="F25" s="20" t="n">
        <v>0.85514683</v>
      </c>
      <c r="G25" s="18" t="n">
        <v>94.49821281</v>
      </c>
      <c r="H25" s="20" t="n">
        <v>0.8691215799999999</v>
      </c>
      <c r="I25" s="18" t="n">
        <v>0</v>
      </c>
      <c r="J25" s="20" t="n">
        <v>0</v>
      </c>
      <c r="K25" s="18" t="n">
        <v>0.69150238</v>
      </c>
      <c r="L25" s="20" t="n">
        <v>0.3177594</v>
      </c>
      <c r="M25" s="18" t="n">
        <v>0</v>
      </c>
      <c r="N25" s="20" t="n">
        <v>0</v>
      </c>
      <c r="O25" s="18" t="n">
        <v>0</v>
      </c>
      <c r="P25" s="20" t="n">
        <v>0</v>
      </c>
      <c r="Q25" s="18" t="n">
        <v>0</v>
      </c>
      <c r="R25" s="20" t="n">
        <v>0</v>
      </c>
    </row>
    <row r="26" spans="1:18">
      <c r="A26" s="15" t="s">
        <v>448</v>
      </c>
      <c r="B26" s="17" t="n">
        <v>4869</v>
      </c>
      <c r="C26" s="18">
        <f>(4270.0/B26*100)</f>
        <v/>
      </c>
      <c r="D26" s="19" t="n">
        <v>599</v>
      </c>
      <c r="E26" s="18" t="n">
        <v>5.64443615</v>
      </c>
      <c r="F26" s="20" t="n">
        <v>1.06597192</v>
      </c>
      <c r="G26" s="18" t="n">
        <v>94.19974143</v>
      </c>
      <c r="H26" s="20" t="n">
        <v>1.07009143</v>
      </c>
      <c r="I26" s="18" t="n">
        <v>0</v>
      </c>
      <c r="J26" s="20" t="n">
        <v>0</v>
      </c>
      <c r="K26" s="18" t="n">
        <v>0.15582242</v>
      </c>
      <c r="L26" s="20" t="n">
        <v>0.15415536</v>
      </c>
      <c r="M26" s="18" t="n">
        <v>0</v>
      </c>
      <c r="N26" s="20" t="n">
        <v>0</v>
      </c>
      <c r="O26" s="18" t="n">
        <v>0</v>
      </c>
      <c r="P26" s="20" t="n">
        <v>0</v>
      </c>
      <c r="Q26" s="18" t="n">
        <v>0</v>
      </c>
      <c r="R26" s="20" t="n">
        <v>0</v>
      </c>
    </row>
    <row r="27" spans="1:18">
      <c r="A27" s="15" t="s">
        <v>449</v>
      </c>
      <c r="B27" s="17" t="n">
        <v>5299</v>
      </c>
      <c r="C27" s="18">
        <f>(4641.0/B27*100)</f>
        <v/>
      </c>
      <c r="D27" s="19" t="n">
        <v>658</v>
      </c>
      <c r="E27" s="18" t="n">
        <v>7.98031181</v>
      </c>
      <c r="F27" s="20" t="n">
        <v>0.84978331</v>
      </c>
      <c r="G27" s="18" t="n">
        <v>91.54182788999999</v>
      </c>
      <c r="H27" s="20" t="n">
        <v>0.8912603099999999</v>
      </c>
      <c r="I27" s="18" t="n">
        <v>0</v>
      </c>
      <c r="J27" s="20" t="n">
        <v>0</v>
      </c>
      <c r="K27" s="18" t="n">
        <v>0.32331816</v>
      </c>
      <c r="L27" s="20" t="n">
        <v>0.22353466</v>
      </c>
      <c r="M27" s="18" t="n">
        <v>0</v>
      </c>
      <c r="N27" s="20" t="n">
        <v>0</v>
      </c>
      <c r="O27" s="18" t="n">
        <v>0</v>
      </c>
      <c r="P27" s="20" t="n">
        <v>0</v>
      </c>
      <c r="Q27" s="18" t="n">
        <v>0.15454214</v>
      </c>
      <c r="R27" s="20" t="n">
        <v>0.15193704</v>
      </c>
    </row>
    <row r="28" spans="1:18">
      <c r="A28" s="15" t="s">
        <v>450</v>
      </c>
      <c r="B28" s="17" t="n">
        <v>7568</v>
      </c>
      <c r="C28" s="18">
        <f>(6693.0/B28*100)</f>
        <v/>
      </c>
      <c r="D28" s="19" t="n">
        <v>875</v>
      </c>
      <c r="E28" s="18" t="n">
        <v>21.26035812</v>
      </c>
      <c r="F28" s="20" t="n">
        <v>1.73528753</v>
      </c>
      <c r="G28" s="18" t="n">
        <v>78.29402140000001</v>
      </c>
      <c r="H28" s="20" t="n">
        <v>1.71385379</v>
      </c>
      <c r="I28" s="18" t="n">
        <v>0</v>
      </c>
      <c r="J28" s="20" t="n">
        <v>0</v>
      </c>
      <c r="K28" s="18" t="n">
        <v>0.44562047</v>
      </c>
      <c r="L28" s="20" t="n">
        <v>0.27568849</v>
      </c>
      <c r="M28" s="18" t="n">
        <v>0</v>
      </c>
      <c r="N28" s="20" t="n">
        <v>0</v>
      </c>
      <c r="O28" s="18" t="n">
        <v>0</v>
      </c>
      <c r="P28" s="20" t="n">
        <v>0</v>
      </c>
      <c r="Q28" s="18" t="n">
        <v>0</v>
      </c>
      <c r="R28" s="20" t="n">
        <v>0</v>
      </c>
    </row>
    <row r="29" spans="1:18">
      <c r="A29" s="15" t="s">
        <v>451</v>
      </c>
      <c r="B29" s="17" t="n">
        <v>5385</v>
      </c>
      <c r="C29" s="18">
        <f>(4748.0/B29*100)</f>
        <v/>
      </c>
      <c r="D29" s="19" t="n">
        <v>637</v>
      </c>
      <c r="E29" s="18" t="n">
        <v>3.42874027</v>
      </c>
      <c r="F29" s="20" t="n">
        <v>0.82437319</v>
      </c>
      <c r="G29" s="18" t="n">
        <v>96.37021803</v>
      </c>
      <c r="H29" s="20" t="n">
        <v>0.92541595</v>
      </c>
      <c r="I29" s="18" t="n">
        <v>0</v>
      </c>
      <c r="J29" s="20" t="n">
        <v>0</v>
      </c>
      <c r="K29" s="18" t="n">
        <v>0.2010417</v>
      </c>
      <c r="L29" s="20" t="n">
        <v>0.198841</v>
      </c>
      <c r="M29" s="18" t="n">
        <v>0</v>
      </c>
      <c r="N29" s="20" t="n">
        <v>0</v>
      </c>
      <c r="O29" s="18" t="n">
        <v>0</v>
      </c>
      <c r="P29" s="20" t="n">
        <v>0</v>
      </c>
      <c r="Q29" s="18" t="n">
        <v>0</v>
      </c>
      <c r="R29" s="20" t="n">
        <v>0</v>
      </c>
    </row>
    <row r="30" spans="1:18">
      <c r="A30" s="15" t="s">
        <v>452</v>
      </c>
      <c r="B30" s="17" t="n">
        <v>4520</v>
      </c>
      <c r="C30" s="18">
        <f>(4005.0/B30*100)</f>
        <v/>
      </c>
      <c r="D30" s="19" t="n">
        <v>515</v>
      </c>
      <c r="E30" s="18" t="n">
        <v>6.07391811</v>
      </c>
      <c r="F30" s="20" t="n">
        <v>1.24148056</v>
      </c>
      <c r="G30" s="18" t="n">
        <v>93.39921505</v>
      </c>
      <c r="H30" s="20" t="n">
        <v>1.25918542</v>
      </c>
      <c r="I30" s="18" t="n">
        <v>0</v>
      </c>
      <c r="J30" s="20" t="n">
        <v>0</v>
      </c>
      <c r="K30" s="18" t="n">
        <v>0.17716395</v>
      </c>
      <c r="L30" s="20" t="n">
        <v>0.18261292</v>
      </c>
      <c r="M30" s="18" t="n">
        <v>0</v>
      </c>
      <c r="N30" s="20" t="n">
        <v>0</v>
      </c>
      <c r="O30" s="18" t="n">
        <v>0</v>
      </c>
      <c r="P30" s="20" t="n">
        <v>0</v>
      </c>
      <c r="Q30" s="18" t="n">
        <v>0.34970289</v>
      </c>
      <c r="R30" s="20" t="n">
        <v>0.21947198</v>
      </c>
    </row>
    <row r="31" spans="1:18">
      <c r="A31" s="15" t="s">
        <v>453</v>
      </c>
      <c r="B31" s="17" t="n">
        <v>5456</v>
      </c>
      <c r="C31" s="18">
        <f>(4801.0/B31*100)</f>
        <v/>
      </c>
      <c r="D31" s="19" t="n">
        <v>655</v>
      </c>
      <c r="E31" s="18" t="n">
        <v>7.39127977</v>
      </c>
      <c r="F31" s="20" t="n">
        <v>0.93358429</v>
      </c>
      <c r="G31" s="18" t="n">
        <v>92.1375963</v>
      </c>
      <c r="H31" s="20" t="n">
        <v>0.87668998</v>
      </c>
      <c r="I31" s="18" t="n">
        <v>0</v>
      </c>
      <c r="J31" s="20" t="n">
        <v>0</v>
      </c>
      <c r="K31" s="18" t="n">
        <v>0.47112393</v>
      </c>
      <c r="L31" s="20" t="n">
        <v>0.28528469</v>
      </c>
      <c r="M31" s="18" t="n">
        <v>0</v>
      </c>
      <c r="N31" s="20" t="n">
        <v>0</v>
      </c>
      <c r="O31" s="18" t="n">
        <v>0</v>
      </c>
      <c r="P31" s="20" t="n">
        <v>0</v>
      </c>
      <c r="Q31" s="18" t="n">
        <v>0</v>
      </c>
      <c r="R31" s="20" t="n">
        <v>0</v>
      </c>
    </row>
    <row r="32" spans="1:18">
      <c r="A32" s="15" t="s">
        <v>454</v>
      </c>
      <c r="B32" s="17" t="n">
        <v>4478</v>
      </c>
      <c r="C32" s="18">
        <f>(3735.0/B32*100)</f>
        <v/>
      </c>
      <c r="D32" s="19" t="n">
        <v>743</v>
      </c>
      <c r="E32" s="18" t="n">
        <v>13.7173391</v>
      </c>
      <c r="F32" s="20" t="n">
        <v>1.19957388</v>
      </c>
      <c r="G32" s="18" t="n">
        <v>85.99453542000001</v>
      </c>
      <c r="H32" s="20" t="n">
        <v>1.18831965</v>
      </c>
      <c r="I32" s="18" t="n">
        <v>0</v>
      </c>
      <c r="J32" s="20" t="n">
        <v>0</v>
      </c>
      <c r="K32" s="18" t="n">
        <v>0.12994118</v>
      </c>
      <c r="L32" s="20" t="n">
        <v>0.12231666</v>
      </c>
      <c r="M32" s="18" t="n">
        <v>0</v>
      </c>
      <c r="N32" s="20" t="n">
        <v>0</v>
      </c>
      <c r="O32" s="18" t="n">
        <v>0</v>
      </c>
      <c r="P32" s="20" t="n">
        <v>0</v>
      </c>
      <c r="Q32" s="18" t="n">
        <v>0.1581843</v>
      </c>
      <c r="R32" s="20" t="n">
        <v>0.12917955</v>
      </c>
    </row>
    <row r="33" spans="1:18">
      <c r="A33" s="15" t="s">
        <v>455</v>
      </c>
      <c r="B33" s="17" t="n">
        <v>7325</v>
      </c>
      <c r="C33" s="18">
        <f>(6444.0/B33*100)</f>
        <v/>
      </c>
      <c r="D33" s="19" t="n">
        <v>881</v>
      </c>
      <c r="E33" s="18" t="n">
        <v>7.51247717</v>
      </c>
      <c r="F33" s="20" t="n">
        <v>0.74919824</v>
      </c>
      <c r="G33" s="18" t="n">
        <v>92.04340675</v>
      </c>
      <c r="H33" s="20" t="n">
        <v>0.7546921</v>
      </c>
      <c r="I33" s="18" t="n">
        <v>0</v>
      </c>
      <c r="J33" s="20" t="n">
        <v>0</v>
      </c>
      <c r="K33" s="18" t="n">
        <v>0</v>
      </c>
      <c r="L33" s="20" t="n">
        <v>0</v>
      </c>
      <c r="M33" s="18" t="n">
        <v>0</v>
      </c>
      <c r="N33" s="20" t="n">
        <v>0</v>
      </c>
      <c r="O33" s="18" t="n">
        <v>0</v>
      </c>
      <c r="P33" s="20" t="n">
        <v>0</v>
      </c>
      <c r="Q33" s="18" t="n">
        <v>0.44411608</v>
      </c>
      <c r="R33" s="20" t="n">
        <v>0.22218721</v>
      </c>
    </row>
    <row r="34" spans="1:18">
      <c r="A34" s="15" t="s">
        <v>456</v>
      </c>
      <c r="B34" s="17" t="n">
        <v>6350</v>
      </c>
      <c r="C34" s="18">
        <f>(5605.0/B34*100)</f>
        <v/>
      </c>
      <c r="D34" s="19" t="n">
        <v>745</v>
      </c>
      <c r="E34" s="18" t="n">
        <v>9.84396504</v>
      </c>
      <c r="F34" s="20" t="n">
        <v>1.03153397</v>
      </c>
      <c r="G34" s="18" t="n">
        <v>90.04313345</v>
      </c>
      <c r="H34" s="20" t="n">
        <v>1.04059659</v>
      </c>
      <c r="I34" s="18" t="n">
        <v>0</v>
      </c>
      <c r="J34" s="20" t="n">
        <v>0</v>
      </c>
      <c r="K34" s="18" t="n">
        <v>0.11290151</v>
      </c>
      <c r="L34" s="20" t="n">
        <v>0.07739989999999999</v>
      </c>
      <c r="M34" s="18" t="n">
        <v>0</v>
      </c>
      <c r="N34" s="20" t="n">
        <v>0</v>
      </c>
      <c r="O34" s="18" t="n">
        <v>0</v>
      </c>
      <c r="P34" s="20" t="n">
        <v>0</v>
      </c>
      <c r="Q34" s="18" t="n">
        <v>0</v>
      </c>
      <c r="R34" s="20" t="n">
        <v>0</v>
      </c>
    </row>
    <row r="35" spans="1:18">
      <c r="A35" s="15" t="s">
        <v>457</v>
      </c>
      <c r="B35" s="17" t="n">
        <v>6406</v>
      </c>
      <c r="C35" s="18">
        <f>(5647.0/B35*100)</f>
        <v/>
      </c>
      <c r="D35" s="19" t="n">
        <v>759</v>
      </c>
      <c r="E35" s="18" t="n">
        <v>4.0392386</v>
      </c>
      <c r="F35" s="20" t="n">
        <v>0.7079151</v>
      </c>
      <c r="G35" s="18" t="n">
        <v>95.72580936</v>
      </c>
      <c r="H35" s="20" t="n">
        <v>0.73523714</v>
      </c>
      <c r="I35" s="18" t="n">
        <v>0</v>
      </c>
      <c r="J35" s="20" t="n">
        <v>0</v>
      </c>
      <c r="K35" s="18" t="n">
        <v>0</v>
      </c>
      <c r="L35" s="20" t="n">
        <v>0</v>
      </c>
      <c r="M35" s="18" t="n">
        <v>0</v>
      </c>
      <c r="N35" s="20" t="n">
        <v>0</v>
      </c>
      <c r="O35" s="18" t="n">
        <v>0</v>
      </c>
      <c r="P35" s="20" t="n">
        <v>0</v>
      </c>
      <c r="Q35" s="18" t="n">
        <v>0.23495205</v>
      </c>
      <c r="R35" s="20" t="n">
        <v>0.17527105</v>
      </c>
    </row>
    <row r="36" spans="1:18">
      <c r="A36" s="15" t="s">
        <v>458</v>
      </c>
      <c r="B36" s="17" t="n">
        <v>6736</v>
      </c>
      <c r="C36" s="18">
        <f>(5922.0/B36*100)</f>
        <v/>
      </c>
      <c r="D36" s="19" t="n">
        <v>814</v>
      </c>
      <c r="E36" s="18" t="n">
        <v>11.12732686</v>
      </c>
      <c r="F36" s="20" t="n">
        <v>1.255957</v>
      </c>
      <c r="G36" s="18" t="n">
        <v>88.6536629</v>
      </c>
      <c r="H36" s="20" t="n">
        <v>1.24271131</v>
      </c>
      <c r="I36" s="18" t="n">
        <v>0</v>
      </c>
      <c r="J36" s="20" t="n">
        <v>0</v>
      </c>
      <c r="K36" s="18" t="n">
        <v>0.09360855</v>
      </c>
      <c r="L36" s="20" t="n">
        <v>0.09127232</v>
      </c>
      <c r="M36" s="18" t="n">
        <v>0</v>
      </c>
      <c r="N36" s="20" t="n">
        <v>0</v>
      </c>
      <c r="O36" s="18" t="n">
        <v>0</v>
      </c>
      <c r="P36" s="20" t="n">
        <v>0</v>
      </c>
      <c r="Q36" s="18" t="n">
        <v>0.1254017</v>
      </c>
      <c r="R36" s="20" t="n">
        <v>0.13454288</v>
      </c>
    </row>
    <row r="37" spans="1:18">
      <c r="A37" s="15" t="s">
        <v>459</v>
      </c>
      <c r="B37" s="17" t="n">
        <v>5458</v>
      </c>
      <c r="C37" s="18">
        <f>(4781.0/B37*100)</f>
        <v/>
      </c>
      <c r="D37" s="19" t="n">
        <v>677</v>
      </c>
      <c r="E37" s="18" t="n">
        <v>6.41342912</v>
      </c>
      <c r="F37" s="20" t="n">
        <v>1.00655484</v>
      </c>
      <c r="G37" s="18" t="n">
        <v>93.19371898</v>
      </c>
      <c r="H37" s="20" t="n">
        <v>1.01235693</v>
      </c>
      <c r="I37" s="18" t="n">
        <v>0</v>
      </c>
      <c r="J37" s="20" t="n">
        <v>0</v>
      </c>
      <c r="K37" s="18" t="n">
        <v>0.12926427</v>
      </c>
      <c r="L37" s="20" t="n">
        <v>0.18313702</v>
      </c>
      <c r="M37" s="18" t="n">
        <v>0</v>
      </c>
      <c r="N37" s="20" t="n">
        <v>0</v>
      </c>
      <c r="O37" s="18" t="n">
        <v>0</v>
      </c>
      <c r="P37" s="20" t="n">
        <v>0</v>
      </c>
      <c r="Q37" s="18" t="n">
        <v>0.26358763</v>
      </c>
      <c r="R37" s="20" t="n">
        <v>0.17596492</v>
      </c>
    </row>
    <row r="38" spans="1:18">
      <c r="A38" s="15" t="s">
        <v>460</v>
      </c>
      <c r="B38" s="17" t="n">
        <v>5860</v>
      </c>
      <c r="C38" s="18">
        <f>(4870.0/B38*100)</f>
        <v/>
      </c>
      <c r="D38" s="19" t="n">
        <v>990</v>
      </c>
      <c r="E38" s="18" t="n">
        <v>6.2039265</v>
      </c>
      <c r="F38" s="20" t="n">
        <v>0.9428367600000001</v>
      </c>
      <c r="G38" s="18" t="n">
        <v>93.44173248</v>
      </c>
      <c r="H38" s="20" t="n">
        <v>0.94781341</v>
      </c>
      <c r="I38" s="18" t="n">
        <v>0</v>
      </c>
      <c r="J38" s="20" t="n">
        <v>0</v>
      </c>
      <c r="K38" s="18" t="n">
        <v>0.08347008</v>
      </c>
      <c r="L38" s="20" t="n">
        <v>0.08337343</v>
      </c>
      <c r="M38" s="18" t="n">
        <v>0</v>
      </c>
      <c r="N38" s="20" t="n">
        <v>0</v>
      </c>
      <c r="O38" s="18" t="n">
        <v>0</v>
      </c>
      <c r="P38" s="20" t="n">
        <v>0</v>
      </c>
      <c r="Q38" s="18" t="n">
        <v>0.27087094</v>
      </c>
      <c r="R38" s="20" t="n">
        <v>0.17463352</v>
      </c>
    </row>
    <row r="39" spans="1:18">
      <c r="A39" s="15" t="s">
        <v>461</v>
      </c>
      <c r="B39" s="17" t="n">
        <v>5895</v>
      </c>
      <c r="C39" s="18">
        <f>(5174.0/B39*100)</f>
        <v/>
      </c>
      <c r="D39" s="19" t="n">
        <v>721</v>
      </c>
      <c r="E39" s="18" t="n">
        <v>25.88836148</v>
      </c>
      <c r="F39" s="20" t="n">
        <v>1.91361108</v>
      </c>
      <c r="G39" s="18" t="n">
        <v>73.75457434</v>
      </c>
      <c r="H39" s="20" t="n">
        <v>1.89582545</v>
      </c>
      <c r="I39" s="18" t="n">
        <v>0</v>
      </c>
      <c r="J39" s="20" t="n">
        <v>0</v>
      </c>
      <c r="K39" s="18" t="n">
        <v>0.20194989</v>
      </c>
      <c r="L39" s="20" t="n">
        <v>0.20241727</v>
      </c>
      <c r="M39" s="18" t="n">
        <v>0</v>
      </c>
      <c r="N39" s="20" t="n">
        <v>0</v>
      </c>
      <c r="O39" s="18" t="n">
        <v>0</v>
      </c>
      <c r="P39" s="20" t="n">
        <v>0</v>
      </c>
      <c r="Q39" s="18" t="n">
        <v>0.15511429</v>
      </c>
      <c r="R39" s="20" t="n">
        <v>0.13097946</v>
      </c>
    </row>
    <row r="40" spans="1:18">
      <c r="A40" s="15" t="s">
        <v>462</v>
      </c>
      <c r="B40" s="17" t="n">
        <v>14157</v>
      </c>
      <c r="C40" s="18">
        <f>(12441.0/B40*100)</f>
        <v/>
      </c>
      <c r="D40" s="19" t="n">
        <v>1716</v>
      </c>
      <c r="E40" s="18" t="n">
        <v>5.25022095</v>
      </c>
      <c r="F40" s="20" t="n">
        <v>0.89054201</v>
      </c>
      <c r="G40" s="18" t="n">
        <v>94.24382098</v>
      </c>
      <c r="H40" s="20" t="n">
        <v>0.87320418</v>
      </c>
      <c r="I40" s="18" t="n">
        <v>0</v>
      </c>
      <c r="J40" s="20" t="n">
        <v>0</v>
      </c>
      <c r="K40" s="18" t="n">
        <v>0.14462719</v>
      </c>
      <c r="L40" s="20" t="n">
        <v>0.08094092999999999</v>
      </c>
      <c r="M40" s="18" t="n">
        <v>0</v>
      </c>
      <c r="N40" s="20" t="n">
        <v>0</v>
      </c>
      <c r="O40" s="18" t="n">
        <v>0</v>
      </c>
      <c r="P40" s="20" t="n">
        <v>0</v>
      </c>
      <c r="Q40" s="18" t="n">
        <v>0.36133089</v>
      </c>
      <c r="R40" s="20" t="n">
        <v>0.2429023</v>
      </c>
    </row>
    <row r="41" spans="1:18">
      <c r="A41" s="15" t="s">
        <v>463</v>
      </c>
      <c r="B41" s="17" t="n">
        <v>5712</v>
      </c>
      <c r="C41" s="18">
        <f>(5014.0/B41*100)</f>
        <v/>
      </c>
      <c r="D41" s="19" t="n">
        <v>698</v>
      </c>
      <c r="E41" s="18" t="n">
        <v>8.171031839999999</v>
      </c>
      <c r="F41" s="20" t="n">
        <v>1.17650464</v>
      </c>
      <c r="G41" s="18" t="n">
        <v>91.22291007</v>
      </c>
      <c r="H41" s="20" t="n">
        <v>1.21355018</v>
      </c>
      <c r="I41" s="18" t="n">
        <v>0</v>
      </c>
      <c r="J41" s="20" t="n">
        <v>0</v>
      </c>
      <c r="K41" s="18" t="n">
        <v>0.35674439</v>
      </c>
      <c r="L41" s="20" t="n">
        <v>0.25786485</v>
      </c>
      <c r="M41" s="18" t="n">
        <v>0</v>
      </c>
      <c r="N41" s="20" t="n">
        <v>0</v>
      </c>
      <c r="O41" s="18" t="n">
        <v>0</v>
      </c>
      <c r="P41" s="20" t="n">
        <v>0</v>
      </c>
      <c r="Q41" s="18" t="n">
        <v>0.24931371</v>
      </c>
      <c r="R41" s="20" t="n">
        <v>0.16193318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(20761.0/B46*100)</f>
        <v/>
      </c>
      <c r="D46" s="19" t="n">
        <v>2380</v>
      </c>
      <c r="E46" s="18" t="n">
        <v>18.64592923</v>
      </c>
      <c r="F46" s="20" t="n">
        <v>1.02958756</v>
      </c>
      <c r="G46" s="18" t="n">
        <v>79.82338138999999</v>
      </c>
      <c r="H46" s="20" t="n">
        <v>1.05795733</v>
      </c>
      <c r="I46" s="18" t="n">
        <v>0</v>
      </c>
      <c r="J46" s="20" t="n">
        <v>0</v>
      </c>
      <c r="K46" s="18" t="n">
        <v>0.90035948</v>
      </c>
      <c r="L46" s="20" t="n">
        <v>0.20991541</v>
      </c>
      <c r="M46" s="18" t="n">
        <v>0</v>
      </c>
      <c r="N46" s="20" t="n">
        <v>0</v>
      </c>
      <c r="O46" s="18" t="n">
        <v>0</v>
      </c>
      <c r="P46" s="20" t="n">
        <v>0</v>
      </c>
      <c r="Q46" s="18" t="n">
        <v>0.6303299</v>
      </c>
      <c r="R46" s="20" t="n">
        <v>0.13919596</v>
      </c>
    </row>
    <row r="47" spans="1:18">
      <c r="A47" s="15" t="s">
        <v>470</v>
      </c>
      <c r="B47" s="17" t="n">
        <v>5928</v>
      </c>
      <c r="C47" s="18">
        <f>(5201.0/B47*100)</f>
        <v/>
      </c>
      <c r="D47" s="19" t="n">
        <v>727</v>
      </c>
      <c r="E47" s="18" t="n">
        <v>25.20822818</v>
      </c>
      <c r="F47" s="20" t="n">
        <v>2.17789384</v>
      </c>
      <c r="G47" s="18" t="n">
        <v>74.24364437</v>
      </c>
      <c r="H47" s="20" t="n">
        <v>2.11795169</v>
      </c>
      <c r="I47" s="18" t="n">
        <v>0</v>
      </c>
      <c r="J47" s="20" t="n">
        <v>0</v>
      </c>
      <c r="K47" s="18" t="n">
        <v>0.28429927</v>
      </c>
      <c r="L47" s="20" t="n">
        <v>0.21014758</v>
      </c>
      <c r="M47" s="18" t="n">
        <v>0</v>
      </c>
      <c r="N47" s="20" t="n">
        <v>0</v>
      </c>
      <c r="O47" s="18" t="n">
        <v>0</v>
      </c>
      <c r="P47" s="20" t="n">
        <v>0</v>
      </c>
      <c r="Q47" s="18" t="n">
        <v>0.26382818</v>
      </c>
      <c r="R47" s="20" t="n">
        <v>0.1559632</v>
      </c>
    </row>
    <row r="48" spans="1:18">
      <c r="A48" s="15" t="s">
        <v>471</v>
      </c>
      <c r="B48" s="17" t="n">
        <v>9841</v>
      </c>
      <c r="C48" s="18">
        <f>(8650.0/B48*100)</f>
        <v/>
      </c>
      <c r="D48" s="19" t="n">
        <v>1191</v>
      </c>
      <c r="E48" s="18" t="n">
        <v>8.00379369</v>
      </c>
      <c r="F48" s="20" t="n">
        <v>1.2520826</v>
      </c>
      <c r="G48" s="18" t="n">
        <v>90.70477336</v>
      </c>
      <c r="H48" s="20" t="n">
        <v>1.49508983</v>
      </c>
      <c r="I48" s="18" t="n">
        <v>0</v>
      </c>
      <c r="J48" s="20" t="n">
        <v>0</v>
      </c>
      <c r="K48" s="18" t="n">
        <v>1.11338996</v>
      </c>
      <c r="L48" s="20" t="n">
        <v>0.45804948</v>
      </c>
      <c r="M48" s="18" t="n">
        <v>0</v>
      </c>
      <c r="N48" s="20" t="n">
        <v>0</v>
      </c>
      <c r="O48" s="18" t="n">
        <v>0</v>
      </c>
      <c r="P48" s="20" t="n">
        <v>0</v>
      </c>
      <c r="Q48" s="18" t="n">
        <v>0.17804299</v>
      </c>
      <c r="R48" s="20" t="n">
        <v>0.16748429</v>
      </c>
    </row>
    <row r="49" spans="1:18">
      <c r="A49" s="15" t="s">
        <v>472</v>
      </c>
      <c r="B49" s="17" t="n">
        <v>11795</v>
      </c>
      <c r="C49" s="18">
        <f>(10372.0/B49*100)</f>
        <v/>
      </c>
      <c r="D49" s="19" t="n">
        <v>1423</v>
      </c>
      <c r="E49" s="18" t="n">
        <v>21.94377429</v>
      </c>
      <c r="F49" s="20" t="n">
        <v>1.42758455</v>
      </c>
      <c r="G49" s="18" t="n">
        <v>75.64190895999999</v>
      </c>
      <c r="H49" s="20" t="n">
        <v>1.5752744</v>
      </c>
      <c r="I49" s="18" t="n">
        <v>0</v>
      </c>
      <c r="J49" s="20" t="n">
        <v>0</v>
      </c>
      <c r="K49" s="18" t="n">
        <v>1.34960559</v>
      </c>
      <c r="L49" s="20" t="n">
        <v>0.40994293</v>
      </c>
      <c r="M49" s="18" t="n">
        <v>0</v>
      </c>
      <c r="N49" s="20" t="n">
        <v>0</v>
      </c>
      <c r="O49" s="18" t="n">
        <v>0</v>
      </c>
      <c r="P49" s="20" t="n">
        <v>0</v>
      </c>
      <c r="Q49" s="18" t="n">
        <v>1.06471116</v>
      </c>
      <c r="R49" s="20" t="n">
        <v>0.63698613</v>
      </c>
    </row>
    <row r="50" spans="1:18">
      <c r="A50" s="15" t="s">
        <v>473</v>
      </c>
      <c r="B50" s="17" t="n">
        <v>6866</v>
      </c>
      <c r="C50" s="18">
        <f>(6128.0/B50*100)</f>
        <v/>
      </c>
      <c r="D50" s="19" t="n">
        <v>738</v>
      </c>
      <c r="E50" s="18" t="n">
        <v>20.58560684</v>
      </c>
      <c r="F50" s="20" t="n">
        <v>1.80770956</v>
      </c>
      <c r="G50" s="18" t="n">
        <v>78.01821219999999</v>
      </c>
      <c r="H50" s="20" t="n">
        <v>1.81345379</v>
      </c>
      <c r="I50" s="18" t="n">
        <v>0</v>
      </c>
      <c r="J50" s="20" t="n">
        <v>0</v>
      </c>
      <c r="K50" s="18" t="n">
        <v>0.7597664200000001</v>
      </c>
      <c r="L50" s="20" t="n">
        <v>0.35663246</v>
      </c>
      <c r="M50" s="18" t="n">
        <v>0</v>
      </c>
      <c r="N50" s="20" t="n">
        <v>0</v>
      </c>
      <c r="O50" s="18" t="n">
        <v>0</v>
      </c>
      <c r="P50" s="20" t="n">
        <v>0</v>
      </c>
      <c r="Q50" s="18" t="n">
        <v>0.63641453</v>
      </c>
      <c r="R50" s="20" t="n">
        <v>0.30487723</v>
      </c>
    </row>
    <row r="51" spans="1:18">
      <c r="A51" s="15" t="s">
        <v>474</v>
      </c>
      <c r="B51" s="17" t="n">
        <v>5809</v>
      </c>
      <c r="C51" s="18">
        <f>(5103.0/B51*100)</f>
        <v/>
      </c>
      <c r="D51" s="19" t="n">
        <v>706</v>
      </c>
      <c r="E51" s="18" t="n">
        <v>5.57111649</v>
      </c>
      <c r="F51" s="20" t="n">
        <v>0.88879016</v>
      </c>
      <c r="G51" s="18" t="n">
        <v>93.94186709</v>
      </c>
      <c r="H51" s="20" t="n">
        <v>0.89344793</v>
      </c>
      <c r="I51" s="18" t="n">
        <v>0</v>
      </c>
      <c r="J51" s="20" t="n">
        <v>0</v>
      </c>
      <c r="K51" s="18" t="n">
        <v>0.17799156</v>
      </c>
      <c r="L51" s="20" t="n">
        <v>0.17944848</v>
      </c>
      <c r="M51" s="18" t="n">
        <v>0</v>
      </c>
      <c r="N51" s="20" t="n">
        <v>0</v>
      </c>
      <c r="O51" s="18" t="n">
        <v>0</v>
      </c>
      <c r="P51" s="20" t="n">
        <v>0</v>
      </c>
      <c r="Q51" s="18" t="n">
        <v>0.30902485</v>
      </c>
      <c r="R51" s="20" t="n">
        <v>0.21608094</v>
      </c>
    </row>
    <row r="52" spans="1:18">
      <c r="A52" s="15" t="s">
        <v>475</v>
      </c>
      <c r="B52" s="17" t="n">
        <v>5571</v>
      </c>
      <c r="C52" s="18">
        <f>(4911.0/B52*100)</f>
        <v/>
      </c>
      <c r="D52" s="19" t="n">
        <v>660</v>
      </c>
      <c r="E52" s="18" t="n">
        <v>12.63705176</v>
      </c>
      <c r="F52" s="20" t="n">
        <v>1.34283654</v>
      </c>
      <c r="G52" s="18" t="n">
        <v>86.72555146000001</v>
      </c>
      <c r="H52" s="20" t="n">
        <v>1.35564382</v>
      </c>
      <c r="I52" s="18" t="n">
        <v>0</v>
      </c>
      <c r="J52" s="20" t="n">
        <v>0</v>
      </c>
      <c r="K52" s="18" t="n">
        <v>0.31326294</v>
      </c>
      <c r="L52" s="20" t="n">
        <v>0.21062745</v>
      </c>
      <c r="M52" s="18" t="n">
        <v>0</v>
      </c>
      <c r="N52" s="20" t="n">
        <v>0</v>
      </c>
      <c r="O52" s="18" t="n">
        <v>0</v>
      </c>
      <c r="P52" s="20" t="n">
        <v>0</v>
      </c>
      <c r="Q52" s="18" t="n">
        <v>0.32413384</v>
      </c>
      <c r="R52" s="20" t="n">
        <v>0.1882905</v>
      </c>
    </row>
    <row r="53" spans="1:18">
      <c r="A53" s="15" t="s">
        <v>476</v>
      </c>
      <c r="B53" s="17" t="n">
        <v>4740</v>
      </c>
      <c r="C53" s="18">
        <f>(3973.0/B53*100)</f>
        <v/>
      </c>
      <c r="D53" s="19" t="n">
        <v>767</v>
      </c>
      <c r="E53" s="18" t="n">
        <v>31.05891208</v>
      </c>
      <c r="F53" s="20" t="n">
        <v>1.91901238</v>
      </c>
      <c r="G53" s="18" t="n">
        <v>58.0969781</v>
      </c>
      <c r="H53" s="20" t="n">
        <v>2.14893851</v>
      </c>
      <c r="I53" s="18" t="n">
        <v>0</v>
      </c>
      <c r="J53" s="20" t="n">
        <v>0</v>
      </c>
      <c r="K53" s="18" t="n">
        <v>9.896147750000001</v>
      </c>
      <c r="L53" s="20" t="n">
        <v>1.15813662</v>
      </c>
      <c r="M53" s="18" t="n">
        <v>0</v>
      </c>
      <c r="N53" s="20" t="n">
        <v>0</v>
      </c>
      <c r="O53" s="18" t="n">
        <v>0</v>
      </c>
      <c r="P53" s="20" t="n">
        <v>0</v>
      </c>
      <c r="Q53" s="18" t="n">
        <v>0.94796208</v>
      </c>
      <c r="R53" s="20" t="n">
        <v>0.45399539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(4702.0/B55*100)</f>
        <v/>
      </c>
      <c r="D55" s="19" t="n">
        <v>657</v>
      </c>
      <c r="E55" s="18" t="n">
        <v>8.50016963</v>
      </c>
      <c r="F55" s="20" t="n">
        <v>1.09496657</v>
      </c>
      <c r="G55" s="18" t="n">
        <v>90.80064161999999</v>
      </c>
      <c r="H55" s="20" t="n">
        <v>1.16364137</v>
      </c>
      <c r="I55" s="18" t="n">
        <v>0</v>
      </c>
      <c r="J55" s="20" t="n">
        <v>0</v>
      </c>
      <c r="K55" s="18" t="n">
        <v>0.19466337</v>
      </c>
      <c r="L55" s="20" t="n">
        <v>0.16510399</v>
      </c>
      <c r="M55" s="18" t="n">
        <v>0</v>
      </c>
      <c r="N55" s="20" t="n">
        <v>0</v>
      </c>
      <c r="O55" s="18" t="n">
        <v>0</v>
      </c>
      <c r="P55" s="20" t="n">
        <v>0</v>
      </c>
      <c r="Q55" s="18" t="n">
        <v>0.50452538</v>
      </c>
      <c r="R55" s="20" t="n">
        <v>0.35144046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(5734.0/B61*100)</f>
        <v/>
      </c>
      <c r="D61" s="19" t="n">
        <v>791</v>
      </c>
      <c r="E61" s="18" t="n">
        <v>14.25099186</v>
      </c>
      <c r="F61" s="20" t="n">
        <v>1.47077838</v>
      </c>
      <c r="G61" s="18" t="n">
        <v>85.28601037999999</v>
      </c>
      <c r="H61" s="20" t="n">
        <v>1.48506522</v>
      </c>
      <c r="I61" s="18" t="n">
        <v>0</v>
      </c>
      <c r="J61" s="20" t="n">
        <v>0</v>
      </c>
      <c r="K61" s="18" t="n">
        <v>0</v>
      </c>
      <c r="L61" s="20" t="n">
        <v>0</v>
      </c>
      <c r="M61" s="18" t="n">
        <v>0</v>
      </c>
      <c r="N61" s="20" t="n">
        <v>0</v>
      </c>
      <c r="O61" s="18" t="n">
        <v>0</v>
      </c>
      <c r="P61" s="20" t="n">
        <v>0</v>
      </c>
      <c r="Q61" s="18" t="n">
        <v>0.46299776</v>
      </c>
      <c r="R61" s="20" t="n">
        <v>0.21978203</v>
      </c>
    </row>
    <row r="62" spans="1:18">
      <c r="A62" s="15" t="s">
        <v>486</v>
      </c>
      <c r="B62" s="17" t="n">
        <v>4476</v>
      </c>
      <c r="C62" s="18">
        <f>(3923.0/B62*100)</f>
        <v/>
      </c>
      <c r="D62" s="19" t="n">
        <v>553</v>
      </c>
      <c r="E62" s="18" t="n">
        <v>8.313010139999999</v>
      </c>
      <c r="F62" s="20" t="n">
        <v>1.28151743</v>
      </c>
      <c r="G62" s="18" t="n">
        <v>91.68698986</v>
      </c>
      <c r="H62" s="20" t="n">
        <v>1.28151743</v>
      </c>
      <c r="I62" s="18" t="n">
        <v>0</v>
      </c>
      <c r="J62" s="20" t="n">
        <v>0</v>
      </c>
      <c r="K62" s="18" t="n">
        <v>0</v>
      </c>
      <c r="L62" s="20" t="n">
        <v>0</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(4977.0/B67*100)</f>
        <v/>
      </c>
      <c r="D67" s="19" t="n">
        <v>688</v>
      </c>
      <c r="E67" s="18" t="n">
        <v>11.03728406</v>
      </c>
      <c r="F67" s="20" t="n">
        <v>1.06703368</v>
      </c>
      <c r="G67" s="18" t="n">
        <v>86.67288071</v>
      </c>
      <c r="H67" s="20" t="n">
        <v>1.21279169</v>
      </c>
      <c r="I67" s="18" t="n">
        <v>0</v>
      </c>
      <c r="J67" s="20" t="n">
        <v>0</v>
      </c>
      <c r="K67" s="18" t="n">
        <v>1.40577097</v>
      </c>
      <c r="L67" s="20" t="n">
        <v>0.5428208</v>
      </c>
      <c r="M67" s="18" t="n">
        <v>0</v>
      </c>
      <c r="N67" s="20" t="n">
        <v>0</v>
      </c>
      <c r="O67" s="18" t="n">
        <v>0</v>
      </c>
      <c r="P67" s="20" t="n">
        <v>0</v>
      </c>
      <c r="Q67" s="18" t="n">
        <v>0.88406426</v>
      </c>
      <c r="R67" s="20" t="n">
        <v>0.28410288</v>
      </c>
    </row>
    <row r="68" spans="1:18">
      <c r="A68" s="15" t="s">
        <v>492</v>
      </c>
      <c r="B68" s="17" t="n">
        <v>6971</v>
      </c>
      <c r="C68" s="18">
        <f>(6206.0/B68*100)</f>
        <v/>
      </c>
      <c r="D68" s="19" t="n">
        <v>765</v>
      </c>
      <c r="E68" s="18" t="n">
        <v>25.64687838</v>
      </c>
      <c r="F68" s="20" t="n">
        <v>1.47588964</v>
      </c>
      <c r="G68" s="18" t="n">
        <v>73.9660916</v>
      </c>
      <c r="H68" s="20" t="n">
        <v>1.45810007</v>
      </c>
      <c r="I68" s="18" t="n">
        <v>0</v>
      </c>
      <c r="J68" s="20" t="n">
        <v>0</v>
      </c>
      <c r="K68" s="18" t="n">
        <v>0.13513904</v>
      </c>
      <c r="L68" s="20" t="n">
        <v>0.13504232</v>
      </c>
      <c r="M68" s="18" t="n">
        <v>0</v>
      </c>
      <c r="N68" s="20" t="n">
        <v>0</v>
      </c>
      <c r="O68" s="18" t="n">
        <v>0</v>
      </c>
      <c r="P68" s="20" t="n">
        <v>0</v>
      </c>
      <c r="Q68" s="18" t="n">
        <v>0.25189098</v>
      </c>
      <c r="R68" s="20" t="n">
        <v>0.17721485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(10080.0/B70*100)</f>
        <v/>
      </c>
      <c r="D70" s="19" t="n">
        <v>2003</v>
      </c>
      <c r="E70" s="18" t="n">
        <v>18.35734626</v>
      </c>
      <c r="F70" s="20" t="n">
        <v>0.83698041</v>
      </c>
      <c r="G70" s="18" t="n">
        <v>39.55577168</v>
      </c>
      <c r="H70" s="20" t="n">
        <v>1.01294967</v>
      </c>
      <c r="I70" s="18" t="n">
        <v>0</v>
      </c>
      <c r="J70" s="20" t="n">
        <v>0</v>
      </c>
      <c r="K70" s="18" t="n">
        <v>1.25113842</v>
      </c>
      <c r="L70" s="20" t="n">
        <v>0.26297025</v>
      </c>
      <c r="M70" s="18" t="n">
        <v>40.10003092</v>
      </c>
      <c r="N70" s="20" t="n">
        <v>0.99708471</v>
      </c>
      <c r="O70" s="18" t="n">
        <v>0</v>
      </c>
      <c r="P70" s="20" t="n">
        <v>0</v>
      </c>
      <c r="Q70" s="18" t="n">
        <v>0.73571271</v>
      </c>
      <c r="R70" s="20" t="n">
        <v>0.19300269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(5319.0/B72*100)</f>
        <v/>
      </c>
      <c r="D72" s="19" t="n">
        <v>717</v>
      </c>
      <c r="E72" s="18" t="n">
        <v>6.89963424</v>
      </c>
      <c r="F72" s="20" t="n">
        <v>0.8808707099999999</v>
      </c>
      <c r="G72" s="18" t="n">
        <v>92.57581838</v>
      </c>
      <c r="H72" s="20" t="n">
        <v>0.91882578</v>
      </c>
      <c r="I72" s="18" t="n">
        <v>0</v>
      </c>
      <c r="J72" s="20" t="n">
        <v>0</v>
      </c>
      <c r="K72" s="18" t="n">
        <v>0.29800424</v>
      </c>
      <c r="L72" s="20" t="n">
        <v>0.17393998</v>
      </c>
      <c r="M72" s="18" t="n">
        <v>0</v>
      </c>
      <c r="N72" s="20" t="n">
        <v>0</v>
      </c>
      <c r="O72" s="18" t="n">
        <v>0</v>
      </c>
      <c r="P72" s="20" t="n">
        <v>0</v>
      </c>
      <c r="Q72" s="18" t="n">
        <v>0.22654314</v>
      </c>
      <c r="R72" s="20" t="n">
        <v>0.17729994</v>
      </c>
    </row>
    <row r="73" spans="1:18">
      <c r="A73" s="15" t="s">
        <v>497</v>
      </c>
      <c r="B73" s="17" t="n">
        <v>6115</v>
      </c>
      <c r="C73" s="18">
        <f>(5362.0/B73*100)</f>
        <v/>
      </c>
      <c r="D73" s="19" t="n">
        <v>753</v>
      </c>
      <c r="E73" s="18" t="n">
        <v>2.27227444</v>
      </c>
      <c r="F73" s="20" t="n">
        <v>0.63023805</v>
      </c>
      <c r="G73" s="18" t="n">
        <v>97.36413699000001</v>
      </c>
      <c r="H73" s="20" t="n">
        <v>0.66226082</v>
      </c>
      <c r="I73" s="18" t="n">
        <v>0</v>
      </c>
      <c r="J73" s="20" t="n">
        <v>0</v>
      </c>
      <c r="K73" s="18" t="n">
        <v>0.26052849</v>
      </c>
      <c r="L73" s="20" t="n">
        <v>0.18422037</v>
      </c>
      <c r="M73" s="18" t="n">
        <v>0</v>
      </c>
      <c r="N73" s="20" t="n">
        <v>0</v>
      </c>
      <c r="O73" s="18" t="n">
        <v>0</v>
      </c>
      <c r="P73" s="20" t="n">
        <v>0</v>
      </c>
      <c r="Q73" s="18" t="n">
        <v>0.10306008</v>
      </c>
      <c r="R73" s="20" t="n">
        <v>0.10408336</v>
      </c>
    </row>
    <row r="74" spans="1:18">
      <c r="A74" s="15" t="s">
        <v>498</v>
      </c>
      <c r="B74" s="17" t="n">
        <v>7708</v>
      </c>
      <c r="C74" s="18">
        <f>(6759.0/B74*100)</f>
        <v/>
      </c>
      <c r="D74" s="19" t="n">
        <v>949</v>
      </c>
      <c r="E74" s="18" t="n">
        <v>6.57581997</v>
      </c>
      <c r="F74" s="20" t="n">
        <v>0.71970442</v>
      </c>
      <c r="G74" s="18" t="n">
        <v>93.28541546</v>
      </c>
      <c r="H74" s="20" t="n">
        <v>0.72849826</v>
      </c>
      <c r="I74" s="18" t="n">
        <v>0</v>
      </c>
      <c r="J74" s="20" t="n">
        <v>0</v>
      </c>
      <c r="K74" s="18" t="n">
        <v>0.13876457</v>
      </c>
      <c r="L74" s="20" t="n">
        <v>0.09220839</v>
      </c>
      <c r="M74" s="18" t="n">
        <v>0</v>
      </c>
      <c r="N74" s="20" t="n">
        <v>0</v>
      </c>
      <c r="O74" s="18" t="n">
        <v>0</v>
      </c>
      <c r="P74" s="20" t="n">
        <v>0</v>
      </c>
      <c r="Q74" s="18" t="n">
        <v>0</v>
      </c>
      <c r="R74" s="20" t="n">
        <v>0</v>
      </c>
    </row>
    <row r="75" spans="1:18">
      <c r="A75" s="15" t="s">
        <v>499</v>
      </c>
      <c r="B75" s="17" t="n">
        <v>8249</v>
      </c>
      <c r="C75" s="18">
        <f>(7281.0/B75*100)</f>
        <v/>
      </c>
      <c r="D75" s="19" t="n">
        <v>968</v>
      </c>
      <c r="E75" s="18" t="n">
        <v>23.39504673</v>
      </c>
      <c r="F75" s="20" t="n">
        <v>1.72430633</v>
      </c>
      <c r="G75" s="18" t="n">
        <v>76.2078882</v>
      </c>
      <c r="H75" s="20" t="n">
        <v>1.72840415</v>
      </c>
      <c r="I75" s="18" t="n">
        <v>0</v>
      </c>
      <c r="J75" s="20" t="n">
        <v>0</v>
      </c>
      <c r="K75" s="18" t="n">
        <v>0.21155636</v>
      </c>
      <c r="L75" s="20" t="n">
        <v>0.21132459</v>
      </c>
      <c r="M75" s="18" t="n">
        <v>0</v>
      </c>
      <c r="N75" s="20" t="n">
        <v>0</v>
      </c>
      <c r="O75" s="18" t="n">
        <v>0</v>
      </c>
      <c r="P75" s="20" t="n">
        <v>0</v>
      </c>
      <c r="Q75" s="18" t="n">
        <v>0.1855087</v>
      </c>
      <c r="R75" s="20" t="n">
        <v>0.14889291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(4782.0/B77*100)</f>
        <v/>
      </c>
      <c r="D77" s="19" t="n">
        <v>593</v>
      </c>
      <c r="E77" s="18" t="n">
        <v>19.64613142</v>
      </c>
      <c r="F77" s="20" t="n">
        <v>1.5734057</v>
      </c>
      <c r="G77" s="18" t="n">
        <v>76.23054408</v>
      </c>
      <c r="H77" s="20" t="n">
        <v>1.91470767</v>
      </c>
      <c r="I77" s="18" t="n">
        <v>0</v>
      </c>
      <c r="J77" s="20" t="n">
        <v>0</v>
      </c>
      <c r="K77" s="18" t="n">
        <v>3.06942828</v>
      </c>
      <c r="L77" s="20" t="n">
        <v>0.80121306</v>
      </c>
      <c r="M77" s="18" t="n">
        <v>0</v>
      </c>
      <c r="N77" s="20" t="n">
        <v>0</v>
      </c>
      <c r="O77" s="18" t="n">
        <v>0</v>
      </c>
      <c r="P77" s="20" t="n">
        <v>0</v>
      </c>
      <c r="Q77" s="18" t="n">
        <v>1.05389622</v>
      </c>
      <c r="R77" s="20" t="n">
        <v>0.39510788</v>
      </c>
    </row>
    <row r="78" spans="1:18">
      <c r="A78" s="15" t="s">
        <v>502</v>
      </c>
      <c r="B78" s="17" t="n">
        <v>14167</v>
      </c>
      <c r="C78" s="18">
        <f>(12410.0/B78*100)</f>
        <v/>
      </c>
      <c r="D78" s="19" t="n">
        <v>1757</v>
      </c>
      <c r="E78" s="18" t="n">
        <v>21.01765376</v>
      </c>
      <c r="F78" s="20" t="n">
        <v>1.30621874</v>
      </c>
      <c r="G78" s="18" t="n">
        <v>77.75021269</v>
      </c>
      <c r="H78" s="20" t="n">
        <v>1.35497622</v>
      </c>
      <c r="I78" s="18" t="n">
        <v>0</v>
      </c>
      <c r="J78" s="20" t="n">
        <v>0</v>
      </c>
      <c r="K78" s="18" t="n">
        <v>0.7166366199999999</v>
      </c>
      <c r="L78" s="20" t="n">
        <v>0.21113932</v>
      </c>
      <c r="M78" s="18" t="n">
        <v>0</v>
      </c>
      <c r="N78" s="20" t="n">
        <v>0</v>
      </c>
      <c r="O78" s="18" t="n">
        <v>0</v>
      </c>
      <c r="P78" s="20" t="n">
        <v>0</v>
      </c>
      <c r="Q78" s="18" t="n">
        <v>0.51549693</v>
      </c>
      <c r="R78" s="20" t="n">
        <v>0.21189282</v>
      </c>
    </row>
    <row r="79" spans="1:18">
      <c r="A79" s="15" t="s">
        <v>503</v>
      </c>
      <c r="B79" s="17" t="n">
        <v>6062</v>
      </c>
      <c r="C79" s="18">
        <f>(5345.0/B79*100)</f>
        <v/>
      </c>
      <c r="D79" s="19" t="n">
        <v>717</v>
      </c>
      <c r="E79" s="18" t="n">
        <v>22.17265232</v>
      </c>
      <c r="F79" s="20" t="n">
        <v>1.73918125</v>
      </c>
      <c r="G79" s="18" t="n">
        <v>76.31470177</v>
      </c>
      <c r="H79" s="20" t="n">
        <v>1.85302223</v>
      </c>
      <c r="I79" s="18" t="n">
        <v>0</v>
      </c>
      <c r="J79" s="20" t="n">
        <v>0</v>
      </c>
      <c r="K79" s="18" t="n">
        <v>0.94481015</v>
      </c>
      <c r="L79" s="20" t="n">
        <v>0.43458757</v>
      </c>
      <c r="M79" s="18" t="n">
        <v>0</v>
      </c>
      <c r="N79" s="20" t="n">
        <v>0</v>
      </c>
      <c r="O79" s="18" t="n">
        <v>0</v>
      </c>
      <c r="P79" s="20" t="n">
        <v>0</v>
      </c>
      <c r="Q79" s="18" t="n">
        <v>0.56783575</v>
      </c>
      <c r="R79" s="20" t="n">
        <v>0.25424781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(28411.0/B82*100)</f>
        <v/>
      </c>
      <c r="D82" s="19" t="n">
        <v>3919</v>
      </c>
      <c r="E82" s="18" t="n">
        <v>11.38468309</v>
      </c>
      <c r="F82" s="20" t="n">
        <v>0.67081748</v>
      </c>
      <c r="G82" s="18" t="n">
        <v>88.38680924000001</v>
      </c>
      <c r="H82" s="20" t="n">
        <v>0.67369795</v>
      </c>
      <c r="I82" s="18" t="n">
        <v>0</v>
      </c>
      <c r="J82" s="20" t="n">
        <v>0</v>
      </c>
      <c r="K82" s="18" t="n">
        <v>0.11652829</v>
      </c>
      <c r="L82" s="20" t="n">
        <v>0.06133596</v>
      </c>
      <c r="M82" s="18" t="n">
        <v>0</v>
      </c>
      <c r="N82" s="20" t="n">
        <v>0</v>
      </c>
      <c r="O82" s="18" t="n">
        <v>0</v>
      </c>
      <c r="P82" s="20" t="n">
        <v>0</v>
      </c>
      <c r="Q82" s="18" t="n">
        <v>0.11197938</v>
      </c>
      <c r="R82" s="20" t="n">
        <v>0.07959286</v>
      </c>
    </row>
    <row r="83" spans="1:18">
      <c r="A83" s="15" t="s">
        <v>507</v>
      </c>
      <c r="B83" s="17" t="n">
        <v>1652</v>
      </c>
      <c r="C83" s="18">
        <f>(1465.0/B83*100)</f>
        <v/>
      </c>
      <c r="D83" s="19" t="n">
        <v>187</v>
      </c>
      <c r="E83" s="18" t="n">
        <v>3.7800891</v>
      </c>
      <c r="F83" s="20" t="n">
        <v>1.49935832</v>
      </c>
      <c r="G83" s="18" t="n">
        <v>95.66081318000001</v>
      </c>
      <c r="H83" s="20" t="n">
        <v>1.39147563</v>
      </c>
      <c r="I83" s="18" t="n">
        <v>0</v>
      </c>
      <c r="J83" s="20" t="n">
        <v>0</v>
      </c>
      <c r="K83" s="18" t="n">
        <v>0.55909772</v>
      </c>
      <c r="L83" s="20" t="n">
        <v>0.50696484</v>
      </c>
      <c r="M83" s="18" t="n">
        <v>0</v>
      </c>
      <c r="N83" s="20" t="n">
        <v>0</v>
      </c>
      <c r="O83" s="18" t="n">
        <v>0</v>
      </c>
      <c r="P83" s="20" t="n">
        <v>0</v>
      </c>
      <c r="Q83" s="18" t="n">
        <v>0</v>
      </c>
      <c r="R83" s="20" t="n">
        <v>0</v>
      </c>
    </row>
    <row r="84" spans="1:18">
      <c r="A84" s="23" t="s">
        <v>508</v>
      </c>
      <c r="B84" s="24" t="n">
        <v>1887</v>
      </c>
      <c r="C84" s="25">
        <f>(1664.0/B84*100)</f>
        <v/>
      </c>
      <c r="D84" s="19" t="n">
        <v>223</v>
      </c>
      <c r="E84" s="18" t="n">
        <v>8.86390701</v>
      </c>
      <c r="F84" s="20" t="n">
        <v>1.88095406</v>
      </c>
      <c r="G84" s="18" t="n">
        <v>91.13609298999999</v>
      </c>
      <c r="H84" s="20" t="n">
        <v>1.88095406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(12778.0/B7*100)</f>
        <v/>
      </c>
      <c r="D7" s="19" t="n">
        <v>1752</v>
      </c>
      <c r="E7" s="18" t="n">
        <v>17.96968812</v>
      </c>
      <c r="F7" s="20" t="n">
        <v>1.03757507</v>
      </c>
      <c r="G7" s="18" t="n">
        <v>79.82092776</v>
      </c>
      <c r="H7" s="20" t="n">
        <v>1.08934519</v>
      </c>
      <c r="I7" s="18" t="n">
        <v>0</v>
      </c>
      <c r="J7" s="20" t="n">
        <v>0</v>
      </c>
      <c r="K7" s="18" t="n">
        <v>0.41571592</v>
      </c>
      <c r="L7" s="20" t="n">
        <v>0.1780537</v>
      </c>
      <c r="M7" s="18" t="n">
        <v>0.03917875</v>
      </c>
      <c r="N7" s="20" t="n">
        <v>0.01953178</v>
      </c>
      <c r="O7" s="18" t="n">
        <v>0</v>
      </c>
      <c r="P7" s="20" t="n">
        <v>0</v>
      </c>
      <c r="Q7" s="18" t="n">
        <v>1.75448945</v>
      </c>
      <c r="R7" s="20" t="n">
        <v>0.3422267</v>
      </c>
    </row>
    <row r="8" spans="1:18">
      <c r="A8" s="15" t="s">
        <v>430</v>
      </c>
      <c r="B8" s="17" t="n">
        <v>7007</v>
      </c>
      <c r="C8" s="18">
        <f>(6102.0/B8*100)</f>
        <v/>
      </c>
      <c r="D8" s="19" t="n">
        <v>905</v>
      </c>
      <c r="E8" s="18" t="n">
        <v>31.78015593</v>
      </c>
      <c r="F8" s="20" t="n">
        <v>1.64499152</v>
      </c>
      <c r="G8" s="18" t="n">
        <v>65.45704360000001</v>
      </c>
      <c r="H8" s="20" t="n">
        <v>1.73327937</v>
      </c>
      <c r="I8" s="18" t="n">
        <v>0</v>
      </c>
      <c r="J8" s="20" t="n">
        <v>0</v>
      </c>
      <c r="K8" s="18" t="n">
        <v>0</v>
      </c>
      <c r="L8" s="20" t="n">
        <v>0</v>
      </c>
      <c r="M8" s="18" t="n">
        <v>0</v>
      </c>
      <c r="N8" s="20" t="n">
        <v>0</v>
      </c>
      <c r="O8" s="18" t="n">
        <v>0</v>
      </c>
      <c r="P8" s="20" t="n">
        <v>0</v>
      </c>
      <c r="Q8" s="18" t="n">
        <v>2.76280047</v>
      </c>
      <c r="R8" s="20" t="n">
        <v>0.69715538</v>
      </c>
    </row>
    <row r="9" spans="1:18">
      <c r="A9" s="15" t="s">
        <v>431</v>
      </c>
      <c r="B9" s="17" t="n">
        <v>9651</v>
      </c>
      <c r="C9" s="18">
        <f>(8507.0/B9*100)</f>
        <v/>
      </c>
      <c r="D9" s="19" t="n">
        <v>1144</v>
      </c>
      <c r="E9" s="18" t="n">
        <v>18.95998545</v>
      </c>
      <c r="F9" s="20" t="n">
        <v>1.14537771</v>
      </c>
      <c r="G9" s="18" t="n">
        <v>79.13700406</v>
      </c>
      <c r="H9" s="20" t="n">
        <v>1.21658336</v>
      </c>
      <c r="I9" s="18" t="n">
        <v>0</v>
      </c>
      <c r="J9" s="20" t="n">
        <v>0</v>
      </c>
      <c r="K9" s="18" t="n">
        <v>0</v>
      </c>
      <c r="L9" s="20" t="n">
        <v>0</v>
      </c>
      <c r="M9" s="18" t="n">
        <v>0.26655092</v>
      </c>
      <c r="N9" s="20" t="n">
        <v>0.08943085000000001</v>
      </c>
      <c r="O9" s="18" t="n">
        <v>0</v>
      </c>
      <c r="P9" s="20" t="n">
        <v>0</v>
      </c>
      <c r="Q9" s="18" t="n">
        <v>1.63645957</v>
      </c>
      <c r="R9" s="20" t="n">
        <v>0.30304406</v>
      </c>
    </row>
    <row r="10" spans="1:18">
      <c r="A10" s="15" t="s">
        <v>432</v>
      </c>
      <c r="B10" s="17" t="n">
        <v>20058</v>
      </c>
      <c r="C10" s="18">
        <f>(17580.0/B10*100)</f>
        <v/>
      </c>
      <c r="D10" s="19" t="n">
        <v>2478</v>
      </c>
      <c r="E10" s="18" t="n">
        <v>17.87089518</v>
      </c>
      <c r="F10" s="20" t="n">
        <v>1.10837855</v>
      </c>
      <c r="G10" s="18" t="n">
        <v>80.88840522</v>
      </c>
      <c r="H10" s="20" t="n">
        <v>1.22937747</v>
      </c>
      <c r="I10" s="18" t="n">
        <v>0</v>
      </c>
      <c r="J10" s="20" t="n">
        <v>0</v>
      </c>
      <c r="K10" s="18" t="n">
        <v>0.26997556</v>
      </c>
      <c r="L10" s="20" t="n">
        <v>0.16059701</v>
      </c>
      <c r="M10" s="18" t="n">
        <v>0</v>
      </c>
      <c r="N10" s="20" t="n">
        <v>0</v>
      </c>
      <c r="O10" s="18" t="n">
        <v>0</v>
      </c>
      <c r="P10" s="20" t="n">
        <v>0</v>
      </c>
      <c r="Q10" s="18" t="n">
        <v>0.97072403</v>
      </c>
      <c r="R10" s="20" t="n">
        <v>0.28608563</v>
      </c>
    </row>
    <row r="11" spans="1:18">
      <c r="A11" s="15" t="s">
        <v>433</v>
      </c>
      <c r="B11" s="17" t="n">
        <v>7053</v>
      </c>
      <c r="C11" s="18">
        <f>(6210.0/B11*100)</f>
        <v/>
      </c>
      <c r="D11" s="19" t="n">
        <v>843</v>
      </c>
      <c r="E11" s="18" t="n">
        <v>34.79190347</v>
      </c>
      <c r="F11" s="20" t="n">
        <v>1.99226145</v>
      </c>
      <c r="G11" s="18" t="n">
        <v>60.12617096</v>
      </c>
      <c r="H11" s="20" t="n">
        <v>1.87812546</v>
      </c>
      <c r="I11" s="18" t="n">
        <v>0</v>
      </c>
      <c r="J11" s="20" t="n">
        <v>0</v>
      </c>
      <c r="K11" s="18" t="n">
        <v>0.7019821000000001</v>
      </c>
      <c r="L11" s="20" t="n">
        <v>0.41761899</v>
      </c>
      <c r="M11" s="18" t="n">
        <v>0</v>
      </c>
      <c r="N11" s="20" t="n">
        <v>0</v>
      </c>
      <c r="O11" s="18" t="n">
        <v>0</v>
      </c>
      <c r="P11" s="20" t="n">
        <v>0</v>
      </c>
      <c r="Q11" s="18" t="n">
        <v>4.37994347</v>
      </c>
      <c r="R11" s="20" t="n">
        <v>0.78758532</v>
      </c>
    </row>
    <row r="12" spans="1:18">
      <c r="A12" s="15" t="s">
        <v>434</v>
      </c>
      <c r="B12" s="17" t="n">
        <v>6894</v>
      </c>
      <c r="C12" s="18">
        <f>(6069.0/B12*100)</f>
        <v/>
      </c>
      <c r="D12" s="19" t="n">
        <v>825</v>
      </c>
      <c r="E12" s="18" t="n">
        <v>30.79742935</v>
      </c>
      <c r="F12" s="20" t="n">
        <v>1.73049098</v>
      </c>
      <c r="G12" s="18" t="n">
        <v>66.24366426</v>
      </c>
      <c r="H12" s="20" t="n">
        <v>1.78960153</v>
      </c>
      <c r="I12" s="18" t="n">
        <v>0</v>
      </c>
      <c r="J12" s="20" t="n">
        <v>0</v>
      </c>
      <c r="K12" s="18" t="n">
        <v>0</v>
      </c>
      <c r="L12" s="20" t="n">
        <v>0</v>
      </c>
      <c r="M12" s="18" t="n">
        <v>0.09232069</v>
      </c>
      <c r="N12" s="20" t="n">
        <v>0.08959692</v>
      </c>
      <c r="O12" s="18" t="n">
        <v>0</v>
      </c>
      <c r="P12" s="20" t="n">
        <v>0</v>
      </c>
      <c r="Q12" s="18" t="n">
        <v>2.8665857</v>
      </c>
      <c r="R12" s="20" t="n">
        <v>0.75774677</v>
      </c>
    </row>
    <row r="13" spans="1:18">
      <c r="A13" s="15" t="s">
        <v>435</v>
      </c>
      <c r="B13" s="17" t="n">
        <v>7161</v>
      </c>
      <c r="C13" s="18">
        <f>(6322.0/B13*100)</f>
        <v/>
      </c>
      <c r="D13" s="19" t="n">
        <v>839</v>
      </c>
      <c r="E13" s="18" t="n">
        <v>20.32194387</v>
      </c>
      <c r="F13" s="20" t="n">
        <v>1.73550751</v>
      </c>
      <c r="G13" s="18" t="n">
        <v>77.05895695</v>
      </c>
      <c r="H13" s="20" t="n">
        <v>1.73025697</v>
      </c>
      <c r="I13" s="18" t="n">
        <v>0</v>
      </c>
      <c r="J13" s="20" t="n">
        <v>0</v>
      </c>
      <c r="K13" s="18" t="n">
        <v>0.87017232</v>
      </c>
      <c r="L13" s="20" t="n">
        <v>0.46646621</v>
      </c>
      <c r="M13" s="18" t="n">
        <v>0</v>
      </c>
      <c r="N13" s="20" t="n">
        <v>0</v>
      </c>
      <c r="O13" s="18" t="n">
        <v>0</v>
      </c>
      <c r="P13" s="20" t="n">
        <v>0</v>
      </c>
      <c r="Q13" s="18" t="n">
        <v>1.74892686</v>
      </c>
      <c r="R13" s="20" t="n">
        <v>0.47760549</v>
      </c>
    </row>
    <row r="14" spans="1:18">
      <c r="A14" s="15" t="s">
        <v>436</v>
      </c>
      <c r="B14" s="17" t="n">
        <v>5587</v>
      </c>
      <c r="C14" s="18">
        <f>(4901.0/B14*100)</f>
        <v/>
      </c>
      <c r="D14" s="19" t="n">
        <v>686</v>
      </c>
      <c r="E14" s="18" t="n">
        <v>13.70075832</v>
      </c>
      <c r="F14" s="20" t="n">
        <v>1.37341599</v>
      </c>
      <c r="G14" s="18" t="n">
        <v>85.95093550999999</v>
      </c>
      <c r="H14" s="20" t="n">
        <v>1.44229993</v>
      </c>
      <c r="I14" s="18" t="n">
        <v>0</v>
      </c>
      <c r="J14" s="20" t="n">
        <v>0</v>
      </c>
      <c r="K14" s="18" t="n">
        <v>0</v>
      </c>
      <c r="L14" s="20" t="n">
        <v>0</v>
      </c>
      <c r="M14" s="18" t="n">
        <v>0</v>
      </c>
      <c r="N14" s="20" t="n">
        <v>0</v>
      </c>
      <c r="O14" s="18" t="n">
        <v>0</v>
      </c>
      <c r="P14" s="20" t="n">
        <v>0</v>
      </c>
      <c r="Q14" s="18" t="n">
        <v>0.34830617</v>
      </c>
      <c r="R14" s="20" t="n">
        <v>0.250521</v>
      </c>
    </row>
    <row r="15" spans="1:18">
      <c r="A15" s="15" t="s">
        <v>437</v>
      </c>
      <c r="B15" s="17" t="n">
        <v>5882</v>
      </c>
      <c r="C15" s="18">
        <f>(5174.0/B15*100)</f>
        <v/>
      </c>
      <c r="D15" s="19" t="n">
        <v>708</v>
      </c>
      <c r="E15" s="18" t="n">
        <v>18.03730697</v>
      </c>
      <c r="F15" s="20" t="n">
        <v>1.39720777</v>
      </c>
      <c r="G15" s="18" t="n">
        <v>80.2030089</v>
      </c>
      <c r="H15" s="20" t="n">
        <v>1.51766999</v>
      </c>
      <c r="I15" s="18" t="n">
        <v>0</v>
      </c>
      <c r="J15" s="20" t="n">
        <v>0</v>
      </c>
      <c r="K15" s="18" t="n">
        <v>0.2574687</v>
      </c>
      <c r="L15" s="20" t="n">
        <v>0.18338209</v>
      </c>
      <c r="M15" s="18" t="n">
        <v>0</v>
      </c>
      <c r="N15" s="20" t="n">
        <v>0</v>
      </c>
      <c r="O15" s="18" t="n">
        <v>0</v>
      </c>
      <c r="P15" s="20" t="n">
        <v>0</v>
      </c>
      <c r="Q15" s="18" t="n">
        <v>1.50221543</v>
      </c>
      <c r="R15" s="20" t="n">
        <v>0.5191481999999999</v>
      </c>
    </row>
    <row r="16" spans="1:18">
      <c r="A16" s="15" t="s">
        <v>438</v>
      </c>
      <c r="B16" s="17" t="n">
        <v>6108</v>
      </c>
      <c r="C16" s="18">
        <f>(5381.0/B16*100)</f>
        <v/>
      </c>
      <c r="D16" s="19" t="n">
        <v>727</v>
      </c>
      <c r="E16" s="18" t="n">
        <v>28.10960672</v>
      </c>
      <c r="F16" s="20" t="n">
        <v>1.64676243</v>
      </c>
      <c r="G16" s="18" t="n">
        <v>68.59113123</v>
      </c>
      <c r="H16" s="20" t="n">
        <v>1.78073879</v>
      </c>
      <c r="I16" s="18" t="n">
        <v>0</v>
      </c>
      <c r="J16" s="20" t="n">
        <v>0</v>
      </c>
      <c r="K16" s="18" t="n">
        <v>1.22286693</v>
      </c>
      <c r="L16" s="20" t="n">
        <v>0.45348837</v>
      </c>
      <c r="M16" s="18" t="n">
        <v>0</v>
      </c>
      <c r="N16" s="20" t="n">
        <v>0</v>
      </c>
      <c r="O16" s="18" t="n">
        <v>0</v>
      </c>
      <c r="P16" s="20" t="n">
        <v>0</v>
      </c>
      <c r="Q16" s="18" t="n">
        <v>2.07639513</v>
      </c>
      <c r="R16" s="20" t="n">
        <v>0.50605331</v>
      </c>
    </row>
    <row r="17" spans="1:18">
      <c r="A17" s="15" t="s">
        <v>439</v>
      </c>
      <c r="B17" s="17" t="n">
        <v>6504</v>
      </c>
      <c r="C17" s="18">
        <f>(5739.0/B17*100)</f>
        <v/>
      </c>
      <c r="D17" s="19" t="n">
        <v>765</v>
      </c>
      <c r="E17" s="18" t="n">
        <v>17.09817699</v>
      </c>
      <c r="F17" s="20" t="n">
        <v>1.38531826</v>
      </c>
      <c r="G17" s="18" t="n">
        <v>80.03890115</v>
      </c>
      <c r="H17" s="20" t="n">
        <v>1.36001546</v>
      </c>
      <c r="I17" s="18" t="n">
        <v>0</v>
      </c>
      <c r="J17" s="20" t="n">
        <v>0</v>
      </c>
      <c r="K17" s="18" t="n">
        <v>0.35591794</v>
      </c>
      <c r="L17" s="20" t="n">
        <v>0.21137837</v>
      </c>
      <c r="M17" s="18" t="n">
        <v>0</v>
      </c>
      <c r="N17" s="20" t="n">
        <v>0</v>
      </c>
      <c r="O17" s="18" t="n">
        <v>0</v>
      </c>
      <c r="P17" s="20" t="n">
        <v>0</v>
      </c>
      <c r="Q17" s="18" t="n">
        <v>2.50700392</v>
      </c>
      <c r="R17" s="20" t="n">
        <v>0.62415912</v>
      </c>
    </row>
    <row r="18" spans="1:18">
      <c r="A18" s="15" t="s">
        <v>440</v>
      </c>
      <c r="B18" s="17" t="n">
        <v>5532</v>
      </c>
      <c r="C18" s="18">
        <f>(4853.0/B18*100)</f>
        <v/>
      </c>
      <c r="D18" s="19" t="n">
        <v>679</v>
      </c>
      <c r="E18" s="18" t="n">
        <v>35.51486037</v>
      </c>
      <c r="F18" s="20" t="n">
        <v>2.2437095</v>
      </c>
      <c r="G18" s="18" t="n">
        <v>60.35033697</v>
      </c>
      <c r="H18" s="20" t="n">
        <v>2.58270026</v>
      </c>
      <c r="I18" s="18" t="n">
        <v>0</v>
      </c>
      <c r="J18" s="20" t="n">
        <v>0</v>
      </c>
      <c r="K18" s="18" t="n">
        <v>0.77314684</v>
      </c>
      <c r="L18" s="20" t="n">
        <v>0.41314149</v>
      </c>
      <c r="M18" s="18" t="n">
        <v>0</v>
      </c>
      <c r="N18" s="20" t="n">
        <v>0</v>
      </c>
      <c r="O18" s="18" t="n">
        <v>0</v>
      </c>
      <c r="P18" s="20" t="n">
        <v>0</v>
      </c>
      <c r="Q18" s="18" t="n">
        <v>3.36165583</v>
      </c>
      <c r="R18" s="20" t="n">
        <v>1.06397419</v>
      </c>
    </row>
    <row r="19" spans="1:18">
      <c r="A19" s="15" t="s">
        <v>441</v>
      </c>
      <c r="B19" s="17" t="n">
        <v>5658</v>
      </c>
      <c r="C19" s="18">
        <f>(4955.0/B19*100)</f>
        <v/>
      </c>
      <c r="D19" s="19" t="n">
        <v>703</v>
      </c>
      <c r="E19" s="18" t="n">
        <v>24.39950735</v>
      </c>
      <c r="F19" s="20" t="n">
        <v>1.64008915</v>
      </c>
      <c r="G19" s="18" t="n">
        <v>72.73355956</v>
      </c>
      <c r="H19" s="20" t="n">
        <v>1.55960651</v>
      </c>
      <c r="I19" s="18" t="n">
        <v>0</v>
      </c>
      <c r="J19" s="20" t="n">
        <v>0</v>
      </c>
      <c r="K19" s="18" t="n">
        <v>0</v>
      </c>
      <c r="L19" s="20" t="n">
        <v>0</v>
      </c>
      <c r="M19" s="18" t="n">
        <v>0</v>
      </c>
      <c r="N19" s="20" t="n">
        <v>0</v>
      </c>
      <c r="O19" s="18" t="n">
        <v>0</v>
      </c>
      <c r="P19" s="20" t="n">
        <v>0</v>
      </c>
      <c r="Q19" s="18" t="n">
        <v>2.86693309</v>
      </c>
      <c r="R19" s="20" t="n">
        <v>0.95475322</v>
      </c>
    </row>
    <row r="20" spans="1:18">
      <c r="A20" s="15" t="s">
        <v>442</v>
      </c>
      <c r="B20" s="17" t="n">
        <v>3371</v>
      </c>
      <c r="C20" s="18">
        <f>(2965.0/B20*100)</f>
        <v/>
      </c>
      <c r="D20" s="19" t="n">
        <v>406</v>
      </c>
      <c r="E20" s="18" t="n">
        <v>25.61105635</v>
      </c>
      <c r="F20" s="20" t="n">
        <v>2.47938141</v>
      </c>
      <c r="G20" s="18" t="n">
        <v>71.67856990999999</v>
      </c>
      <c r="H20" s="20" t="n">
        <v>2.69653002</v>
      </c>
      <c r="I20" s="18" t="n">
        <v>0</v>
      </c>
      <c r="J20" s="20" t="n">
        <v>0</v>
      </c>
      <c r="K20" s="18" t="n">
        <v>0.52138485</v>
      </c>
      <c r="L20" s="20" t="n">
        <v>0.35727799</v>
      </c>
      <c r="M20" s="18" t="n">
        <v>0.3817355</v>
      </c>
      <c r="N20" s="20" t="n">
        <v>0.27578246</v>
      </c>
      <c r="O20" s="18" t="n">
        <v>0</v>
      </c>
      <c r="P20" s="20" t="n">
        <v>0</v>
      </c>
      <c r="Q20" s="18" t="n">
        <v>1.80725339</v>
      </c>
      <c r="R20" s="20" t="n">
        <v>0.75771997</v>
      </c>
    </row>
    <row r="21" spans="1:18">
      <c r="A21" s="15" t="s">
        <v>443</v>
      </c>
      <c r="B21" s="17" t="n">
        <v>5741</v>
      </c>
      <c r="C21" s="18">
        <f>(4784.0/B21*100)</f>
        <v/>
      </c>
      <c r="D21" s="19" t="n">
        <v>957</v>
      </c>
      <c r="E21" s="18" t="n">
        <v>21.2451228</v>
      </c>
      <c r="F21" s="20" t="n">
        <v>1.60953018</v>
      </c>
      <c r="G21" s="18" t="n">
        <v>78.06184417999999</v>
      </c>
      <c r="H21" s="20" t="n">
        <v>1.66658203</v>
      </c>
      <c r="I21" s="18" t="n">
        <v>0</v>
      </c>
      <c r="J21" s="20" t="n">
        <v>0</v>
      </c>
      <c r="K21" s="18" t="n">
        <v>0</v>
      </c>
      <c r="L21" s="20" t="n">
        <v>0</v>
      </c>
      <c r="M21" s="18" t="n">
        <v>0</v>
      </c>
      <c r="N21" s="20" t="n">
        <v>0</v>
      </c>
      <c r="O21" s="18" t="n">
        <v>0</v>
      </c>
      <c r="P21" s="20" t="n">
        <v>0</v>
      </c>
      <c r="Q21" s="18" t="n">
        <v>0.69303302</v>
      </c>
      <c r="R21" s="20" t="n">
        <v>0.25830168</v>
      </c>
    </row>
    <row r="22" spans="1:18">
      <c r="A22" s="15" t="s">
        <v>444</v>
      </c>
      <c r="B22" s="17" t="n">
        <v>6598</v>
      </c>
      <c r="C22" s="18">
        <f>(5772.0/B22*100)</f>
        <v/>
      </c>
      <c r="D22" s="19" t="n">
        <v>826</v>
      </c>
      <c r="E22" s="18" t="n">
        <v>37.68306913</v>
      </c>
      <c r="F22" s="20" t="n">
        <v>1.69546225</v>
      </c>
      <c r="G22" s="18" t="n">
        <v>57.80089456</v>
      </c>
      <c r="H22" s="20" t="n">
        <v>1.734888</v>
      </c>
      <c r="I22" s="18" t="n">
        <v>0</v>
      </c>
      <c r="J22" s="20" t="n">
        <v>0</v>
      </c>
      <c r="K22" s="18" t="n">
        <v>0.80680638</v>
      </c>
      <c r="L22" s="20" t="n">
        <v>0.33839082</v>
      </c>
      <c r="M22" s="18" t="n">
        <v>0</v>
      </c>
      <c r="N22" s="20" t="n">
        <v>0</v>
      </c>
      <c r="O22" s="18" t="n">
        <v>0</v>
      </c>
      <c r="P22" s="20" t="n">
        <v>0</v>
      </c>
      <c r="Q22" s="18" t="n">
        <v>3.70922993</v>
      </c>
      <c r="R22" s="20" t="n">
        <v>0.71737388</v>
      </c>
    </row>
    <row r="23" spans="1:18">
      <c r="A23" s="15" t="s">
        <v>445</v>
      </c>
      <c r="B23" s="17" t="n">
        <v>11583</v>
      </c>
      <c r="C23" s="18">
        <f>(10131.0/B23*100)</f>
        <v/>
      </c>
      <c r="D23" s="19" t="n">
        <v>1452</v>
      </c>
      <c r="E23" s="18" t="n">
        <v>30.7360703</v>
      </c>
      <c r="F23" s="20" t="n">
        <v>1.97692352</v>
      </c>
      <c r="G23" s="18" t="n">
        <v>64.94062189</v>
      </c>
      <c r="H23" s="20" t="n">
        <v>2.06080417</v>
      </c>
      <c r="I23" s="18" t="n">
        <v>0</v>
      </c>
      <c r="J23" s="20" t="n">
        <v>0</v>
      </c>
      <c r="K23" s="18" t="n">
        <v>0.42816916</v>
      </c>
      <c r="L23" s="20" t="n">
        <v>0.27621031</v>
      </c>
      <c r="M23" s="18" t="n">
        <v>0.33474696</v>
      </c>
      <c r="N23" s="20" t="n">
        <v>0.17993073</v>
      </c>
      <c r="O23" s="18" t="n">
        <v>0</v>
      </c>
      <c r="P23" s="20" t="n">
        <v>0</v>
      </c>
      <c r="Q23" s="18" t="n">
        <v>3.56039168</v>
      </c>
      <c r="R23" s="20" t="n">
        <v>0.74459537</v>
      </c>
    </row>
    <row r="24" spans="1:18">
      <c r="A24" s="15" t="s">
        <v>446</v>
      </c>
      <c r="B24" s="17" t="n">
        <v>6647</v>
      </c>
      <c r="C24" s="18">
        <f>(5884.0/B24*100)</f>
        <v/>
      </c>
      <c r="D24" s="19" t="n">
        <v>763</v>
      </c>
      <c r="E24" s="18" t="n">
        <v>8.453595160000001</v>
      </c>
      <c r="F24" s="20" t="n">
        <v>1.104101</v>
      </c>
      <c r="G24" s="18" t="n">
        <v>88.48610530000001</v>
      </c>
      <c r="H24" s="20" t="n">
        <v>1.19401938</v>
      </c>
      <c r="I24" s="18" t="n">
        <v>0</v>
      </c>
      <c r="J24" s="20" t="n">
        <v>0</v>
      </c>
      <c r="K24" s="18" t="n">
        <v>0.24250721</v>
      </c>
      <c r="L24" s="20" t="n">
        <v>0.17205667</v>
      </c>
      <c r="M24" s="18" t="n">
        <v>0</v>
      </c>
      <c r="N24" s="20" t="n">
        <v>0</v>
      </c>
      <c r="O24" s="18" t="n">
        <v>0</v>
      </c>
      <c r="P24" s="20" t="n">
        <v>0</v>
      </c>
      <c r="Q24" s="18" t="n">
        <v>2.81779234</v>
      </c>
      <c r="R24" s="20" t="n">
        <v>0.63442877</v>
      </c>
    </row>
    <row r="25" spans="1:18">
      <c r="A25" s="15" t="s">
        <v>447</v>
      </c>
      <c r="B25" s="17" t="n">
        <v>5581</v>
      </c>
      <c r="C25" s="18">
        <f>(4891.0/B25*100)</f>
        <v/>
      </c>
      <c r="D25" s="19" t="n">
        <v>690</v>
      </c>
      <c r="E25" s="18" t="n">
        <v>13.5175516</v>
      </c>
      <c r="F25" s="20" t="n">
        <v>1.30609453</v>
      </c>
      <c r="G25" s="18" t="n">
        <v>83.74076032000001</v>
      </c>
      <c r="H25" s="20" t="n">
        <v>1.48045443</v>
      </c>
      <c r="I25" s="18" t="n">
        <v>0</v>
      </c>
      <c r="J25" s="20" t="n">
        <v>0</v>
      </c>
      <c r="K25" s="18" t="n">
        <v>0.69150238</v>
      </c>
      <c r="L25" s="20" t="n">
        <v>0.3177594</v>
      </c>
      <c r="M25" s="18" t="n">
        <v>0</v>
      </c>
      <c r="N25" s="20" t="n">
        <v>0</v>
      </c>
      <c r="O25" s="18" t="n">
        <v>0</v>
      </c>
      <c r="P25" s="20" t="n">
        <v>0</v>
      </c>
      <c r="Q25" s="18" t="n">
        <v>2.0501857</v>
      </c>
      <c r="R25" s="20" t="n">
        <v>0.59330077</v>
      </c>
    </row>
    <row r="26" spans="1:18">
      <c r="A26" s="15" t="s">
        <v>448</v>
      </c>
      <c r="B26" s="17" t="n">
        <v>4869</v>
      </c>
      <c r="C26" s="18">
        <f>(4270.0/B26*100)</f>
        <v/>
      </c>
      <c r="D26" s="19" t="n">
        <v>599</v>
      </c>
      <c r="E26" s="18" t="n">
        <v>17.43535239</v>
      </c>
      <c r="F26" s="20" t="n">
        <v>1.50464894</v>
      </c>
      <c r="G26" s="18" t="n">
        <v>81.70749498000001</v>
      </c>
      <c r="H26" s="20" t="n">
        <v>1.54210914</v>
      </c>
      <c r="I26" s="18" t="n">
        <v>0</v>
      </c>
      <c r="J26" s="20" t="n">
        <v>0</v>
      </c>
      <c r="K26" s="18" t="n">
        <v>0.15582242</v>
      </c>
      <c r="L26" s="20" t="n">
        <v>0.15415536</v>
      </c>
      <c r="M26" s="18" t="n">
        <v>0.11565689</v>
      </c>
      <c r="N26" s="20" t="n">
        <v>0.11590822</v>
      </c>
      <c r="O26" s="18" t="n">
        <v>0</v>
      </c>
      <c r="P26" s="20" t="n">
        <v>0</v>
      </c>
      <c r="Q26" s="18" t="n">
        <v>0.58567333</v>
      </c>
      <c r="R26" s="20" t="n">
        <v>0.29047986</v>
      </c>
    </row>
    <row r="27" spans="1:18">
      <c r="A27" s="15" t="s">
        <v>449</v>
      </c>
      <c r="B27" s="17" t="n">
        <v>5299</v>
      </c>
      <c r="C27" s="18">
        <f>(4641.0/B27*100)</f>
        <v/>
      </c>
      <c r="D27" s="19" t="n">
        <v>658</v>
      </c>
      <c r="E27" s="18" t="n">
        <v>31.73516542</v>
      </c>
      <c r="F27" s="20" t="n">
        <v>2.0384609</v>
      </c>
      <c r="G27" s="18" t="n">
        <v>64.52832124</v>
      </c>
      <c r="H27" s="20" t="n">
        <v>2.11031266</v>
      </c>
      <c r="I27" s="18" t="n">
        <v>0</v>
      </c>
      <c r="J27" s="20" t="n">
        <v>0</v>
      </c>
      <c r="K27" s="18" t="n">
        <v>0.32331816</v>
      </c>
      <c r="L27" s="20" t="n">
        <v>0.22353466</v>
      </c>
      <c r="M27" s="18" t="n">
        <v>0</v>
      </c>
      <c r="N27" s="20" t="n">
        <v>0</v>
      </c>
      <c r="O27" s="18" t="n">
        <v>0</v>
      </c>
      <c r="P27" s="20" t="n">
        <v>0</v>
      </c>
      <c r="Q27" s="18" t="n">
        <v>3.41319518</v>
      </c>
      <c r="R27" s="20" t="n">
        <v>0.78096679</v>
      </c>
    </row>
    <row r="28" spans="1:18">
      <c r="A28" s="15" t="s">
        <v>450</v>
      </c>
      <c r="B28" s="17" t="n">
        <v>7568</v>
      </c>
      <c r="C28" s="18">
        <f>(6693.0/B28*100)</f>
        <v/>
      </c>
      <c r="D28" s="19" t="n">
        <v>875</v>
      </c>
      <c r="E28" s="18" t="n">
        <v>37.44582572</v>
      </c>
      <c r="F28" s="20" t="n">
        <v>1.85338227</v>
      </c>
      <c r="G28" s="18" t="n">
        <v>59.89243282</v>
      </c>
      <c r="H28" s="20" t="n">
        <v>1.85155695</v>
      </c>
      <c r="I28" s="18" t="n">
        <v>0</v>
      </c>
      <c r="J28" s="20" t="n">
        <v>0</v>
      </c>
      <c r="K28" s="18" t="n">
        <v>0.55982846</v>
      </c>
      <c r="L28" s="20" t="n">
        <v>0.29679261</v>
      </c>
      <c r="M28" s="18" t="n">
        <v>0.09407422999999999</v>
      </c>
      <c r="N28" s="20" t="n">
        <v>0.09371404999999999</v>
      </c>
      <c r="O28" s="18" t="n">
        <v>0</v>
      </c>
      <c r="P28" s="20" t="n">
        <v>0</v>
      </c>
      <c r="Q28" s="18" t="n">
        <v>2.00783877</v>
      </c>
      <c r="R28" s="20" t="n">
        <v>0.5627723</v>
      </c>
    </row>
    <row r="29" spans="1:18">
      <c r="A29" s="15" t="s">
        <v>451</v>
      </c>
      <c r="B29" s="17" t="n">
        <v>5385</v>
      </c>
      <c r="C29" s="18">
        <f>(4748.0/B29*100)</f>
        <v/>
      </c>
      <c r="D29" s="19" t="n">
        <v>637</v>
      </c>
      <c r="E29" s="18" t="n">
        <v>14.53605708</v>
      </c>
      <c r="F29" s="20" t="n">
        <v>1.56534463</v>
      </c>
      <c r="G29" s="18" t="n">
        <v>84.81599464999999</v>
      </c>
      <c r="H29" s="20" t="n">
        <v>1.66433724</v>
      </c>
      <c r="I29" s="18" t="n">
        <v>0</v>
      </c>
      <c r="J29" s="20" t="n">
        <v>0</v>
      </c>
      <c r="K29" s="18" t="n">
        <v>0.2010417</v>
      </c>
      <c r="L29" s="20" t="n">
        <v>0.198841</v>
      </c>
      <c r="M29" s="18" t="n">
        <v>0</v>
      </c>
      <c r="N29" s="20" t="n">
        <v>0</v>
      </c>
      <c r="O29" s="18" t="n">
        <v>0</v>
      </c>
      <c r="P29" s="20" t="n">
        <v>0</v>
      </c>
      <c r="Q29" s="18" t="n">
        <v>0.44690656</v>
      </c>
      <c r="R29" s="20" t="n">
        <v>0.26632232</v>
      </c>
    </row>
    <row r="30" spans="1:18">
      <c r="A30" s="15" t="s">
        <v>452</v>
      </c>
      <c r="B30" s="17" t="n">
        <v>4520</v>
      </c>
      <c r="C30" s="18">
        <f>(4005.0/B30*100)</f>
        <v/>
      </c>
      <c r="D30" s="19" t="n">
        <v>515</v>
      </c>
      <c r="E30" s="18" t="n">
        <v>16.94504907</v>
      </c>
      <c r="F30" s="20" t="n">
        <v>1.56420841</v>
      </c>
      <c r="G30" s="18" t="n">
        <v>81.13266871</v>
      </c>
      <c r="H30" s="20" t="n">
        <v>1.54626934</v>
      </c>
      <c r="I30" s="18" t="n">
        <v>0</v>
      </c>
      <c r="J30" s="20" t="n">
        <v>0</v>
      </c>
      <c r="K30" s="18" t="n">
        <v>0.17716395</v>
      </c>
      <c r="L30" s="20" t="n">
        <v>0.18261292</v>
      </c>
      <c r="M30" s="18" t="n">
        <v>0</v>
      </c>
      <c r="N30" s="20" t="n">
        <v>0</v>
      </c>
      <c r="O30" s="18" t="n">
        <v>0</v>
      </c>
      <c r="P30" s="20" t="n">
        <v>0</v>
      </c>
      <c r="Q30" s="18" t="n">
        <v>1.74511828</v>
      </c>
      <c r="R30" s="20" t="n">
        <v>0.59895673</v>
      </c>
    </row>
    <row r="31" spans="1:18">
      <c r="A31" s="15" t="s">
        <v>453</v>
      </c>
      <c r="B31" s="17" t="n">
        <v>5456</v>
      </c>
      <c r="C31" s="18">
        <f>(4801.0/B31*100)</f>
        <v/>
      </c>
      <c r="D31" s="19" t="n">
        <v>655</v>
      </c>
      <c r="E31" s="18" t="n">
        <v>17.55776689</v>
      </c>
      <c r="F31" s="20" t="n">
        <v>1.60738576</v>
      </c>
      <c r="G31" s="18" t="n">
        <v>80.49033609999999</v>
      </c>
      <c r="H31" s="20" t="n">
        <v>1.61577043</v>
      </c>
      <c r="I31" s="18" t="n">
        <v>0</v>
      </c>
      <c r="J31" s="20" t="n">
        <v>0</v>
      </c>
      <c r="K31" s="18" t="n">
        <v>0.61121367</v>
      </c>
      <c r="L31" s="20" t="n">
        <v>0.31983508</v>
      </c>
      <c r="M31" s="18" t="n">
        <v>0</v>
      </c>
      <c r="N31" s="20" t="n">
        <v>0</v>
      </c>
      <c r="O31" s="18" t="n">
        <v>0</v>
      </c>
      <c r="P31" s="20" t="n">
        <v>0</v>
      </c>
      <c r="Q31" s="18" t="n">
        <v>1.34068334</v>
      </c>
      <c r="R31" s="20" t="n">
        <v>0.5025285</v>
      </c>
    </row>
    <row r="32" spans="1:18">
      <c r="A32" s="15" t="s">
        <v>454</v>
      </c>
      <c r="B32" s="17" t="n">
        <v>4478</v>
      </c>
      <c r="C32" s="18">
        <f>(3735.0/B32*100)</f>
        <v/>
      </c>
      <c r="D32" s="19" t="n">
        <v>743</v>
      </c>
      <c r="E32" s="18" t="n">
        <v>21.18011859</v>
      </c>
      <c r="F32" s="20" t="n">
        <v>1.71095981</v>
      </c>
      <c r="G32" s="18" t="n">
        <v>75.66900965000001</v>
      </c>
      <c r="H32" s="20" t="n">
        <v>1.79540234</v>
      </c>
      <c r="I32" s="18" t="n">
        <v>0</v>
      </c>
      <c r="J32" s="20" t="n">
        <v>0</v>
      </c>
      <c r="K32" s="18" t="n">
        <v>0.12994118</v>
      </c>
      <c r="L32" s="20" t="n">
        <v>0.12231666</v>
      </c>
      <c r="M32" s="18" t="n">
        <v>0.12659805</v>
      </c>
      <c r="N32" s="20" t="n">
        <v>0.12643158</v>
      </c>
      <c r="O32" s="18" t="n">
        <v>0</v>
      </c>
      <c r="P32" s="20" t="n">
        <v>0</v>
      </c>
      <c r="Q32" s="18" t="n">
        <v>2.89433253</v>
      </c>
      <c r="R32" s="20" t="n">
        <v>0.64716029</v>
      </c>
    </row>
    <row r="33" spans="1:18">
      <c r="A33" s="15" t="s">
        <v>455</v>
      </c>
      <c r="B33" s="17" t="n">
        <v>7325</v>
      </c>
      <c r="C33" s="18">
        <f>(6444.0/B33*100)</f>
        <v/>
      </c>
      <c r="D33" s="19" t="n">
        <v>881</v>
      </c>
      <c r="E33" s="18" t="n">
        <v>28.14474275</v>
      </c>
      <c r="F33" s="20" t="n">
        <v>1.9448345</v>
      </c>
      <c r="G33" s="18" t="n">
        <v>70.35809279</v>
      </c>
      <c r="H33" s="20" t="n">
        <v>2.08500441</v>
      </c>
      <c r="I33" s="18" t="n">
        <v>0</v>
      </c>
      <c r="J33" s="20" t="n">
        <v>0</v>
      </c>
      <c r="K33" s="18" t="n">
        <v>0.1880412</v>
      </c>
      <c r="L33" s="20" t="n">
        <v>0.13273491</v>
      </c>
      <c r="M33" s="18" t="n">
        <v>0</v>
      </c>
      <c r="N33" s="20" t="n">
        <v>0</v>
      </c>
      <c r="O33" s="18" t="n">
        <v>0</v>
      </c>
      <c r="P33" s="20" t="n">
        <v>0</v>
      </c>
      <c r="Q33" s="18" t="n">
        <v>1.30912326</v>
      </c>
      <c r="R33" s="20" t="n">
        <v>0.40353346</v>
      </c>
    </row>
    <row r="34" spans="1:18">
      <c r="A34" s="15" t="s">
        <v>456</v>
      </c>
      <c r="B34" s="17" t="n">
        <v>6350</v>
      </c>
      <c r="C34" s="18">
        <f>(5605.0/B34*100)</f>
        <v/>
      </c>
      <c r="D34" s="19" t="n">
        <v>745</v>
      </c>
      <c r="E34" s="18" t="n">
        <v>36.16999857</v>
      </c>
      <c r="F34" s="20" t="n">
        <v>1.89450511</v>
      </c>
      <c r="G34" s="18" t="n">
        <v>60.77915207</v>
      </c>
      <c r="H34" s="20" t="n">
        <v>1.82971286</v>
      </c>
      <c r="I34" s="18" t="n">
        <v>0</v>
      </c>
      <c r="J34" s="20" t="n">
        <v>0</v>
      </c>
      <c r="K34" s="18" t="n">
        <v>0.22044992</v>
      </c>
      <c r="L34" s="20" t="n">
        <v>0.13120327</v>
      </c>
      <c r="M34" s="18" t="n">
        <v>0.11884104</v>
      </c>
      <c r="N34" s="20" t="n">
        <v>0.11908354</v>
      </c>
      <c r="O34" s="18" t="n">
        <v>0</v>
      </c>
      <c r="P34" s="20" t="n">
        <v>0</v>
      </c>
      <c r="Q34" s="18" t="n">
        <v>2.71155841</v>
      </c>
      <c r="R34" s="20" t="n">
        <v>0.59523322</v>
      </c>
    </row>
    <row r="35" spans="1:18">
      <c r="A35" s="15" t="s">
        <v>457</v>
      </c>
      <c r="B35" s="17" t="n">
        <v>6406</v>
      </c>
      <c r="C35" s="18">
        <f>(5647.0/B35*100)</f>
        <v/>
      </c>
      <c r="D35" s="19" t="n">
        <v>759</v>
      </c>
      <c r="E35" s="18" t="n">
        <v>36.98264332</v>
      </c>
      <c r="F35" s="20" t="n">
        <v>2.11359675</v>
      </c>
      <c r="G35" s="18" t="n">
        <v>59.97515818</v>
      </c>
      <c r="H35" s="20" t="n">
        <v>2.28897527</v>
      </c>
      <c r="I35" s="18" t="n">
        <v>0</v>
      </c>
      <c r="J35" s="20" t="n">
        <v>0</v>
      </c>
      <c r="K35" s="18" t="n">
        <v>0</v>
      </c>
      <c r="L35" s="20" t="n">
        <v>0</v>
      </c>
      <c r="M35" s="18" t="n">
        <v>0.2287293</v>
      </c>
      <c r="N35" s="20" t="n">
        <v>0.22771874</v>
      </c>
      <c r="O35" s="18" t="n">
        <v>0</v>
      </c>
      <c r="P35" s="20" t="n">
        <v>0</v>
      </c>
      <c r="Q35" s="18" t="n">
        <v>2.8134692</v>
      </c>
      <c r="R35" s="20" t="n">
        <v>0.8533994</v>
      </c>
    </row>
    <row r="36" spans="1:18">
      <c r="A36" s="15" t="s">
        <v>458</v>
      </c>
      <c r="B36" s="17" t="n">
        <v>6736</v>
      </c>
      <c r="C36" s="18">
        <f>(5922.0/B36*100)</f>
        <v/>
      </c>
      <c r="D36" s="19" t="n">
        <v>814</v>
      </c>
      <c r="E36" s="18" t="n">
        <v>31.01730565</v>
      </c>
      <c r="F36" s="20" t="n">
        <v>1.66019514</v>
      </c>
      <c r="G36" s="18" t="n">
        <v>66.46587404</v>
      </c>
      <c r="H36" s="20" t="n">
        <v>1.89586787</v>
      </c>
      <c r="I36" s="18" t="n">
        <v>0</v>
      </c>
      <c r="J36" s="20" t="n">
        <v>0</v>
      </c>
      <c r="K36" s="18" t="n">
        <v>0.09360855</v>
      </c>
      <c r="L36" s="20" t="n">
        <v>0.09127232</v>
      </c>
      <c r="M36" s="18" t="n">
        <v>0</v>
      </c>
      <c r="N36" s="20" t="n">
        <v>0</v>
      </c>
      <c r="O36" s="18" t="n">
        <v>0</v>
      </c>
      <c r="P36" s="20" t="n">
        <v>0</v>
      </c>
      <c r="Q36" s="18" t="n">
        <v>2.42321177</v>
      </c>
      <c r="R36" s="20" t="n">
        <v>0.7261964</v>
      </c>
    </row>
    <row r="37" spans="1:18">
      <c r="A37" s="15" t="s">
        <v>459</v>
      </c>
      <c r="B37" s="17" t="n">
        <v>5458</v>
      </c>
      <c r="C37" s="18">
        <f>(4782.0/B37*100)</f>
        <v/>
      </c>
      <c r="D37" s="19" t="n">
        <v>676</v>
      </c>
      <c r="E37" s="18" t="n">
        <v>21.54952351</v>
      </c>
      <c r="F37" s="20" t="n">
        <v>1.71363066</v>
      </c>
      <c r="G37" s="18" t="n">
        <v>73.64898271</v>
      </c>
      <c r="H37" s="20" t="n">
        <v>1.94236498</v>
      </c>
      <c r="I37" s="18" t="n">
        <v>0</v>
      </c>
      <c r="J37" s="20" t="n">
        <v>0</v>
      </c>
      <c r="K37" s="18" t="n">
        <v>0.28703795</v>
      </c>
      <c r="L37" s="20" t="n">
        <v>0.24156921</v>
      </c>
      <c r="M37" s="18" t="n">
        <v>0</v>
      </c>
      <c r="N37" s="20" t="n">
        <v>0</v>
      </c>
      <c r="O37" s="18" t="n">
        <v>0</v>
      </c>
      <c r="P37" s="20" t="n">
        <v>0</v>
      </c>
      <c r="Q37" s="18" t="n">
        <v>4.51445582</v>
      </c>
      <c r="R37" s="20" t="n">
        <v>0.85494887</v>
      </c>
    </row>
    <row r="38" spans="1:18">
      <c r="A38" s="15" t="s">
        <v>460</v>
      </c>
      <c r="B38" s="17" t="n">
        <v>5860</v>
      </c>
      <c r="C38" s="18">
        <f>(4870.0/B38*100)</f>
        <v/>
      </c>
      <c r="D38" s="19" t="n">
        <v>990</v>
      </c>
      <c r="E38" s="18" t="n">
        <v>27.04203346</v>
      </c>
      <c r="F38" s="20" t="n">
        <v>1.55447065</v>
      </c>
      <c r="G38" s="18" t="n">
        <v>68.50559225000001</v>
      </c>
      <c r="H38" s="20" t="n">
        <v>1.80313342</v>
      </c>
      <c r="I38" s="18" t="n">
        <v>0</v>
      </c>
      <c r="J38" s="20" t="n">
        <v>0</v>
      </c>
      <c r="K38" s="18" t="n">
        <v>0.45220635</v>
      </c>
      <c r="L38" s="20" t="n">
        <v>0.21778316</v>
      </c>
      <c r="M38" s="18" t="n">
        <v>0</v>
      </c>
      <c r="N38" s="20" t="n">
        <v>0</v>
      </c>
      <c r="O38" s="18" t="n">
        <v>0</v>
      </c>
      <c r="P38" s="20" t="n">
        <v>0</v>
      </c>
      <c r="Q38" s="18" t="n">
        <v>4.00016793</v>
      </c>
      <c r="R38" s="20" t="n">
        <v>0.83074669</v>
      </c>
    </row>
    <row r="39" spans="1:18">
      <c r="A39" s="15" t="s">
        <v>461</v>
      </c>
      <c r="B39" s="17" t="n">
        <v>5895</v>
      </c>
      <c r="C39" s="18">
        <f>(5174.0/B39*100)</f>
        <v/>
      </c>
      <c r="D39" s="19" t="n">
        <v>721</v>
      </c>
      <c r="E39" s="18" t="n">
        <v>49.21464838</v>
      </c>
      <c r="F39" s="20" t="n">
        <v>1.8227293</v>
      </c>
      <c r="G39" s="18" t="n">
        <v>47.5369956</v>
      </c>
      <c r="H39" s="20" t="n">
        <v>2.05318231</v>
      </c>
      <c r="I39" s="18" t="n">
        <v>0</v>
      </c>
      <c r="J39" s="20" t="n">
        <v>0</v>
      </c>
      <c r="K39" s="18" t="n">
        <v>0.26782864</v>
      </c>
      <c r="L39" s="20" t="n">
        <v>0.21334082</v>
      </c>
      <c r="M39" s="18" t="n">
        <v>0.06173849</v>
      </c>
      <c r="N39" s="20" t="n">
        <v>0.04417338</v>
      </c>
      <c r="O39" s="18" t="n">
        <v>0</v>
      </c>
      <c r="P39" s="20" t="n">
        <v>0</v>
      </c>
      <c r="Q39" s="18" t="n">
        <v>2.91878889</v>
      </c>
      <c r="R39" s="20" t="n">
        <v>0.88618459</v>
      </c>
    </row>
    <row r="40" spans="1:18">
      <c r="A40" s="15" t="s">
        <v>462</v>
      </c>
      <c r="B40" s="17" t="n">
        <v>14157</v>
      </c>
      <c r="C40" s="18">
        <f>(12441.0/B40*100)</f>
        <v/>
      </c>
      <c r="D40" s="19" t="n">
        <v>1716</v>
      </c>
      <c r="E40" s="18" t="n">
        <v>20.89060108</v>
      </c>
      <c r="F40" s="20" t="n">
        <v>1.50925123</v>
      </c>
      <c r="G40" s="18" t="n">
        <v>76.19627765</v>
      </c>
      <c r="H40" s="20" t="n">
        <v>1.55193049</v>
      </c>
      <c r="I40" s="18" t="n">
        <v>0</v>
      </c>
      <c r="J40" s="20" t="n">
        <v>0</v>
      </c>
      <c r="K40" s="18" t="n">
        <v>0.28833458</v>
      </c>
      <c r="L40" s="20" t="n">
        <v>0.17059793</v>
      </c>
      <c r="M40" s="18" t="n">
        <v>0.27996443</v>
      </c>
      <c r="N40" s="20" t="n">
        <v>0.22007968</v>
      </c>
      <c r="O40" s="18" t="n">
        <v>0</v>
      </c>
      <c r="P40" s="20" t="n">
        <v>0</v>
      </c>
      <c r="Q40" s="18" t="n">
        <v>2.34482227</v>
      </c>
      <c r="R40" s="20" t="n">
        <v>0.51298224</v>
      </c>
    </row>
    <row r="41" spans="1:18">
      <c r="A41" s="15" t="s">
        <v>463</v>
      </c>
      <c r="B41" s="17" t="n">
        <v>5712</v>
      </c>
      <c r="C41" s="18">
        <f>(5014.0/B41*100)</f>
        <v/>
      </c>
      <c r="D41" s="19" t="n">
        <v>698</v>
      </c>
      <c r="E41" s="18" t="n">
        <v>18.89597099</v>
      </c>
      <c r="F41" s="20" t="n">
        <v>1.40658779</v>
      </c>
      <c r="G41" s="18" t="n">
        <v>79.40468427</v>
      </c>
      <c r="H41" s="20" t="n">
        <v>1.58763536</v>
      </c>
      <c r="I41" s="18" t="n">
        <v>0</v>
      </c>
      <c r="J41" s="20" t="n">
        <v>0</v>
      </c>
      <c r="K41" s="18" t="n">
        <v>0.35674439</v>
      </c>
      <c r="L41" s="20" t="n">
        <v>0.25786485</v>
      </c>
      <c r="M41" s="18" t="n">
        <v>0</v>
      </c>
      <c r="N41" s="20" t="n">
        <v>0</v>
      </c>
      <c r="O41" s="18" t="n">
        <v>0</v>
      </c>
      <c r="P41" s="20" t="n">
        <v>0</v>
      </c>
      <c r="Q41" s="18" t="n">
        <v>1.34260035</v>
      </c>
      <c r="R41" s="20" t="n">
        <v>0.40741656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(20756.0/B46*100)</f>
        <v/>
      </c>
      <c r="D46" s="19" t="n">
        <v>2385</v>
      </c>
      <c r="E46" s="18" t="n">
        <v>42.90868864</v>
      </c>
      <c r="F46" s="20" t="n">
        <v>1.44500783</v>
      </c>
      <c r="G46" s="18" t="n">
        <v>50.52403109</v>
      </c>
      <c r="H46" s="20" t="n">
        <v>1.47222534</v>
      </c>
      <c r="I46" s="18" t="n">
        <v>0</v>
      </c>
      <c r="J46" s="20" t="n">
        <v>0</v>
      </c>
      <c r="K46" s="18" t="n">
        <v>1.18990038</v>
      </c>
      <c r="L46" s="20" t="n">
        <v>0.24099561</v>
      </c>
      <c r="M46" s="18" t="n">
        <v>0.22187891</v>
      </c>
      <c r="N46" s="20" t="n">
        <v>0.10554757</v>
      </c>
      <c r="O46" s="18" t="n">
        <v>0</v>
      </c>
      <c r="P46" s="20" t="n">
        <v>0</v>
      </c>
      <c r="Q46" s="18" t="n">
        <v>5.15550098</v>
      </c>
      <c r="R46" s="20" t="n">
        <v>0.48847263</v>
      </c>
    </row>
    <row r="47" spans="1:18">
      <c r="A47" s="15" t="s">
        <v>470</v>
      </c>
      <c r="B47" s="17" t="n">
        <v>5928</v>
      </c>
      <c r="C47" s="18">
        <f>(5200.0/B47*100)</f>
        <v/>
      </c>
      <c r="D47" s="19" t="n">
        <v>728</v>
      </c>
      <c r="E47" s="18" t="n">
        <v>39.46100401</v>
      </c>
      <c r="F47" s="20" t="n">
        <v>2.00700388</v>
      </c>
      <c r="G47" s="18" t="n">
        <v>52.44441691</v>
      </c>
      <c r="H47" s="20" t="n">
        <v>2.19150133</v>
      </c>
      <c r="I47" s="18" t="n">
        <v>0</v>
      </c>
      <c r="J47" s="20" t="n">
        <v>0</v>
      </c>
      <c r="K47" s="18" t="n">
        <v>0.28386791</v>
      </c>
      <c r="L47" s="20" t="n">
        <v>0.20982498</v>
      </c>
      <c r="M47" s="18" t="n">
        <v>0</v>
      </c>
      <c r="N47" s="20" t="n">
        <v>0</v>
      </c>
      <c r="O47" s="18" t="n">
        <v>0</v>
      </c>
      <c r="P47" s="20" t="n">
        <v>0</v>
      </c>
      <c r="Q47" s="18" t="n">
        <v>7.81071118</v>
      </c>
      <c r="R47" s="20" t="n">
        <v>0.98483147</v>
      </c>
    </row>
    <row r="48" spans="1:18">
      <c r="A48" s="15" t="s">
        <v>471</v>
      </c>
      <c r="B48" s="17" t="n">
        <v>9841</v>
      </c>
      <c r="C48" s="18">
        <f>(8650.0/B48*100)</f>
        <v/>
      </c>
      <c r="D48" s="19" t="n">
        <v>1191</v>
      </c>
      <c r="E48" s="18" t="n">
        <v>28.0111222</v>
      </c>
      <c r="F48" s="20" t="n">
        <v>2.05402709</v>
      </c>
      <c r="G48" s="18" t="n">
        <v>67.36620736</v>
      </c>
      <c r="H48" s="20" t="n">
        <v>2.10351631</v>
      </c>
      <c r="I48" s="18" t="n">
        <v>0</v>
      </c>
      <c r="J48" s="20" t="n">
        <v>0</v>
      </c>
      <c r="K48" s="18" t="n">
        <v>1.11338996</v>
      </c>
      <c r="L48" s="20" t="n">
        <v>0.45804948</v>
      </c>
      <c r="M48" s="18" t="n">
        <v>0</v>
      </c>
      <c r="N48" s="20" t="n">
        <v>0</v>
      </c>
      <c r="O48" s="18" t="n">
        <v>0</v>
      </c>
      <c r="P48" s="20" t="n">
        <v>0</v>
      </c>
      <c r="Q48" s="18" t="n">
        <v>3.50928048</v>
      </c>
      <c r="R48" s="20" t="n">
        <v>0.75642843</v>
      </c>
    </row>
    <row r="49" spans="1:18">
      <c r="A49" s="15" t="s">
        <v>472</v>
      </c>
      <c r="B49" s="17" t="n">
        <v>11795</v>
      </c>
      <c r="C49" s="18">
        <f>(10373.0/B49*100)</f>
        <v/>
      </c>
      <c r="D49" s="19" t="n">
        <v>1422</v>
      </c>
      <c r="E49" s="18" t="n">
        <v>33.43672395</v>
      </c>
      <c r="F49" s="20" t="n">
        <v>1.5829188</v>
      </c>
      <c r="G49" s="18" t="n">
        <v>62.2463717</v>
      </c>
      <c r="H49" s="20" t="n">
        <v>1.72317995</v>
      </c>
      <c r="I49" s="18" t="n">
        <v>0</v>
      </c>
      <c r="J49" s="20" t="n">
        <v>0</v>
      </c>
      <c r="K49" s="18" t="n">
        <v>1.82356469</v>
      </c>
      <c r="L49" s="20" t="n">
        <v>0.47935634</v>
      </c>
      <c r="M49" s="18" t="n">
        <v>0.07287856</v>
      </c>
      <c r="N49" s="20" t="n">
        <v>0.05130941</v>
      </c>
      <c r="O49" s="18" t="n">
        <v>0</v>
      </c>
      <c r="P49" s="20" t="n">
        <v>0</v>
      </c>
      <c r="Q49" s="18" t="n">
        <v>2.42046111</v>
      </c>
      <c r="R49" s="20" t="n">
        <v>0.74914863</v>
      </c>
    </row>
    <row r="50" spans="1:18">
      <c r="A50" s="15" t="s">
        <v>473</v>
      </c>
      <c r="B50" s="17" t="n">
        <v>6866</v>
      </c>
      <c r="C50" s="18">
        <f>(6128.0/B50*100)</f>
        <v/>
      </c>
      <c r="D50" s="19" t="n">
        <v>738</v>
      </c>
      <c r="E50" s="18" t="n">
        <v>43.07976912</v>
      </c>
      <c r="F50" s="20" t="n">
        <v>1.98126664</v>
      </c>
      <c r="G50" s="18" t="n">
        <v>53.86264092</v>
      </c>
      <c r="H50" s="20" t="n">
        <v>2.05959936</v>
      </c>
      <c r="I50" s="18" t="n">
        <v>0</v>
      </c>
      <c r="J50" s="20" t="n">
        <v>0</v>
      </c>
      <c r="K50" s="18" t="n">
        <v>0.7597664200000001</v>
      </c>
      <c r="L50" s="20" t="n">
        <v>0.35663246</v>
      </c>
      <c r="M50" s="18" t="n">
        <v>0</v>
      </c>
      <c r="N50" s="20" t="n">
        <v>0</v>
      </c>
      <c r="O50" s="18" t="n">
        <v>0</v>
      </c>
      <c r="P50" s="20" t="n">
        <v>0</v>
      </c>
      <c r="Q50" s="18" t="n">
        <v>2.29782353</v>
      </c>
      <c r="R50" s="20" t="n">
        <v>0.69344032</v>
      </c>
    </row>
    <row r="51" spans="1:18">
      <c r="A51" s="15" t="s">
        <v>474</v>
      </c>
      <c r="B51" s="17" t="n">
        <v>5809</v>
      </c>
      <c r="C51" s="18">
        <f>(5103.0/B51*100)</f>
        <v/>
      </c>
      <c r="D51" s="19" t="n">
        <v>706</v>
      </c>
      <c r="E51" s="18" t="n">
        <v>36.05939519</v>
      </c>
      <c r="F51" s="20" t="n">
        <v>2.04233805</v>
      </c>
      <c r="G51" s="18" t="n">
        <v>61.24161683</v>
      </c>
      <c r="H51" s="20" t="n">
        <v>2.12469765</v>
      </c>
      <c r="I51" s="18" t="n">
        <v>0</v>
      </c>
      <c r="J51" s="20" t="n">
        <v>0</v>
      </c>
      <c r="K51" s="18" t="n">
        <v>0.17799156</v>
      </c>
      <c r="L51" s="20" t="n">
        <v>0.17944848</v>
      </c>
      <c r="M51" s="18" t="n">
        <v>0</v>
      </c>
      <c r="N51" s="20" t="n">
        <v>0</v>
      </c>
      <c r="O51" s="18" t="n">
        <v>0</v>
      </c>
      <c r="P51" s="20" t="n">
        <v>0</v>
      </c>
      <c r="Q51" s="18" t="n">
        <v>2.52099642</v>
      </c>
      <c r="R51" s="20" t="n">
        <v>0.5847940700000001</v>
      </c>
    </row>
    <row r="52" spans="1:18">
      <c r="A52" s="15" t="s">
        <v>475</v>
      </c>
      <c r="B52" s="17" t="n">
        <v>5571</v>
      </c>
      <c r="C52" s="18">
        <f>(4911.0/B52*100)</f>
        <v/>
      </c>
      <c r="D52" s="19" t="n">
        <v>660</v>
      </c>
      <c r="E52" s="18" t="n">
        <v>28.65538968</v>
      </c>
      <c r="F52" s="20" t="n">
        <v>1.87482066</v>
      </c>
      <c r="G52" s="18" t="n">
        <v>65.52190084999999</v>
      </c>
      <c r="H52" s="20" t="n">
        <v>1.95846979</v>
      </c>
      <c r="I52" s="18" t="n">
        <v>0</v>
      </c>
      <c r="J52" s="20" t="n">
        <v>0</v>
      </c>
      <c r="K52" s="18" t="n">
        <v>0.62017603</v>
      </c>
      <c r="L52" s="20" t="n">
        <v>0.31457732</v>
      </c>
      <c r="M52" s="18" t="n">
        <v>0</v>
      </c>
      <c r="N52" s="20" t="n">
        <v>0</v>
      </c>
      <c r="O52" s="18" t="n">
        <v>0</v>
      </c>
      <c r="P52" s="20" t="n">
        <v>0</v>
      </c>
      <c r="Q52" s="18" t="n">
        <v>5.20253344</v>
      </c>
      <c r="R52" s="20" t="n">
        <v>0.88852148</v>
      </c>
    </row>
    <row r="53" spans="1:18">
      <c r="A53" s="15" t="s">
        <v>476</v>
      </c>
      <c r="B53" s="17" t="n">
        <v>4740</v>
      </c>
      <c r="C53" s="18">
        <f>(3972.0/B53*100)</f>
        <v/>
      </c>
      <c r="D53" s="19" t="n">
        <v>768</v>
      </c>
      <c r="E53" s="18" t="n">
        <v>51.27847862</v>
      </c>
      <c r="F53" s="20" t="n">
        <v>2.01068341</v>
      </c>
      <c r="G53" s="18" t="n">
        <v>34.56328402</v>
      </c>
      <c r="H53" s="20" t="n">
        <v>2.11242661</v>
      </c>
      <c r="I53" s="18" t="n">
        <v>0</v>
      </c>
      <c r="J53" s="20" t="n">
        <v>0</v>
      </c>
      <c r="K53" s="18" t="n">
        <v>10.44610368</v>
      </c>
      <c r="L53" s="20" t="n">
        <v>1.1666335</v>
      </c>
      <c r="M53" s="18" t="n">
        <v>0.9483363</v>
      </c>
      <c r="N53" s="20" t="n">
        <v>0.79868353</v>
      </c>
      <c r="O53" s="18" t="n">
        <v>0</v>
      </c>
      <c r="P53" s="20" t="n">
        <v>0</v>
      </c>
      <c r="Q53" s="18" t="n">
        <v>2.76379737</v>
      </c>
      <c r="R53" s="20" t="n">
        <v>0.6255558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(4702.0/B55*100)</f>
        <v/>
      </c>
      <c r="D55" s="19" t="n">
        <v>657</v>
      </c>
      <c r="E55" s="18" t="n">
        <v>13.3415979</v>
      </c>
      <c r="F55" s="20" t="n">
        <v>1.42719124</v>
      </c>
      <c r="G55" s="18" t="n">
        <v>84.79431679</v>
      </c>
      <c r="H55" s="20" t="n">
        <v>1.46795025</v>
      </c>
      <c r="I55" s="18" t="n">
        <v>0</v>
      </c>
      <c r="J55" s="20" t="n">
        <v>0</v>
      </c>
      <c r="K55" s="18" t="n">
        <v>0.19466337</v>
      </c>
      <c r="L55" s="20" t="n">
        <v>0.16510399</v>
      </c>
      <c r="M55" s="18" t="n">
        <v>0</v>
      </c>
      <c r="N55" s="20" t="n">
        <v>0</v>
      </c>
      <c r="O55" s="18" t="n">
        <v>0</v>
      </c>
      <c r="P55" s="20" t="n">
        <v>0</v>
      </c>
      <c r="Q55" s="18" t="n">
        <v>1.66942194</v>
      </c>
      <c r="R55" s="20" t="n">
        <v>0.53893122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(5734.0/B61*100)</f>
        <v/>
      </c>
      <c r="D61" s="19" t="n">
        <v>791</v>
      </c>
      <c r="E61" s="18" t="n">
        <v>27.89016127</v>
      </c>
      <c r="F61" s="20" t="n">
        <v>1.61963191</v>
      </c>
      <c r="G61" s="18" t="n">
        <v>68.46753431</v>
      </c>
      <c r="H61" s="20" t="n">
        <v>1.84437015</v>
      </c>
      <c r="I61" s="18" t="n">
        <v>0</v>
      </c>
      <c r="J61" s="20" t="n">
        <v>0</v>
      </c>
      <c r="K61" s="18" t="n">
        <v>0.08955473</v>
      </c>
      <c r="L61" s="20" t="n">
        <v>0.06834624</v>
      </c>
      <c r="M61" s="18" t="n">
        <v>0</v>
      </c>
      <c r="N61" s="20" t="n">
        <v>0</v>
      </c>
      <c r="O61" s="18" t="n">
        <v>0</v>
      </c>
      <c r="P61" s="20" t="n">
        <v>0</v>
      </c>
      <c r="Q61" s="18" t="n">
        <v>3.55274969</v>
      </c>
      <c r="R61" s="20" t="n">
        <v>0.83506822</v>
      </c>
    </row>
    <row r="62" spans="1:18">
      <c r="A62" s="15" t="s">
        <v>486</v>
      </c>
      <c r="B62" s="17" t="n">
        <v>4476</v>
      </c>
      <c r="C62" s="18">
        <f>(3923.0/B62*100)</f>
        <v/>
      </c>
      <c r="D62" s="19" t="n">
        <v>553</v>
      </c>
      <c r="E62" s="18" t="n">
        <v>19.73907744</v>
      </c>
      <c r="F62" s="20" t="n">
        <v>1.64250826</v>
      </c>
      <c r="G62" s="18" t="n">
        <v>79.00055288</v>
      </c>
      <c r="H62" s="20" t="n">
        <v>1.68834759</v>
      </c>
      <c r="I62" s="18" t="n">
        <v>0</v>
      </c>
      <c r="J62" s="20" t="n">
        <v>0</v>
      </c>
      <c r="K62" s="18" t="n">
        <v>0</v>
      </c>
      <c r="L62" s="20" t="n">
        <v>0</v>
      </c>
      <c r="M62" s="18" t="n">
        <v>0.71993839</v>
      </c>
      <c r="N62" s="20" t="n">
        <v>0.36057374</v>
      </c>
      <c r="O62" s="18" t="n">
        <v>0</v>
      </c>
      <c r="P62" s="20" t="n">
        <v>0</v>
      </c>
      <c r="Q62" s="18" t="n">
        <v>0.54043128</v>
      </c>
      <c r="R62" s="20" t="n">
        <v>0.40275282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(4977.0/B67*100)</f>
        <v/>
      </c>
      <c r="D67" s="19" t="n">
        <v>688</v>
      </c>
      <c r="E67" s="18" t="n">
        <v>40.07585818</v>
      </c>
      <c r="F67" s="20" t="n">
        <v>1.9425378</v>
      </c>
      <c r="G67" s="18" t="n">
        <v>46.64985902</v>
      </c>
      <c r="H67" s="20" t="n">
        <v>1.75934781</v>
      </c>
      <c r="I67" s="18" t="n">
        <v>0</v>
      </c>
      <c r="J67" s="20" t="n">
        <v>0</v>
      </c>
      <c r="K67" s="18" t="n">
        <v>1.7372839</v>
      </c>
      <c r="L67" s="20" t="n">
        <v>0.6157716600000001</v>
      </c>
      <c r="M67" s="18" t="n">
        <v>0.4796122</v>
      </c>
      <c r="N67" s="20" t="n">
        <v>0.47784984</v>
      </c>
      <c r="O67" s="18" t="n">
        <v>0</v>
      </c>
      <c r="P67" s="20" t="n">
        <v>0</v>
      </c>
      <c r="Q67" s="18" t="n">
        <v>11.05738669</v>
      </c>
      <c r="R67" s="20" t="n">
        <v>1.12425815</v>
      </c>
    </row>
    <row r="68" spans="1:18">
      <c r="A68" s="15" t="s">
        <v>492</v>
      </c>
      <c r="B68" s="17" t="n">
        <v>6971</v>
      </c>
      <c r="C68" s="18">
        <f>(6204.0/B68*100)</f>
        <v/>
      </c>
      <c r="D68" s="19" t="n">
        <v>767</v>
      </c>
      <c r="E68" s="18" t="n">
        <v>46.94338066</v>
      </c>
      <c r="F68" s="20" t="n">
        <v>1.92648674</v>
      </c>
      <c r="G68" s="18" t="n">
        <v>50.09475512</v>
      </c>
      <c r="H68" s="20" t="n">
        <v>2.11284628</v>
      </c>
      <c r="I68" s="18" t="n">
        <v>0</v>
      </c>
      <c r="J68" s="20" t="n">
        <v>0</v>
      </c>
      <c r="K68" s="18" t="n">
        <v>0.13471218</v>
      </c>
      <c r="L68" s="20" t="n">
        <v>0.13461476</v>
      </c>
      <c r="M68" s="18" t="n">
        <v>0.1415313</v>
      </c>
      <c r="N68" s="20" t="n">
        <v>0.14152425</v>
      </c>
      <c r="O68" s="18" t="n">
        <v>0</v>
      </c>
      <c r="P68" s="20" t="n">
        <v>0</v>
      </c>
      <c r="Q68" s="18" t="n">
        <v>2.68562074</v>
      </c>
      <c r="R68" s="20" t="n">
        <v>0.5658767099999999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(10078.0/B70*100)</f>
        <v/>
      </c>
      <c r="D70" s="19" t="n">
        <v>2005</v>
      </c>
      <c r="E70" s="18" t="n">
        <v>46.17383622</v>
      </c>
      <c r="F70" s="20" t="n">
        <v>1.07076408</v>
      </c>
      <c r="G70" s="18" t="n">
        <v>45.79205718</v>
      </c>
      <c r="H70" s="20" t="n">
        <v>1.07500734</v>
      </c>
      <c r="I70" s="18" t="n">
        <v>0</v>
      </c>
      <c r="J70" s="20" t="n">
        <v>0</v>
      </c>
      <c r="K70" s="18" t="n">
        <v>2.24835901</v>
      </c>
      <c r="L70" s="20" t="n">
        <v>0.29000775</v>
      </c>
      <c r="M70" s="18" t="n">
        <v>0.04910754</v>
      </c>
      <c r="N70" s="20" t="n">
        <v>0.0491162</v>
      </c>
      <c r="O70" s="18" t="n">
        <v>0</v>
      </c>
      <c r="P70" s="20" t="n">
        <v>0</v>
      </c>
      <c r="Q70" s="18" t="n">
        <v>5.73664005</v>
      </c>
      <c r="R70" s="20" t="n">
        <v>0.43211909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(5319.0/B72*100)</f>
        <v/>
      </c>
      <c r="D72" s="19" t="n">
        <v>717</v>
      </c>
      <c r="E72" s="18" t="n">
        <v>34.51553461</v>
      </c>
      <c r="F72" s="20" t="n">
        <v>1.92527907</v>
      </c>
      <c r="G72" s="18" t="n">
        <v>63.48789823</v>
      </c>
      <c r="H72" s="20" t="n">
        <v>2.11258876</v>
      </c>
      <c r="I72" s="18" t="n">
        <v>0</v>
      </c>
      <c r="J72" s="20" t="n">
        <v>0</v>
      </c>
      <c r="K72" s="18" t="n">
        <v>0.36553992</v>
      </c>
      <c r="L72" s="20" t="n">
        <v>0.1876689</v>
      </c>
      <c r="M72" s="18" t="n">
        <v>0</v>
      </c>
      <c r="N72" s="20" t="n">
        <v>0</v>
      </c>
      <c r="O72" s="18" t="n">
        <v>0</v>
      </c>
      <c r="P72" s="20" t="n">
        <v>0</v>
      </c>
      <c r="Q72" s="18" t="n">
        <v>1.63102723</v>
      </c>
      <c r="R72" s="20" t="n">
        <v>0.43694526</v>
      </c>
    </row>
    <row r="73" spans="1:18">
      <c r="A73" s="15" t="s">
        <v>497</v>
      </c>
      <c r="B73" s="17" t="n">
        <v>6115</v>
      </c>
      <c r="C73" s="18">
        <f>(5362.0/B73*100)</f>
        <v/>
      </c>
      <c r="D73" s="19" t="n">
        <v>753</v>
      </c>
      <c r="E73" s="18" t="n">
        <v>13.30189007</v>
      </c>
      <c r="F73" s="20" t="n">
        <v>1.20514471</v>
      </c>
      <c r="G73" s="18" t="n">
        <v>86.01429913</v>
      </c>
      <c r="H73" s="20" t="n">
        <v>1.28031594</v>
      </c>
      <c r="I73" s="18" t="n">
        <v>0</v>
      </c>
      <c r="J73" s="20" t="n">
        <v>0</v>
      </c>
      <c r="K73" s="18" t="n">
        <v>0.26052849</v>
      </c>
      <c r="L73" s="20" t="n">
        <v>0.18422037</v>
      </c>
      <c r="M73" s="18" t="n">
        <v>0</v>
      </c>
      <c r="N73" s="20" t="n">
        <v>0</v>
      </c>
      <c r="O73" s="18" t="n">
        <v>0</v>
      </c>
      <c r="P73" s="20" t="n">
        <v>0</v>
      </c>
      <c r="Q73" s="18" t="n">
        <v>0.42328231</v>
      </c>
      <c r="R73" s="20" t="n">
        <v>0.24434387</v>
      </c>
    </row>
    <row r="74" spans="1:18">
      <c r="A74" s="15" t="s">
        <v>498</v>
      </c>
      <c r="B74" s="17" t="n">
        <v>7708</v>
      </c>
      <c r="C74" s="18">
        <f>(6759.0/B74*100)</f>
        <v/>
      </c>
      <c r="D74" s="19" t="n">
        <v>949</v>
      </c>
      <c r="E74" s="18" t="n">
        <v>17.25055337</v>
      </c>
      <c r="F74" s="20" t="n">
        <v>1.34336103</v>
      </c>
      <c r="G74" s="18" t="n">
        <v>81.36109687</v>
      </c>
      <c r="H74" s="20" t="n">
        <v>1.297469</v>
      </c>
      <c r="I74" s="18" t="n">
        <v>0</v>
      </c>
      <c r="J74" s="20" t="n">
        <v>0</v>
      </c>
      <c r="K74" s="18" t="n">
        <v>0.13876457</v>
      </c>
      <c r="L74" s="20" t="n">
        <v>0.09220839</v>
      </c>
      <c r="M74" s="18" t="n">
        <v>0</v>
      </c>
      <c r="N74" s="20" t="n">
        <v>0</v>
      </c>
      <c r="O74" s="18" t="n">
        <v>0</v>
      </c>
      <c r="P74" s="20" t="n">
        <v>0</v>
      </c>
      <c r="Q74" s="18" t="n">
        <v>1.24958519</v>
      </c>
      <c r="R74" s="20" t="n">
        <v>0.38516163</v>
      </c>
    </row>
    <row r="75" spans="1:18">
      <c r="A75" s="15" t="s">
        <v>499</v>
      </c>
      <c r="B75" s="17" t="n">
        <v>8249</v>
      </c>
      <c r="C75" s="18">
        <f>(7280.0/B75*100)</f>
        <v/>
      </c>
      <c r="D75" s="19" t="n">
        <v>969</v>
      </c>
      <c r="E75" s="18" t="n">
        <v>33.34748058</v>
      </c>
      <c r="F75" s="20" t="n">
        <v>2.20299528</v>
      </c>
      <c r="G75" s="18" t="n">
        <v>65.2398829</v>
      </c>
      <c r="H75" s="20" t="n">
        <v>2.2704033</v>
      </c>
      <c r="I75" s="18" t="n">
        <v>0</v>
      </c>
      <c r="J75" s="20" t="n">
        <v>0</v>
      </c>
      <c r="K75" s="18" t="n">
        <v>0.21118253</v>
      </c>
      <c r="L75" s="20" t="n">
        <v>0.21095086</v>
      </c>
      <c r="M75" s="18" t="n">
        <v>0.27554826</v>
      </c>
      <c r="N75" s="20" t="n">
        <v>0.24882052</v>
      </c>
      <c r="O75" s="18" t="n">
        <v>0</v>
      </c>
      <c r="P75" s="20" t="n">
        <v>0</v>
      </c>
      <c r="Q75" s="18" t="n">
        <v>0.92590573</v>
      </c>
      <c r="R75" s="20" t="n">
        <v>0.33493768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(4782.0/B77*100)</f>
        <v/>
      </c>
      <c r="D77" s="19" t="n">
        <v>593</v>
      </c>
      <c r="E77" s="18" t="n">
        <v>57.24894831</v>
      </c>
      <c r="F77" s="20" t="n">
        <v>2.37847915</v>
      </c>
      <c r="G77" s="18" t="n">
        <v>29.9959477</v>
      </c>
      <c r="H77" s="20" t="n">
        <v>2.31303871</v>
      </c>
      <c r="I77" s="18" t="n">
        <v>0</v>
      </c>
      <c r="J77" s="20" t="n">
        <v>0</v>
      </c>
      <c r="K77" s="18" t="n">
        <v>3.58645152</v>
      </c>
      <c r="L77" s="20" t="n">
        <v>0.8838346500000001</v>
      </c>
      <c r="M77" s="18" t="n">
        <v>0.57033255</v>
      </c>
      <c r="N77" s="20" t="n">
        <v>0.41101358</v>
      </c>
      <c r="O77" s="18" t="n">
        <v>0</v>
      </c>
      <c r="P77" s="20" t="n">
        <v>0</v>
      </c>
      <c r="Q77" s="18" t="n">
        <v>8.598319910000001</v>
      </c>
      <c r="R77" s="20" t="n">
        <v>1.33941227</v>
      </c>
    </row>
    <row r="78" spans="1:18">
      <c r="A78" s="15" t="s">
        <v>502</v>
      </c>
      <c r="B78" s="17" t="n">
        <v>14167</v>
      </c>
      <c r="C78" s="18">
        <f>(12408.0/B78*100)</f>
        <v/>
      </c>
      <c r="D78" s="19" t="n">
        <v>1759</v>
      </c>
      <c r="E78" s="18" t="n">
        <v>39.17437585</v>
      </c>
      <c r="F78" s="20" t="n">
        <v>1.74576762</v>
      </c>
      <c r="G78" s="18" t="n">
        <v>57.60536442</v>
      </c>
      <c r="H78" s="20" t="n">
        <v>1.770847</v>
      </c>
      <c r="I78" s="18" t="n">
        <v>0</v>
      </c>
      <c r="J78" s="20" t="n">
        <v>0</v>
      </c>
      <c r="K78" s="18" t="n">
        <v>0.71529697</v>
      </c>
      <c r="L78" s="20" t="n">
        <v>0.21074638</v>
      </c>
      <c r="M78" s="18" t="n">
        <v>0.10458808</v>
      </c>
      <c r="N78" s="20" t="n">
        <v>0.08755313000000001</v>
      </c>
      <c r="O78" s="18" t="n">
        <v>0</v>
      </c>
      <c r="P78" s="20" t="n">
        <v>0</v>
      </c>
      <c r="Q78" s="18" t="n">
        <v>2.40037469</v>
      </c>
      <c r="R78" s="20" t="n">
        <v>0.5112837099999999</v>
      </c>
    </row>
    <row r="79" spans="1:18">
      <c r="A79" s="15" t="s">
        <v>503</v>
      </c>
      <c r="B79" s="17" t="n">
        <v>6062</v>
      </c>
      <c r="C79" s="18">
        <f>(5345.0/B79*100)</f>
        <v/>
      </c>
      <c r="D79" s="19" t="n">
        <v>717</v>
      </c>
      <c r="E79" s="18" t="n">
        <v>38.98329515</v>
      </c>
      <c r="F79" s="20" t="n">
        <v>2.04127635</v>
      </c>
      <c r="G79" s="18" t="n">
        <v>52.05153929</v>
      </c>
      <c r="H79" s="20" t="n">
        <v>2.1035941</v>
      </c>
      <c r="I79" s="18" t="n">
        <v>0</v>
      </c>
      <c r="J79" s="20" t="n">
        <v>0</v>
      </c>
      <c r="K79" s="18" t="n">
        <v>1.75745578</v>
      </c>
      <c r="L79" s="20" t="n">
        <v>0.56942757</v>
      </c>
      <c r="M79" s="18" t="n">
        <v>0.27035231</v>
      </c>
      <c r="N79" s="20" t="n">
        <v>0.17353121</v>
      </c>
      <c r="O79" s="18" t="n">
        <v>0</v>
      </c>
      <c r="P79" s="20" t="n">
        <v>0</v>
      </c>
      <c r="Q79" s="18" t="n">
        <v>6.93735747</v>
      </c>
      <c r="R79" s="20" t="n">
        <v>1.03623617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(28409.0/B82*100)</f>
        <v/>
      </c>
      <c r="D82" s="19" t="n">
        <v>3921</v>
      </c>
      <c r="E82" s="18" t="n">
        <v>28.68169606</v>
      </c>
      <c r="F82" s="20" t="n">
        <v>1.11404509</v>
      </c>
      <c r="G82" s="18" t="n">
        <v>68.95907466</v>
      </c>
      <c r="H82" s="20" t="n">
        <v>1.13828058</v>
      </c>
      <c r="I82" s="18" t="n">
        <v>0</v>
      </c>
      <c r="J82" s="20" t="n">
        <v>0</v>
      </c>
      <c r="K82" s="18" t="n">
        <v>0.14608645</v>
      </c>
      <c r="L82" s="20" t="n">
        <v>0.06914676</v>
      </c>
      <c r="M82" s="18" t="n">
        <v>0</v>
      </c>
      <c r="N82" s="20" t="n">
        <v>0</v>
      </c>
      <c r="O82" s="18" t="n">
        <v>0</v>
      </c>
      <c r="P82" s="20" t="n">
        <v>0</v>
      </c>
      <c r="Q82" s="18" t="n">
        <v>2.21314282</v>
      </c>
      <c r="R82" s="20" t="n">
        <v>0.31697757</v>
      </c>
    </row>
    <row r="83" spans="1:18">
      <c r="A83" s="15" t="s">
        <v>507</v>
      </c>
      <c r="B83" s="17" t="n">
        <v>1652</v>
      </c>
      <c r="C83" s="18">
        <f>(1465.0/B83*100)</f>
        <v/>
      </c>
      <c r="D83" s="19" t="n">
        <v>187</v>
      </c>
      <c r="E83" s="18" t="n">
        <v>13.29367258</v>
      </c>
      <c r="F83" s="20" t="n">
        <v>2.42159307</v>
      </c>
      <c r="G83" s="18" t="n">
        <v>85.64572491</v>
      </c>
      <c r="H83" s="20" t="n">
        <v>2.50163571</v>
      </c>
      <c r="I83" s="18" t="n">
        <v>0</v>
      </c>
      <c r="J83" s="20" t="n">
        <v>0</v>
      </c>
      <c r="K83" s="18" t="n">
        <v>0.55909772</v>
      </c>
      <c r="L83" s="20" t="n">
        <v>0.50696484</v>
      </c>
      <c r="M83" s="18" t="n">
        <v>0</v>
      </c>
      <c r="N83" s="20" t="n">
        <v>0</v>
      </c>
      <c r="O83" s="18" t="n">
        <v>0</v>
      </c>
      <c r="P83" s="20" t="n">
        <v>0</v>
      </c>
      <c r="Q83" s="18" t="n">
        <v>0.5015048</v>
      </c>
      <c r="R83" s="20" t="n">
        <v>0.48078112</v>
      </c>
    </row>
    <row r="84" spans="1:18">
      <c r="A84" s="23" t="s">
        <v>508</v>
      </c>
      <c r="B84" s="24" t="n">
        <v>1887</v>
      </c>
      <c r="C84" s="25">
        <f>(1664.0/B84*100)</f>
        <v/>
      </c>
      <c r="D84" s="19" t="n">
        <v>223</v>
      </c>
      <c r="E84" s="18" t="n">
        <v>24.35206195</v>
      </c>
      <c r="F84" s="20" t="n">
        <v>2.69556659</v>
      </c>
      <c r="G84" s="18" t="n">
        <v>74.35271735000001</v>
      </c>
      <c r="H84" s="20" t="n">
        <v>2.7915254</v>
      </c>
      <c r="I84" s="18" t="n">
        <v>0</v>
      </c>
      <c r="J84" s="20" t="n">
        <v>0</v>
      </c>
      <c r="K84" s="18" t="n">
        <v>0</v>
      </c>
      <c r="L84" s="20" t="n">
        <v>0</v>
      </c>
      <c r="M84" s="18" t="n">
        <v>0</v>
      </c>
      <c r="N84" s="20" t="n">
        <v>0</v>
      </c>
      <c r="O84" s="18" t="n">
        <v>0</v>
      </c>
      <c r="P84" s="20" t="n">
        <v>0</v>
      </c>
      <c r="Q84" s="18" t="n">
        <v>1.2952207</v>
      </c>
      <c r="R84" s="20" t="n">
        <v>0.46190636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(12791.0/B7*100)</f>
        <v/>
      </c>
      <c r="D7" s="19" t="n">
        <v>1739</v>
      </c>
      <c r="E7" s="18" t="n">
        <v>8.14978749</v>
      </c>
      <c r="F7" s="20" t="n">
        <v>0.77275827</v>
      </c>
      <c r="G7" s="18" t="n">
        <v>89.99690859</v>
      </c>
      <c r="H7" s="20" t="n">
        <v>0.85038012</v>
      </c>
      <c r="I7" s="18" t="n">
        <v>0</v>
      </c>
      <c r="J7" s="20" t="n">
        <v>0</v>
      </c>
      <c r="K7" s="18" t="n">
        <v>0.41833172</v>
      </c>
      <c r="L7" s="20" t="n">
        <v>0.17910006</v>
      </c>
      <c r="M7" s="18" t="n">
        <v>0.03942527</v>
      </c>
      <c r="N7" s="20" t="n">
        <v>0.0196586</v>
      </c>
      <c r="O7" s="18" t="n">
        <v>0</v>
      </c>
      <c r="P7" s="20" t="n">
        <v>0</v>
      </c>
      <c r="Q7" s="18" t="n">
        <v>1.39554693</v>
      </c>
      <c r="R7" s="20" t="n">
        <v>0.33321236</v>
      </c>
    </row>
    <row r="8" spans="1:18">
      <c r="A8" s="15" t="s">
        <v>430</v>
      </c>
      <c r="B8" s="17" t="n">
        <v>7007</v>
      </c>
      <c r="C8" s="18">
        <f>(6105.0/B8*100)</f>
        <v/>
      </c>
      <c r="D8" s="19" t="n">
        <v>902</v>
      </c>
      <c r="E8" s="18" t="n">
        <v>17.50300012</v>
      </c>
      <c r="F8" s="20" t="n">
        <v>1.51594738</v>
      </c>
      <c r="G8" s="18" t="n">
        <v>79.40214245</v>
      </c>
      <c r="H8" s="20" t="n">
        <v>1.48192666</v>
      </c>
      <c r="I8" s="18" t="n">
        <v>0</v>
      </c>
      <c r="J8" s="20" t="n">
        <v>0</v>
      </c>
      <c r="K8" s="18" t="n">
        <v>0.08876539</v>
      </c>
      <c r="L8" s="20" t="n">
        <v>0.15113009</v>
      </c>
      <c r="M8" s="18" t="n">
        <v>0</v>
      </c>
      <c r="N8" s="20" t="n">
        <v>0</v>
      </c>
      <c r="O8" s="18" t="n">
        <v>0</v>
      </c>
      <c r="P8" s="20" t="n">
        <v>0</v>
      </c>
      <c r="Q8" s="18" t="n">
        <v>3.00609204</v>
      </c>
      <c r="R8" s="20" t="n">
        <v>0.5612642</v>
      </c>
    </row>
    <row r="9" spans="1:18">
      <c r="A9" s="15" t="s">
        <v>431</v>
      </c>
      <c r="B9" s="17" t="n">
        <v>9651</v>
      </c>
      <c r="C9" s="18">
        <f>(8515.0/B9*100)</f>
        <v/>
      </c>
      <c r="D9" s="19" t="n">
        <v>1136</v>
      </c>
      <c r="E9" s="18" t="n">
        <v>13.49202239</v>
      </c>
      <c r="F9" s="20" t="n">
        <v>1.14922371</v>
      </c>
      <c r="G9" s="18" t="n">
        <v>85.13012696</v>
      </c>
      <c r="H9" s="20" t="n">
        <v>1.14133016</v>
      </c>
      <c r="I9" s="18" t="n">
        <v>0</v>
      </c>
      <c r="J9" s="20" t="n">
        <v>0</v>
      </c>
      <c r="K9" s="18" t="n">
        <v>0.0762458</v>
      </c>
      <c r="L9" s="20" t="n">
        <v>0.07666631</v>
      </c>
      <c r="M9" s="18" t="n">
        <v>0.26825242</v>
      </c>
      <c r="N9" s="20" t="n">
        <v>0.09001982</v>
      </c>
      <c r="O9" s="18" t="n">
        <v>0</v>
      </c>
      <c r="P9" s="20" t="n">
        <v>0</v>
      </c>
      <c r="Q9" s="18" t="n">
        <v>1.03335243</v>
      </c>
      <c r="R9" s="20" t="n">
        <v>0.28888676</v>
      </c>
    </row>
    <row r="10" spans="1:18">
      <c r="A10" s="15" t="s">
        <v>432</v>
      </c>
      <c r="B10" s="17" t="n">
        <v>20058</v>
      </c>
      <c r="C10" s="18">
        <f>(17591.0/B10*100)</f>
        <v/>
      </c>
      <c r="D10" s="19" t="n">
        <v>2467</v>
      </c>
      <c r="E10" s="18" t="n">
        <v>6.55225889</v>
      </c>
      <c r="F10" s="20" t="n">
        <v>0.75997689</v>
      </c>
      <c r="G10" s="18" t="n">
        <v>92.34735485</v>
      </c>
      <c r="H10" s="20" t="n">
        <v>0.86429984</v>
      </c>
      <c r="I10" s="18" t="n">
        <v>0</v>
      </c>
      <c r="J10" s="20" t="n">
        <v>0</v>
      </c>
      <c r="K10" s="18" t="n">
        <v>0.29283059</v>
      </c>
      <c r="L10" s="20" t="n">
        <v>0.16270394</v>
      </c>
      <c r="M10" s="18" t="n">
        <v>0</v>
      </c>
      <c r="N10" s="20" t="n">
        <v>0</v>
      </c>
      <c r="O10" s="18" t="n">
        <v>0</v>
      </c>
      <c r="P10" s="20" t="n">
        <v>0</v>
      </c>
      <c r="Q10" s="18" t="n">
        <v>0.8075556699999999</v>
      </c>
      <c r="R10" s="20" t="n">
        <v>0.26172239</v>
      </c>
    </row>
    <row r="11" spans="1:18">
      <c r="A11" s="15" t="s">
        <v>433</v>
      </c>
      <c r="B11" s="17" t="n">
        <v>7053</v>
      </c>
      <c r="C11" s="18">
        <f>(6224.0/B11*100)</f>
        <v/>
      </c>
      <c r="D11" s="19" t="n">
        <v>829</v>
      </c>
      <c r="E11" s="18" t="n">
        <v>22.0405868</v>
      </c>
      <c r="F11" s="20" t="n">
        <v>1.85298298</v>
      </c>
      <c r="G11" s="18" t="n">
        <v>72.95272490000001</v>
      </c>
      <c r="H11" s="20" t="n">
        <v>1.82533764</v>
      </c>
      <c r="I11" s="18" t="n">
        <v>0</v>
      </c>
      <c r="J11" s="20" t="n">
        <v>0</v>
      </c>
      <c r="K11" s="18" t="n">
        <v>0.91684069</v>
      </c>
      <c r="L11" s="20" t="n">
        <v>0.454119</v>
      </c>
      <c r="M11" s="18" t="n">
        <v>0.6879565600000001</v>
      </c>
      <c r="N11" s="20" t="n">
        <v>0.48870755</v>
      </c>
      <c r="O11" s="18" t="n">
        <v>0</v>
      </c>
      <c r="P11" s="20" t="n">
        <v>0</v>
      </c>
      <c r="Q11" s="18" t="n">
        <v>3.40189105</v>
      </c>
      <c r="R11" s="20" t="n">
        <v>0.79514005</v>
      </c>
    </row>
    <row r="12" spans="1:18">
      <c r="A12" s="15" t="s">
        <v>434</v>
      </c>
      <c r="B12" s="17" t="n">
        <v>6894</v>
      </c>
      <c r="C12" s="18">
        <f>(6071.0/B12*100)</f>
        <v/>
      </c>
      <c r="D12" s="19" t="n">
        <v>823</v>
      </c>
      <c r="E12" s="18" t="n">
        <v>5.98479356</v>
      </c>
      <c r="F12" s="20" t="n">
        <v>1.00423697</v>
      </c>
      <c r="G12" s="18" t="n">
        <v>91.24335949</v>
      </c>
      <c r="H12" s="20" t="n">
        <v>1.30878531</v>
      </c>
      <c r="I12" s="18" t="n">
        <v>0</v>
      </c>
      <c r="J12" s="20" t="n">
        <v>0</v>
      </c>
      <c r="K12" s="18" t="n">
        <v>0.12224231</v>
      </c>
      <c r="L12" s="20" t="n">
        <v>0.1288937</v>
      </c>
      <c r="M12" s="18" t="n">
        <v>0.09285408000000001</v>
      </c>
      <c r="N12" s="20" t="n">
        <v>0.0901183</v>
      </c>
      <c r="O12" s="18" t="n">
        <v>0</v>
      </c>
      <c r="P12" s="20" t="n">
        <v>0</v>
      </c>
      <c r="Q12" s="18" t="n">
        <v>2.55675056</v>
      </c>
      <c r="R12" s="20" t="n">
        <v>0.65587652</v>
      </c>
    </row>
    <row r="13" spans="1:18">
      <c r="A13" s="15" t="s">
        <v>435</v>
      </c>
      <c r="B13" s="17" t="n">
        <v>7161</v>
      </c>
      <c r="C13" s="18">
        <f>(6326.0/B13*100)</f>
        <v/>
      </c>
      <c r="D13" s="19" t="n">
        <v>835</v>
      </c>
      <c r="E13" s="18" t="n">
        <v>8.31195218</v>
      </c>
      <c r="F13" s="20" t="n">
        <v>1.13632861</v>
      </c>
      <c r="G13" s="18" t="n">
        <v>89.16742293</v>
      </c>
      <c r="H13" s="20" t="n">
        <v>1.28995544</v>
      </c>
      <c r="I13" s="18" t="n">
        <v>0</v>
      </c>
      <c r="J13" s="20" t="n">
        <v>0</v>
      </c>
      <c r="K13" s="18" t="n">
        <v>0.92733995</v>
      </c>
      <c r="L13" s="20" t="n">
        <v>0.4673023</v>
      </c>
      <c r="M13" s="18" t="n">
        <v>0</v>
      </c>
      <c r="N13" s="20" t="n">
        <v>0</v>
      </c>
      <c r="O13" s="18" t="n">
        <v>0</v>
      </c>
      <c r="P13" s="20" t="n">
        <v>0</v>
      </c>
      <c r="Q13" s="18" t="n">
        <v>1.59328493</v>
      </c>
      <c r="R13" s="20" t="n">
        <v>0.57864748</v>
      </c>
    </row>
    <row r="14" spans="1:18">
      <c r="A14" s="15" t="s">
        <v>436</v>
      </c>
      <c r="B14" s="17" t="n">
        <v>5587</v>
      </c>
      <c r="C14" s="18">
        <f>(4906.0/B14*100)</f>
        <v/>
      </c>
      <c r="D14" s="19" t="n">
        <v>681</v>
      </c>
      <c r="E14" s="18" t="n">
        <v>6.04002991</v>
      </c>
      <c r="F14" s="20" t="n">
        <v>0.94416719</v>
      </c>
      <c r="G14" s="18" t="n">
        <v>93.41956645</v>
      </c>
      <c r="H14" s="20" t="n">
        <v>1.02129454</v>
      </c>
      <c r="I14" s="18" t="n">
        <v>0</v>
      </c>
      <c r="J14" s="20" t="n">
        <v>0</v>
      </c>
      <c r="K14" s="18" t="n">
        <v>0</v>
      </c>
      <c r="L14" s="20" t="n">
        <v>0</v>
      </c>
      <c r="M14" s="18" t="n">
        <v>0</v>
      </c>
      <c r="N14" s="20" t="n">
        <v>0</v>
      </c>
      <c r="O14" s="18" t="n">
        <v>0</v>
      </c>
      <c r="P14" s="20" t="n">
        <v>0</v>
      </c>
      <c r="Q14" s="18" t="n">
        <v>0.54040364</v>
      </c>
      <c r="R14" s="20" t="n">
        <v>0.33910865</v>
      </c>
    </row>
    <row r="15" spans="1:18">
      <c r="A15" s="15" t="s">
        <v>437</v>
      </c>
      <c r="B15" s="17" t="n">
        <v>5882</v>
      </c>
      <c r="C15" s="18">
        <f>(5180.0/B15*100)</f>
        <v/>
      </c>
      <c r="D15" s="19" t="n">
        <v>702</v>
      </c>
      <c r="E15" s="18" t="n">
        <v>5.82423953</v>
      </c>
      <c r="F15" s="20" t="n">
        <v>0.87720645</v>
      </c>
      <c r="G15" s="18" t="n">
        <v>93.30125895</v>
      </c>
      <c r="H15" s="20" t="n">
        <v>0.96673701</v>
      </c>
      <c r="I15" s="18" t="n">
        <v>0</v>
      </c>
      <c r="J15" s="20" t="n">
        <v>0</v>
      </c>
      <c r="K15" s="18" t="n">
        <v>0.2596689</v>
      </c>
      <c r="L15" s="20" t="n">
        <v>0.18496121</v>
      </c>
      <c r="M15" s="18" t="n">
        <v>0</v>
      </c>
      <c r="N15" s="20" t="n">
        <v>0</v>
      </c>
      <c r="O15" s="18" t="n">
        <v>0</v>
      </c>
      <c r="P15" s="20" t="n">
        <v>0</v>
      </c>
      <c r="Q15" s="18" t="n">
        <v>0.61483261</v>
      </c>
      <c r="R15" s="20" t="n">
        <v>0.32160266</v>
      </c>
    </row>
    <row r="16" spans="1:18">
      <c r="A16" s="15" t="s">
        <v>438</v>
      </c>
      <c r="B16" s="17" t="n">
        <v>6108</v>
      </c>
      <c r="C16" s="18">
        <f>(5387.0/B16*100)</f>
        <v/>
      </c>
      <c r="D16" s="19" t="n">
        <v>721</v>
      </c>
      <c r="E16" s="18" t="n">
        <v>9.66638028</v>
      </c>
      <c r="F16" s="20" t="n">
        <v>1.21603996</v>
      </c>
      <c r="G16" s="18" t="n">
        <v>86.22157948</v>
      </c>
      <c r="H16" s="20" t="n">
        <v>1.39862303</v>
      </c>
      <c r="I16" s="18" t="n">
        <v>0</v>
      </c>
      <c r="J16" s="20" t="n">
        <v>0</v>
      </c>
      <c r="K16" s="18" t="n">
        <v>1.36864292</v>
      </c>
      <c r="L16" s="20" t="n">
        <v>0.53481352</v>
      </c>
      <c r="M16" s="18" t="n">
        <v>0</v>
      </c>
      <c r="N16" s="20" t="n">
        <v>0</v>
      </c>
      <c r="O16" s="18" t="n">
        <v>0</v>
      </c>
      <c r="P16" s="20" t="n">
        <v>0</v>
      </c>
      <c r="Q16" s="18" t="n">
        <v>2.74339732</v>
      </c>
      <c r="R16" s="20" t="n">
        <v>0.616811</v>
      </c>
    </row>
    <row r="17" spans="1:18">
      <c r="A17" s="15" t="s">
        <v>439</v>
      </c>
      <c r="B17" s="17" t="n">
        <v>6504</v>
      </c>
      <c r="C17" s="18">
        <f>(5746.0/B17*100)</f>
        <v/>
      </c>
      <c r="D17" s="19" t="n">
        <v>758</v>
      </c>
      <c r="E17" s="18" t="n">
        <v>11.68641859</v>
      </c>
      <c r="F17" s="20" t="n">
        <v>1.10905684</v>
      </c>
      <c r="G17" s="18" t="n">
        <v>86.60266343000001</v>
      </c>
      <c r="H17" s="20" t="n">
        <v>1.18740694</v>
      </c>
      <c r="I17" s="18" t="n">
        <v>0</v>
      </c>
      <c r="J17" s="20" t="n">
        <v>0</v>
      </c>
      <c r="K17" s="18" t="n">
        <v>0.45289988</v>
      </c>
      <c r="L17" s="20" t="n">
        <v>0.23304579</v>
      </c>
      <c r="M17" s="18" t="n">
        <v>0</v>
      </c>
      <c r="N17" s="20" t="n">
        <v>0</v>
      </c>
      <c r="O17" s="18" t="n">
        <v>0</v>
      </c>
      <c r="P17" s="20" t="n">
        <v>0</v>
      </c>
      <c r="Q17" s="18" t="n">
        <v>1.2580181</v>
      </c>
      <c r="R17" s="20" t="n">
        <v>0.3276079</v>
      </c>
    </row>
    <row r="18" spans="1:18">
      <c r="A18" s="15" t="s">
        <v>440</v>
      </c>
      <c r="B18" s="17" t="n">
        <v>5532</v>
      </c>
      <c r="C18" s="18">
        <f>(4856.0/B18*100)</f>
        <v/>
      </c>
      <c r="D18" s="19" t="n">
        <v>676</v>
      </c>
      <c r="E18" s="18" t="n">
        <v>15.56763652</v>
      </c>
      <c r="F18" s="20" t="n">
        <v>1.4648179</v>
      </c>
      <c r="G18" s="18" t="n">
        <v>79.58824262</v>
      </c>
      <c r="H18" s="20" t="n">
        <v>1.72270675</v>
      </c>
      <c r="I18" s="18" t="n">
        <v>0</v>
      </c>
      <c r="J18" s="20" t="n">
        <v>0</v>
      </c>
      <c r="K18" s="18" t="n">
        <v>1.24440166</v>
      </c>
      <c r="L18" s="20" t="n">
        <v>0.57203624</v>
      </c>
      <c r="M18" s="18" t="n">
        <v>0</v>
      </c>
      <c r="N18" s="20" t="n">
        <v>0</v>
      </c>
      <c r="O18" s="18" t="n">
        <v>0</v>
      </c>
      <c r="P18" s="20" t="n">
        <v>0</v>
      </c>
      <c r="Q18" s="18" t="n">
        <v>3.59971919</v>
      </c>
      <c r="R18" s="20" t="n">
        <v>0.83481429</v>
      </c>
    </row>
    <row r="19" spans="1:18">
      <c r="A19" s="15" t="s">
        <v>441</v>
      </c>
      <c r="B19" s="17" t="n">
        <v>5658</v>
      </c>
      <c r="C19" s="18">
        <f>(4959.0/B19*100)</f>
        <v/>
      </c>
      <c r="D19" s="19" t="n">
        <v>699</v>
      </c>
      <c r="E19" s="18" t="n">
        <v>11.54272227</v>
      </c>
      <c r="F19" s="20" t="n">
        <v>1.34303505</v>
      </c>
      <c r="G19" s="18" t="n">
        <v>86.20514550999999</v>
      </c>
      <c r="H19" s="20" t="n">
        <v>1.43478486</v>
      </c>
      <c r="I19" s="18" t="n">
        <v>0</v>
      </c>
      <c r="J19" s="20" t="n">
        <v>0</v>
      </c>
      <c r="K19" s="18" t="n">
        <v>0.30159383</v>
      </c>
      <c r="L19" s="20" t="n">
        <v>0.32884281</v>
      </c>
      <c r="M19" s="18" t="n">
        <v>0</v>
      </c>
      <c r="N19" s="20" t="n">
        <v>0</v>
      </c>
      <c r="O19" s="18" t="n">
        <v>0</v>
      </c>
      <c r="P19" s="20" t="n">
        <v>0</v>
      </c>
      <c r="Q19" s="18" t="n">
        <v>1.95053838</v>
      </c>
      <c r="R19" s="20" t="n">
        <v>0.48110089</v>
      </c>
    </row>
    <row r="20" spans="1:18">
      <c r="A20" s="15" t="s">
        <v>442</v>
      </c>
      <c r="B20" s="17" t="n">
        <v>3371</v>
      </c>
      <c r="C20" s="18">
        <f>(2972.0/B20*100)</f>
        <v/>
      </c>
      <c r="D20" s="19" t="n">
        <v>399</v>
      </c>
      <c r="E20" s="18" t="n">
        <v>9.521122849999999</v>
      </c>
      <c r="F20" s="20" t="n">
        <v>1.52978143</v>
      </c>
      <c r="G20" s="18" t="n">
        <v>88.32031677000001</v>
      </c>
      <c r="H20" s="20" t="n">
        <v>1.69486299</v>
      </c>
      <c r="I20" s="18" t="n">
        <v>0</v>
      </c>
      <c r="J20" s="20" t="n">
        <v>0</v>
      </c>
      <c r="K20" s="18" t="n">
        <v>0.83298732</v>
      </c>
      <c r="L20" s="20" t="n">
        <v>0.47135782</v>
      </c>
      <c r="M20" s="18" t="n">
        <v>0.38897909</v>
      </c>
      <c r="N20" s="20" t="n">
        <v>0.28116941</v>
      </c>
      <c r="O20" s="18" t="n">
        <v>0</v>
      </c>
      <c r="P20" s="20" t="n">
        <v>0</v>
      </c>
      <c r="Q20" s="18" t="n">
        <v>0.93659397</v>
      </c>
      <c r="R20" s="20" t="n">
        <v>0.46251636</v>
      </c>
    </row>
    <row r="21" spans="1:18">
      <c r="A21" s="15" t="s">
        <v>443</v>
      </c>
      <c r="B21" s="17" t="n">
        <v>5741</v>
      </c>
      <c r="C21" s="18">
        <f>(4789.0/B21*100)</f>
        <v/>
      </c>
      <c r="D21" s="19" t="n">
        <v>952</v>
      </c>
      <c r="E21" s="18" t="n">
        <v>4.44638012</v>
      </c>
      <c r="F21" s="20" t="n">
        <v>0.6560423</v>
      </c>
      <c r="G21" s="18" t="n">
        <v>94.96083948</v>
      </c>
      <c r="H21" s="20" t="n">
        <v>0.66945511</v>
      </c>
      <c r="I21" s="18" t="n">
        <v>0</v>
      </c>
      <c r="J21" s="20" t="n">
        <v>0</v>
      </c>
      <c r="K21" s="18" t="n">
        <v>0</v>
      </c>
      <c r="L21" s="20" t="n">
        <v>0</v>
      </c>
      <c r="M21" s="18" t="n">
        <v>0</v>
      </c>
      <c r="N21" s="20" t="n">
        <v>0</v>
      </c>
      <c r="O21" s="18" t="n">
        <v>0</v>
      </c>
      <c r="P21" s="20" t="n">
        <v>0</v>
      </c>
      <c r="Q21" s="18" t="n">
        <v>0.5927804</v>
      </c>
      <c r="R21" s="20" t="n">
        <v>0.23489207</v>
      </c>
    </row>
    <row r="22" spans="1:18">
      <c r="A22" s="15" t="s">
        <v>444</v>
      </c>
      <c r="B22" s="17" t="n">
        <v>6598</v>
      </c>
      <c r="C22" s="18">
        <f>(5870.0/B22*100)</f>
        <v/>
      </c>
      <c r="D22" s="19" t="n">
        <v>728</v>
      </c>
      <c r="E22" s="18" t="n">
        <v>23.13126527</v>
      </c>
      <c r="F22" s="20" t="n">
        <v>1.46017962</v>
      </c>
      <c r="G22" s="18" t="n">
        <v>71.99914524</v>
      </c>
      <c r="H22" s="20" t="n">
        <v>1.6559235</v>
      </c>
      <c r="I22" s="18" t="n">
        <v>0</v>
      </c>
      <c r="J22" s="20" t="n">
        <v>0</v>
      </c>
      <c r="K22" s="18" t="n">
        <v>1.32144232</v>
      </c>
      <c r="L22" s="20" t="n">
        <v>0.48975668</v>
      </c>
      <c r="M22" s="18" t="n">
        <v>0</v>
      </c>
      <c r="N22" s="20" t="n">
        <v>0</v>
      </c>
      <c r="O22" s="18" t="n">
        <v>0</v>
      </c>
      <c r="P22" s="20" t="n">
        <v>0</v>
      </c>
      <c r="Q22" s="18" t="n">
        <v>3.54814718</v>
      </c>
      <c r="R22" s="20" t="n">
        <v>0.7905283400000001</v>
      </c>
    </row>
    <row r="23" spans="1:18">
      <c r="A23" s="15" t="s">
        <v>445</v>
      </c>
      <c r="B23" s="17" t="n">
        <v>11583</v>
      </c>
      <c r="C23" s="18">
        <f>(10146.0/B23*100)</f>
        <v/>
      </c>
      <c r="D23" s="19" t="n">
        <v>1437</v>
      </c>
      <c r="E23" s="18" t="n">
        <v>11.10297575</v>
      </c>
      <c r="F23" s="20" t="n">
        <v>1.38897796</v>
      </c>
      <c r="G23" s="18" t="n">
        <v>84.7931236</v>
      </c>
      <c r="H23" s="20" t="n">
        <v>1.50597338</v>
      </c>
      <c r="I23" s="18" t="n">
        <v>0</v>
      </c>
      <c r="J23" s="20" t="n">
        <v>0</v>
      </c>
      <c r="K23" s="18" t="n">
        <v>0.6911672</v>
      </c>
      <c r="L23" s="20" t="n">
        <v>0.3251924</v>
      </c>
      <c r="M23" s="18" t="n">
        <v>0.20128803</v>
      </c>
      <c r="N23" s="20" t="n">
        <v>0.11074857</v>
      </c>
      <c r="O23" s="18" t="n">
        <v>0</v>
      </c>
      <c r="P23" s="20" t="n">
        <v>0</v>
      </c>
      <c r="Q23" s="18" t="n">
        <v>3.21144541</v>
      </c>
      <c r="R23" s="20" t="n">
        <v>1.1445303</v>
      </c>
    </row>
    <row r="24" spans="1:18">
      <c r="A24" s="15" t="s">
        <v>446</v>
      </c>
      <c r="B24" s="17" t="n">
        <v>6647</v>
      </c>
      <c r="C24" s="18">
        <f>(5901.0/B24*100)</f>
        <v/>
      </c>
      <c r="D24" s="19" t="n">
        <v>746</v>
      </c>
      <c r="E24" s="18" t="n">
        <v>9.056796309999999</v>
      </c>
      <c r="F24" s="20" t="n">
        <v>1.13725188</v>
      </c>
      <c r="G24" s="18" t="n">
        <v>88.52806801</v>
      </c>
      <c r="H24" s="20" t="n">
        <v>1.25837701</v>
      </c>
      <c r="I24" s="18" t="n">
        <v>0</v>
      </c>
      <c r="J24" s="20" t="n">
        <v>0</v>
      </c>
      <c r="K24" s="18" t="n">
        <v>0.37839515</v>
      </c>
      <c r="L24" s="20" t="n">
        <v>0.21994888</v>
      </c>
      <c r="M24" s="18" t="n">
        <v>0</v>
      </c>
      <c r="N24" s="20" t="n">
        <v>0</v>
      </c>
      <c r="O24" s="18" t="n">
        <v>0</v>
      </c>
      <c r="P24" s="20" t="n">
        <v>0</v>
      </c>
      <c r="Q24" s="18" t="n">
        <v>2.03674053</v>
      </c>
      <c r="R24" s="20" t="n">
        <v>0.53707688</v>
      </c>
    </row>
    <row r="25" spans="1:18">
      <c r="A25" s="15" t="s">
        <v>447</v>
      </c>
      <c r="B25" s="17" t="n">
        <v>5581</v>
      </c>
      <c r="C25" s="18">
        <f>(4891.0/B25*100)</f>
        <v/>
      </c>
      <c r="D25" s="19" t="n">
        <v>690</v>
      </c>
      <c r="E25" s="18" t="n">
        <v>19.71576369</v>
      </c>
      <c r="F25" s="20" t="n">
        <v>1.37731777</v>
      </c>
      <c r="G25" s="18" t="n">
        <v>77.7542265</v>
      </c>
      <c r="H25" s="20" t="n">
        <v>1.43696657</v>
      </c>
      <c r="I25" s="18" t="n">
        <v>0</v>
      </c>
      <c r="J25" s="20" t="n">
        <v>0</v>
      </c>
      <c r="K25" s="18" t="n">
        <v>0.69150238</v>
      </c>
      <c r="L25" s="20" t="n">
        <v>0.3177594</v>
      </c>
      <c r="M25" s="18" t="n">
        <v>0</v>
      </c>
      <c r="N25" s="20" t="n">
        <v>0</v>
      </c>
      <c r="O25" s="18" t="n">
        <v>0</v>
      </c>
      <c r="P25" s="20" t="n">
        <v>0</v>
      </c>
      <c r="Q25" s="18" t="n">
        <v>1.83850743</v>
      </c>
      <c r="R25" s="20" t="n">
        <v>0.58466926</v>
      </c>
    </row>
    <row r="26" spans="1:18">
      <c r="A26" s="15" t="s">
        <v>448</v>
      </c>
      <c r="B26" s="17" t="n">
        <v>4869</v>
      </c>
      <c r="C26" s="18">
        <f>(4273.0/B26*100)</f>
        <v/>
      </c>
      <c r="D26" s="19" t="n">
        <v>596</v>
      </c>
      <c r="E26" s="18" t="n">
        <v>9.3403303</v>
      </c>
      <c r="F26" s="20" t="n">
        <v>1.24268621</v>
      </c>
      <c r="G26" s="18" t="n">
        <v>89.27353463</v>
      </c>
      <c r="H26" s="20" t="n">
        <v>1.31163611</v>
      </c>
      <c r="I26" s="18" t="n">
        <v>0</v>
      </c>
      <c r="J26" s="20" t="n">
        <v>0</v>
      </c>
      <c r="K26" s="18" t="n">
        <v>0.15653632</v>
      </c>
      <c r="L26" s="20" t="n">
        <v>0.15485191</v>
      </c>
      <c r="M26" s="18" t="n">
        <v>0.11618677</v>
      </c>
      <c r="N26" s="20" t="n">
        <v>0.11643686</v>
      </c>
      <c r="O26" s="18" t="n">
        <v>0</v>
      </c>
      <c r="P26" s="20" t="n">
        <v>0</v>
      </c>
      <c r="Q26" s="18" t="n">
        <v>1.11341198</v>
      </c>
      <c r="R26" s="20" t="n">
        <v>0.41022786</v>
      </c>
    </row>
    <row r="27" spans="1:18">
      <c r="A27" s="15" t="s">
        <v>449</v>
      </c>
      <c r="B27" s="17" t="n">
        <v>5299</v>
      </c>
      <c r="C27" s="18">
        <f>(4652.0/B27*100)</f>
        <v/>
      </c>
      <c r="D27" s="19" t="n">
        <v>647</v>
      </c>
      <c r="E27" s="18" t="n">
        <v>18.23206263</v>
      </c>
      <c r="F27" s="20" t="n">
        <v>1.57501241</v>
      </c>
      <c r="G27" s="18" t="n">
        <v>78.74236642</v>
      </c>
      <c r="H27" s="20" t="n">
        <v>1.57717789</v>
      </c>
      <c r="I27" s="18" t="n">
        <v>0</v>
      </c>
      <c r="J27" s="20" t="n">
        <v>0</v>
      </c>
      <c r="K27" s="18" t="n">
        <v>0.48596839</v>
      </c>
      <c r="L27" s="20" t="n">
        <v>0.27850106</v>
      </c>
      <c r="M27" s="18" t="n">
        <v>0</v>
      </c>
      <c r="N27" s="20" t="n">
        <v>0</v>
      </c>
      <c r="O27" s="18" t="n">
        <v>0</v>
      </c>
      <c r="P27" s="20" t="n">
        <v>0</v>
      </c>
      <c r="Q27" s="18" t="n">
        <v>2.53960256</v>
      </c>
      <c r="R27" s="20" t="n">
        <v>0.61124348</v>
      </c>
    </row>
    <row r="28" spans="1:18">
      <c r="A28" s="15" t="s">
        <v>450</v>
      </c>
      <c r="B28" s="17" t="n">
        <v>7568</v>
      </c>
      <c r="C28" s="18">
        <f>(6719.0/B28*100)</f>
        <v/>
      </c>
      <c r="D28" s="19" t="n">
        <v>849</v>
      </c>
      <c r="E28" s="18" t="n">
        <v>44.07663305</v>
      </c>
      <c r="F28" s="20" t="n">
        <v>2.0570192</v>
      </c>
      <c r="G28" s="18" t="n">
        <v>53.94421427</v>
      </c>
      <c r="H28" s="20" t="n">
        <v>2.1298882</v>
      </c>
      <c r="I28" s="18" t="n">
        <v>0</v>
      </c>
      <c r="J28" s="20" t="n">
        <v>0</v>
      </c>
      <c r="K28" s="18" t="n">
        <v>0.68290439</v>
      </c>
      <c r="L28" s="20" t="n">
        <v>0.32190326</v>
      </c>
      <c r="M28" s="18" t="n">
        <v>0.09714791</v>
      </c>
      <c r="N28" s="20" t="n">
        <v>0.09677224</v>
      </c>
      <c r="O28" s="18" t="n">
        <v>0</v>
      </c>
      <c r="P28" s="20" t="n">
        <v>0</v>
      </c>
      <c r="Q28" s="18" t="n">
        <v>1.19910039</v>
      </c>
      <c r="R28" s="20" t="n">
        <v>0.48221458</v>
      </c>
    </row>
    <row r="29" spans="1:18">
      <c r="A29" s="15" t="s">
        <v>451</v>
      </c>
      <c r="B29" s="17" t="n">
        <v>5385</v>
      </c>
      <c r="C29" s="18">
        <f>(4748.0/B29*100)</f>
        <v/>
      </c>
      <c r="D29" s="19" t="n">
        <v>637</v>
      </c>
      <c r="E29" s="18" t="n">
        <v>8.211023490000001</v>
      </c>
      <c r="F29" s="20" t="n">
        <v>1.06187986</v>
      </c>
      <c r="G29" s="18" t="n">
        <v>91.1961041</v>
      </c>
      <c r="H29" s="20" t="n">
        <v>1.13068765</v>
      </c>
      <c r="I29" s="18" t="n">
        <v>0</v>
      </c>
      <c r="J29" s="20" t="n">
        <v>0</v>
      </c>
      <c r="K29" s="18" t="n">
        <v>0.2010417</v>
      </c>
      <c r="L29" s="20" t="n">
        <v>0.198841</v>
      </c>
      <c r="M29" s="18" t="n">
        <v>0</v>
      </c>
      <c r="N29" s="20" t="n">
        <v>0</v>
      </c>
      <c r="O29" s="18" t="n">
        <v>0</v>
      </c>
      <c r="P29" s="20" t="n">
        <v>0</v>
      </c>
      <c r="Q29" s="18" t="n">
        <v>0.39183071</v>
      </c>
      <c r="R29" s="20" t="n">
        <v>0.2672118</v>
      </c>
    </row>
    <row r="30" spans="1:18">
      <c r="A30" s="15" t="s">
        <v>452</v>
      </c>
      <c r="B30" s="17" t="n">
        <v>4520</v>
      </c>
      <c r="C30" s="18">
        <f>(4008.0/B30*100)</f>
        <v/>
      </c>
      <c r="D30" s="19" t="n">
        <v>512</v>
      </c>
      <c r="E30" s="18" t="n">
        <v>10.67020307</v>
      </c>
      <c r="F30" s="20" t="n">
        <v>1.41364741</v>
      </c>
      <c r="G30" s="18" t="n">
        <v>87.65265443</v>
      </c>
      <c r="H30" s="20" t="n">
        <v>1.62357805</v>
      </c>
      <c r="I30" s="18" t="n">
        <v>0</v>
      </c>
      <c r="J30" s="20" t="n">
        <v>0</v>
      </c>
      <c r="K30" s="18" t="n">
        <v>0.35631543</v>
      </c>
      <c r="L30" s="20" t="n">
        <v>0.25524646</v>
      </c>
      <c r="M30" s="18" t="n">
        <v>0</v>
      </c>
      <c r="N30" s="20" t="n">
        <v>0</v>
      </c>
      <c r="O30" s="18" t="n">
        <v>0</v>
      </c>
      <c r="P30" s="20" t="n">
        <v>0</v>
      </c>
      <c r="Q30" s="18" t="n">
        <v>1.32082707</v>
      </c>
      <c r="R30" s="20" t="n">
        <v>0.56043146</v>
      </c>
    </row>
    <row r="31" spans="1:18">
      <c r="A31" s="15" t="s">
        <v>453</v>
      </c>
      <c r="B31" s="17" t="n">
        <v>5456</v>
      </c>
      <c r="C31" s="18">
        <f>(4803.0/B31*100)</f>
        <v/>
      </c>
      <c r="D31" s="19" t="n">
        <v>653</v>
      </c>
      <c r="E31" s="18" t="n">
        <v>9.703822110000001</v>
      </c>
      <c r="F31" s="20" t="n">
        <v>1.13409817</v>
      </c>
      <c r="G31" s="18" t="n">
        <v>87.45468733</v>
      </c>
      <c r="H31" s="20" t="n">
        <v>1.2188058</v>
      </c>
      <c r="I31" s="18" t="n">
        <v>0</v>
      </c>
      <c r="J31" s="20" t="n">
        <v>0</v>
      </c>
      <c r="K31" s="18" t="n">
        <v>1.07800726</v>
      </c>
      <c r="L31" s="20" t="n">
        <v>0.47301054</v>
      </c>
      <c r="M31" s="18" t="n">
        <v>0</v>
      </c>
      <c r="N31" s="20" t="n">
        <v>0</v>
      </c>
      <c r="O31" s="18" t="n">
        <v>0</v>
      </c>
      <c r="P31" s="20" t="n">
        <v>0</v>
      </c>
      <c r="Q31" s="18" t="n">
        <v>1.76348329</v>
      </c>
      <c r="R31" s="20" t="n">
        <v>0.46438501</v>
      </c>
    </row>
    <row r="32" spans="1:18">
      <c r="A32" s="15" t="s">
        <v>454</v>
      </c>
      <c r="B32" s="17" t="n">
        <v>4478</v>
      </c>
      <c r="C32" s="18">
        <f>(3737.0/B32*100)</f>
        <v/>
      </c>
      <c r="D32" s="19" t="n">
        <v>741</v>
      </c>
      <c r="E32" s="18" t="n">
        <v>4.69220383</v>
      </c>
      <c r="F32" s="20" t="n">
        <v>0.82506047</v>
      </c>
      <c r="G32" s="18" t="n">
        <v>94.03685111</v>
      </c>
      <c r="H32" s="20" t="n">
        <v>0.94952529</v>
      </c>
      <c r="I32" s="18" t="n">
        <v>0</v>
      </c>
      <c r="J32" s="20" t="n">
        <v>0</v>
      </c>
      <c r="K32" s="18" t="n">
        <v>0.1302786</v>
      </c>
      <c r="L32" s="20" t="n">
        <v>0.12263181</v>
      </c>
      <c r="M32" s="18" t="n">
        <v>0.12692679</v>
      </c>
      <c r="N32" s="20" t="n">
        <v>0.12675818</v>
      </c>
      <c r="O32" s="18" t="n">
        <v>0</v>
      </c>
      <c r="P32" s="20" t="n">
        <v>0</v>
      </c>
      <c r="Q32" s="18" t="n">
        <v>1.01373966</v>
      </c>
      <c r="R32" s="20" t="n">
        <v>0.38154823</v>
      </c>
    </row>
    <row r="33" spans="1:18">
      <c r="A33" s="15" t="s">
        <v>455</v>
      </c>
      <c r="B33" s="17" t="n">
        <v>7325</v>
      </c>
      <c r="C33" s="18">
        <f>(6466.0/B33*100)</f>
        <v/>
      </c>
      <c r="D33" s="19" t="n">
        <v>859</v>
      </c>
      <c r="E33" s="18" t="n">
        <v>12.93799224</v>
      </c>
      <c r="F33" s="20" t="n">
        <v>1.38298015</v>
      </c>
      <c r="G33" s="18" t="n">
        <v>84.2913288</v>
      </c>
      <c r="H33" s="20" t="n">
        <v>1.539204</v>
      </c>
      <c r="I33" s="18" t="n">
        <v>0</v>
      </c>
      <c r="J33" s="20" t="n">
        <v>0</v>
      </c>
      <c r="K33" s="18" t="n">
        <v>0.33757203</v>
      </c>
      <c r="L33" s="20" t="n">
        <v>0.18571402</v>
      </c>
      <c r="M33" s="18" t="n">
        <v>0</v>
      </c>
      <c r="N33" s="20" t="n">
        <v>0</v>
      </c>
      <c r="O33" s="18" t="n">
        <v>0</v>
      </c>
      <c r="P33" s="20" t="n">
        <v>0</v>
      </c>
      <c r="Q33" s="18" t="n">
        <v>2.43310694</v>
      </c>
      <c r="R33" s="20" t="n">
        <v>0.57177531</v>
      </c>
    </row>
    <row r="34" spans="1:18">
      <c r="A34" s="15" t="s">
        <v>456</v>
      </c>
      <c r="B34" s="17" t="n">
        <v>6350</v>
      </c>
      <c r="C34" s="18">
        <f>(5613.0/B34*100)</f>
        <v/>
      </c>
      <c r="D34" s="19" t="n">
        <v>737</v>
      </c>
      <c r="E34" s="18" t="n">
        <v>10.92648001</v>
      </c>
      <c r="F34" s="20" t="n">
        <v>1.28230628</v>
      </c>
      <c r="G34" s="18" t="n">
        <v>87.06737630000001</v>
      </c>
      <c r="H34" s="20" t="n">
        <v>1.43693163</v>
      </c>
      <c r="I34" s="18" t="n">
        <v>0</v>
      </c>
      <c r="J34" s="20" t="n">
        <v>0</v>
      </c>
      <c r="K34" s="18" t="n">
        <v>0.22252011</v>
      </c>
      <c r="L34" s="20" t="n">
        <v>0.13246507</v>
      </c>
      <c r="M34" s="18" t="n">
        <v>0.11995704</v>
      </c>
      <c r="N34" s="20" t="n">
        <v>0.12019696</v>
      </c>
      <c r="O34" s="18" t="n">
        <v>0</v>
      </c>
      <c r="P34" s="20" t="n">
        <v>0</v>
      </c>
      <c r="Q34" s="18" t="n">
        <v>1.66366654</v>
      </c>
      <c r="R34" s="20" t="n">
        <v>0.57802684</v>
      </c>
    </row>
    <row r="35" spans="1:18">
      <c r="A35" s="15" t="s">
        <v>457</v>
      </c>
      <c r="B35" s="17" t="n">
        <v>6406</v>
      </c>
      <c r="C35" s="18">
        <f>(5647.0/B35*100)</f>
        <v/>
      </c>
      <c r="D35" s="19" t="n">
        <v>759</v>
      </c>
      <c r="E35" s="18" t="n">
        <v>10.02664058</v>
      </c>
      <c r="F35" s="20" t="n">
        <v>1.0885709</v>
      </c>
      <c r="G35" s="18" t="n">
        <v>88.48633017</v>
      </c>
      <c r="H35" s="20" t="n">
        <v>1.25355554</v>
      </c>
      <c r="I35" s="18" t="n">
        <v>0</v>
      </c>
      <c r="J35" s="20" t="n">
        <v>0</v>
      </c>
      <c r="K35" s="18" t="n">
        <v>0</v>
      </c>
      <c r="L35" s="20" t="n">
        <v>0</v>
      </c>
      <c r="M35" s="18" t="n">
        <v>0.2287293</v>
      </c>
      <c r="N35" s="20" t="n">
        <v>0.22771874</v>
      </c>
      <c r="O35" s="18" t="n">
        <v>0</v>
      </c>
      <c r="P35" s="20" t="n">
        <v>0</v>
      </c>
      <c r="Q35" s="18" t="n">
        <v>1.25829995</v>
      </c>
      <c r="R35" s="20" t="n">
        <v>0.70396152</v>
      </c>
    </row>
    <row r="36" spans="1:18">
      <c r="A36" s="15" t="s">
        <v>458</v>
      </c>
      <c r="B36" s="17" t="n">
        <v>6736</v>
      </c>
      <c r="C36" s="18">
        <f>(5931.0/B36*100)</f>
        <v/>
      </c>
      <c r="D36" s="19" t="n">
        <v>805</v>
      </c>
      <c r="E36" s="18" t="n">
        <v>16.35542697</v>
      </c>
      <c r="F36" s="20" t="n">
        <v>1.51145541</v>
      </c>
      <c r="G36" s="18" t="n">
        <v>80.48230363</v>
      </c>
      <c r="H36" s="20" t="n">
        <v>1.68139733</v>
      </c>
      <c r="I36" s="18" t="n">
        <v>0</v>
      </c>
      <c r="J36" s="20" t="n">
        <v>0</v>
      </c>
      <c r="K36" s="18" t="n">
        <v>0.14611096</v>
      </c>
      <c r="L36" s="20" t="n">
        <v>0.1030877</v>
      </c>
      <c r="M36" s="18" t="n">
        <v>0</v>
      </c>
      <c r="N36" s="20" t="n">
        <v>0</v>
      </c>
      <c r="O36" s="18" t="n">
        <v>0</v>
      </c>
      <c r="P36" s="20" t="n">
        <v>0</v>
      </c>
      <c r="Q36" s="18" t="n">
        <v>3.01615844</v>
      </c>
      <c r="R36" s="20" t="n">
        <v>0.65388086</v>
      </c>
    </row>
    <row r="37" spans="1:18">
      <c r="A37" s="15" t="s">
        <v>459</v>
      </c>
      <c r="B37" s="17" t="n">
        <v>5458</v>
      </c>
      <c r="C37" s="18">
        <f>(4791.0/B37*100)</f>
        <v/>
      </c>
      <c r="D37" s="19" t="n">
        <v>667</v>
      </c>
      <c r="E37" s="18" t="n">
        <v>13.07501916</v>
      </c>
      <c r="F37" s="20" t="n">
        <v>1.39477828</v>
      </c>
      <c r="G37" s="18" t="n">
        <v>84.53403167</v>
      </c>
      <c r="H37" s="20" t="n">
        <v>1.37088471</v>
      </c>
      <c r="I37" s="18" t="n">
        <v>0</v>
      </c>
      <c r="J37" s="20" t="n">
        <v>0</v>
      </c>
      <c r="K37" s="18" t="n">
        <v>0.73260694</v>
      </c>
      <c r="L37" s="20" t="n">
        <v>0.34653071</v>
      </c>
      <c r="M37" s="18" t="n">
        <v>0</v>
      </c>
      <c r="N37" s="20" t="n">
        <v>0</v>
      </c>
      <c r="O37" s="18" t="n">
        <v>0</v>
      </c>
      <c r="P37" s="20" t="n">
        <v>0</v>
      </c>
      <c r="Q37" s="18" t="n">
        <v>1.65834224</v>
      </c>
      <c r="R37" s="20" t="n">
        <v>0.4496382</v>
      </c>
    </row>
    <row r="38" spans="1:18">
      <c r="A38" s="15" t="s">
        <v>460</v>
      </c>
      <c r="B38" s="17" t="n">
        <v>5860</v>
      </c>
      <c r="C38" s="18">
        <f>(4878.0/B38*100)</f>
        <v/>
      </c>
      <c r="D38" s="19" t="n">
        <v>982</v>
      </c>
      <c r="E38" s="18" t="n">
        <v>16.04139532</v>
      </c>
      <c r="F38" s="20" t="n">
        <v>1.47037859</v>
      </c>
      <c r="G38" s="18" t="n">
        <v>80.57394109000001</v>
      </c>
      <c r="H38" s="20" t="n">
        <v>1.85248424</v>
      </c>
      <c r="I38" s="18" t="n">
        <v>0</v>
      </c>
      <c r="J38" s="20" t="n">
        <v>0</v>
      </c>
      <c r="K38" s="18" t="n">
        <v>0.63212694</v>
      </c>
      <c r="L38" s="20" t="n">
        <v>0.24850306</v>
      </c>
      <c r="M38" s="18" t="n">
        <v>0</v>
      </c>
      <c r="N38" s="20" t="n">
        <v>0</v>
      </c>
      <c r="O38" s="18" t="n">
        <v>0</v>
      </c>
      <c r="P38" s="20" t="n">
        <v>0</v>
      </c>
      <c r="Q38" s="18" t="n">
        <v>2.75253665</v>
      </c>
      <c r="R38" s="20" t="n">
        <v>0.7558799</v>
      </c>
    </row>
    <row r="39" spans="1:18">
      <c r="A39" s="15" t="s">
        <v>461</v>
      </c>
      <c r="B39" s="17" t="n">
        <v>5895</v>
      </c>
      <c r="C39" s="18">
        <f>(5175.0/B39*100)</f>
        <v/>
      </c>
      <c r="D39" s="19" t="n">
        <v>720</v>
      </c>
      <c r="E39" s="18" t="n">
        <v>25.44690301</v>
      </c>
      <c r="F39" s="20" t="n">
        <v>2.13906954</v>
      </c>
      <c r="G39" s="18" t="n">
        <v>72.20911201</v>
      </c>
      <c r="H39" s="20" t="n">
        <v>2.22137975</v>
      </c>
      <c r="I39" s="18" t="n">
        <v>0</v>
      </c>
      <c r="J39" s="20" t="n">
        <v>0</v>
      </c>
      <c r="K39" s="18" t="n">
        <v>0.48954535</v>
      </c>
      <c r="L39" s="20" t="n">
        <v>0.27327804</v>
      </c>
      <c r="M39" s="18" t="n">
        <v>0.06184123</v>
      </c>
      <c r="N39" s="20" t="n">
        <v>0.04424846</v>
      </c>
      <c r="O39" s="18" t="n">
        <v>0</v>
      </c>
      <c r="P39" s="20" t="n">
        <v>0</v>
      </c>
      <c r="Q39" s="18" t="n">
        <v>1.7925984</v>
      </c>
      <c r="R39" s="20" t="n">
        <v>0.56277095</v>
      </c>
    </row>
    <row r="40" spans="1:18">
      <c r="A40" s="15" t="s">
        <v>462</v>
      </c>
      <c r="B40" s="17" t="n">
        <v>14157</v>
      </c>
      <c r="C40" s="18">
        <f>(12447.0/B40*100)</f>
        <v/>
      </c>
      <c r="D40" s="19" t="n">
        <v>1710</v>
      </c>
      <c r="E40" s="18" t="n">
        <v>6.51735457</v>
      </c>
      <c r="F40" s="20" t="n">
        <v>0.91620212</v>
      </c>
      <c r="G40" s="18" t="n">
        <v>91.73315205</v>
      </c>
      <c r="H40" s="20" t="n">
        <v>0.9961081899999999</v>
      </c>
      <c r="I40" s="18" t="n">
        <v>0</v>
      </c>
      <c r="J40" s="20" t="n">
        <v>0</v>
      </c>
      <c r="K40" s="18" t="n">
        <v>0.3089564</v>
      </c>
      <c r="L40" s="20" t="n">
        <v>0.17278164</v>
      </c>
      <c r="M40" s="18" t="n">
        <v>0.28185085</v>
      </c>
      <c r="N40" s="20" t="n">
        <v>0.22159473</v>
      </c>
      <c r="O40" s="18" t="n">
        <v>0</v>
      </c>
      <c r="P40" s="20" t="n">
        <v>0</v>
      </c>
      <c r="Q40" s="18" t="n">
        <v>1.15868613</v>
      </c>
      <c r="R40" s="20" t="n">
        <v>0.3511109</v>
      </c>
    </row>
    <row r="41" spans="1:18">
      <c r="A41" s="15" t="s">
        <v>463</v>
      </c>
      <c r="B41" s="17" t="n">
        <v>5712</v>
      </c>
      <c r="C41" s="18">
        <f>(5018.0/B41*100)</f>
        <v/>
      </c>
      <c r="D41" s="19" t="n">
        <v>694</v>
      </c>
      <c r="E41" s="18" t="n">
        <v>12.20996657</v>
      </c>
      <c r="F41" s="20" t="n">
        <v>1.27914006</v>
      </c>
      <c r="G41" s="18" t="n">
        <v>86.26075342999999</v>
      </c>
      <c r="H41" s="20" t="n">
        <v>1.3668297</v>
      </c>
      <c r="I41" s="18" t="n">
        <v>0</v>
      </c>
      <c r="J41" s="20" t="n">
        <v>0</v>
      </c>
      <c r="K41" s="18" t="n">
        <v>0.35854813</v>
      </c>
      <c r="L41" s="20" t="n">
        <v>0.25911822</v>
      </c>
      <c r="M41" s="18" t="n">
        <v>0</v>
      </c>
      <c r="N41" s="20" t="n">
        <v>0</v>
      </c>
      <c r="O41" s="18" t="n">
        <v>0</v>
      </c>
      <c r="P41" s="20" t="n">
        <v>0</v>
      </c>
      <c r="Q41" s="18" t="n">
        <v>1.17073187</v>
      </c>
      <c r="R41" s="20" t="n">
        <v>0.37807279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(20914.0/B46*100)</f>
        <v/>
      </c>
      <c r="D46" s="19" t="n">
        <v>2227</v>
      </c>
      <c r="E46" s="18" t="n">
        <v>34.16479942</v>
      </c>
      <c r="F46" s="20" t="n">
        <v>1.53093645</v>
      </c>
      <c r="G46" s="18" t="n">
        <v>58.4892992</v>
      </c>
      <c r="H46" s="20" t="n">
        <v>1.48786311</v>
      </c>
      <c r="I46" s="18" t="n">
        <v>0</v>
      </c>
      <c r="J46" s="20" t="n">
        <v>0</v>
      </c>
      <c r="K46" s="18" t="n">
        <v>1.34247371</v>
      </c>
      <c r="L46" s="20" t="n">
        <v>0.27517218</v>
      </c>
      <c r="M46" s="18" t="n">
        <v>0.29303347</v>
      </c>
      <c r="N46" s="20" t="n">
        <v>0.14274203</v>
      </c>
      <c r="O46" s="18" t="n">
        <v>0</v>
      </c>
      <c r="P46" s="20" t="n">
        <v>0</v>
      </c>
      <c r="Q46" s="18" t="n">
        <v>5.71039419</v>
      </c>
      <c r="R46" s="20" t="n">
        <v>0.62537522</v>
      </c>
    </row>
    <row r="47" spans="1:18">
      <c r="A47" s="15" t="s">
        <v>470</v>
      </c>
      <c r="B47" s="17" t="n">
        <v>5928</v>
      </c>
      <c r="C47" s="18">
        <f>(5209.0/B47*100)</f>
        <v/>
      </c>
      <c r="D47" s="19" t="n">
        <v>719</v>
      </c>
      <c r="E47" s="18" t="n">
        <v>18.74443891</v>
      </c>
      <c r="F47" s="20" t="n">
        <v>1.6600359</v>
      </c>
      <c r="G47" s="18" t="n">
        <v>72.40717716</v>
      </c>
      <c r="H47" s="20" t="n">
        <v>2.00297012</v>
      </c>
      <c r="I47" s="18" t="n">
        <v>0</v>
      </c>
      <c r="J47" s="20" t="n">
        <v>0</v>
      </c>
      <c r="K47" s="18" t="n">
        <v>0.28795948</v>
      </c>
      <c r="L47" s="20" t="n">
        <v>0.21320416</v>
      </c>
      <c r="M47" s="18" t="n">
        <v>0</v>
      </c>
      <c r="N47" s="20" t="n">
        <v>0</v>
      </c>
      <c r="O47" s="18" t="n">
        <v>0</v>
      </c>
      <c r="P47" s="20" t="n">
        <v>0</v>
      </c>
      <c r="Q47" s="18" t="n">
        <v>8.560424449999999</v>
      </c>
      <c r="R47" s="20" t="n">
        <v>1.12674308</v>
      </c>
    </row>
    <row r="48" spans="1:18">
      <c r="A48" s="15" t="s">
        <v>471</v>
      </c>
      <c r="B48" s="17" t="n">
        <v>9841</v>
      </c>
      <c r="C48" s="18">
        <f>(8656.0/B48*100)</f>
        <v/>
      </c>
      <c r="D48" s="19" t="n">
        <v>1185</v>
      </c>
      <c r="E48" s="18" t="n">
        <v>9.81813058</v>
      </c>
      <c r="F48" s="20" t="n">
        <v>1.02692555</v>
      </c>
      <c r="G48" s="18" t="n">
        <v>84.71199944</v>
      </c>
      <c r="H48" s="20" t="n">
        <v>1.4932286</v>
      </c>
      <c r="I48" s="18" t="n">
        <v>0</v>
      </c>
      <c r="J48" s="20" t="n">
        <v>0</v>
      </c>
      <c r="K48" s="18" t="n">
        <v>1.12095645</v>
      </c>
      <c r="L48" s="20" t="n">
        <v>0.46130647</v>
      </c>
      <c r="M48" s="18" t="n">
        <v>0</v>
      </c>
      <c r="N48" s="20" t="n">
        <v>0</v>
      </c>
      <c r="O48" s="18" t="n">
        <v>0</v>
      </c>
      <c r="P48" s="20" t="n">
        <v>0</v>
      </c>
      <c r="Q48" s="18" t="n">
        <v>4.34891354</v>
      </c>
      <c r="R48" s="20" t="n">
        <v>0.74821574</v>
      </c>
    </row>
    <row r="49" spans="1:18">
      <c r="A49" s="15" t="s">
        <v>472</v>
      </c>
      <c r="B49" s="17" t="n">
        <v>11795</v>
      </c>
      <c r="C49" s="18">
        <f>(10395.0/B49*100)</f>
        <v/>
      </c>
      <c r="D49" s="19" t="n">
        <v>1400</v>
      </c>
      <c r="E49" s="18" t="n">
        <v>33.8330105</v>
      </c>
      <c r="F49" s="20" t="n">
        <v>1.6810565</v>
      </c>
      <c r="G49" s="18" t="n">
        <v>62.09178852</v>
      </c>
      <c r="H49" s="20" t="n">
        <v>1.79158205</v>
      </c>
      <c r="I49" s="18" t="n">
        <v>0</v>
      </c>
      <c r="J49" s="20" t="n">
        <v>0</v>
      </c>
      <c r="K49" s="18" t="n">
        <v>2.19537661</v>
      </c>
      <c r="L49" s="20" t="n">
        <v>0.516914</v>
      </c>
      <c r="M49" s="18" t="n">
        <v>0.07379494</v>
      </c>
      <c r="N49" s="20" t="n">
        <v>0.05194872</v>
      </c>
      <c r="O49" s="18" t="n">
        <v>0</v>
      </c>
      <c r="P49" s="20" t="n">
        <v>0</v>
      </c>
      <c r="Q49" s="18" t="n">
        <v>1.80602942</v>
      </c>
      <c r="R49" s="20" t="n">
        <v>0.6625914000000001</v>
      </c>
    </row>
    <row r="50" spans="1:18">
      <c r="A50" s="15" t="s">
        <v>473</v>
      </c>
      <c r="B50" s="17" t="n">
        <v>6866</v>
      </c>
      <c r="C50" s="18">
        <f>(6148.0/B50*100)</f>
        <v/>
      </c>
      <c r="D50" s="19" t="n">
        <v>718</v>
      </c>
      <c r="E50" s="18" t="n">
        <v>25.41904891</v>
      </c>
      <c r="F50" s="20" t="n">
        <v>1.82903422</v>
      </c>
      <c r="G50" s="18" t="n">
        <v>71.00740515</v>
      </c>
      <c r="H50" s="20" t="n">
        <v>2.03094052</v>
      </c>
      <c r="I50" s="18" t="n">
        <v>0</v>
      </c>
      <c r="J50" s="20" t="n">
        <v>0</v>
      </c>
      <c r="K50" s="18" t="n">
        <v>1.03370456</v>
      </c>
      <c r="L50" s="20" t="n">
        <v>0.4651833</v>
      </c>
      <c r="M50" s="18" t="n">
        <v>0</v>
      </c>
      <c r="N50" s="20" t="n">
        <v>0</v>
      </c>
      <c r="O50" s="18" t="n">
        <v>0</v>
      </c>
      <c r="P50" s="20" t="n">
        <v>0</v>
      </c>
      <c r="Q50" s="18" t="n">
        <v>2.53984138</v>
      </c>
      <c r="R50" s="20" t="n">
        <v>0.64373202</v>
      </c>
    </row>
    <row r="51" spans="1:18">
      <c r="A51" s="15" t="s">
        <v>474</v>
      </c>
      <c r="B51" s="17" t="n">
        <v>5809</v>
      </c>
      <c r="C51" s="18">
        <f>(5108.0/B51*100)</f>
        <v/>
      </c>
      <c r="D51" s="19" t="n">
        <v>701</v>
      </c>
      <c r="E51" s="18" t="n">
        <v>11.15976011</v>
      </c>
      <c r="F51" s="20" t="n">
        <v>1.28232919</v>
      </c>
      <c r="G51" s="18" t="n">
        <v>87.20427153</v>
      </c>
      <c r="H51" s="20" t="n">
        <v>1.20317671</v>
      </c>
      <c r="I51" s="18" t="n">
        <v>0</v>
      </c>
      <c r="J51" s="20" t="n">
        <v>0</v>
      </c>
      <c r="K51" s="18" t="n">
        <v>0.29615358</v>
      </c>
      <c r="L51" s="20" t="n">
        <v>0.22159836</v>
      </c>
      <c r="M51" s="18" t="n">
        <v>0</v>
      </c>
      <c r="N51" s="20" t="n">
        <v>0</v>
      </c>
      <c r="O51" s="18" t="n">
        <v>0</v>
      </c>
      <c r="P51" s="20" t="n">
        <v>0</v>
      </c>
      <c r="Q51" s="18" t="n">
        <v>1.33981478</v>
      </c>
      <c r="R51" s="20" t="n">
        <v>0.4435147</v>
      </c>
    </row>
    <row r="52" spans="1:18">
      <c r="A52" s="15" t="s">
        <v>475</v>
      </c>
      <c r="B52" s="17" t="n">
        <v>5571</v>
      </c>
      <c r="C52" s="18">
        <f>(4916.0/B52*100)</f>
        <v/>
      </c>
      <c r="D52" s="19" t="n">
        <v>655</v>
      </c>
      <c r="E52" s="18" t="n">
        <v>29.83425788</v>
      </c>
      <c r="F52" s="20" t="n">
        <v>1.93640572</v>
      </c>
      <c r="G52" s="18" t="n">
        <v>66.84696957</v>
      </c>
      <c r="H52" s="20" t="n">
        <v>1.91621008</v>
      </c>
      <c r="I52" s="18" t="n">
        <v>0</v>
      </c>
      <c r="J52" s="20" t="n">
        <v>0</v>
      </c>
      <c r="K52" s="18" t="n">
        <v>0.62528346</v>
      </c>
      <c r="L52" s="20" t="n">
        <v>0.31719253</v>
      </c>
      <c r="M52" s="18" t="n">
        <v>0</v>
      </c>
      <c r="N52" s="20" t="n">
        <v>0</v>
      </c>
      <c r="O52" s="18" t="n">
        <v>0</v>
      </c>
      <c r="P52" s="20" t="n">
        <v>0</v>
      </c>
      <c r="Q52" s="18" t="n">
        <v>2.69348909</v>
      </c>
      <c r="R52" s="20" t="n">
        <v>0.55727837</v>
      </c>
    </row>
    <row r="53" spans="1:18">
      <c r="A53" s="15" t="s">
        <v>476</v>
      </c>
      <c r="B53" s="17" t="n">
        <v>4740</v>
      </c>
      <c r="C53" s="18">
        <f>(3976.0/B53*100)</f>
        <v/>
      </c>
      <c r="D53" s="19" t="n">
        <v>764</v>
      </c>
      <c r="E53" s="18" t="n">
        <v>54.7915817</v>
      </c>
      <c r="F53" s="20" t="n">
        <v>2.03632881</v>
      </c>
      <c r="G53" s="18" t="n">
        <v>28.53766829</v>
      </c>
      <c r="H53" s="20" t="n">
        <v>1.91562548</v>
      </c>
      <c r="I53" s="18" t="n">
        <v>0</v>
      </c>
      <c r="J53" s="20" t="n">
        <v>0</v>
      </c>
      <c r="K53" s="18" t="n">
        <v>11.44645342</v>
      </c>
      <c r="L53" s="20" t="n">
        <v>1.18323695</v>
      </c>
      <c r="M53" s="18" t="n">
        <v>0.95243045</v>
      </c>
      <c r="N53" s="20" t="n">
        <v>0.80093968</v>
      </c>
      <c r="O53" s="18" t="n">
        <v>0</v>
      </c>
      <c r="P53" s="20" t="n">
        <v>0</v>
      </c>
      <c r="Q53" s="18" t="n">
        <v>4.27186614</v>
      </c>
      <c r="R53" s="20" t="n">
        <v>0.81978838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(4704.0/B55*100)</f>
        <v/>
      </c>
      <c r="D55" s="19" t="n">
        <v>655</v>
      </c>
      <c r="E55" s="18" t="n">
        <v>11.29150159</v>
      </c>
      <c r="F55" s="20" t="n">
        <v>1.31234564</v>
      </c>
      <c r="G55" s="18" t="n">
        <v>88.1036675</v>
      </c>
      <c r="H55" s="20" t="n">
        <v>1.36740289</v>
      </c>
      <c r="I55" s="18" t="n">
        <v>0</v>
      </c>
      <c r="J55" s="20" t="n">
        <v>0</v>
      </c>
      <c r="K55" s="18" t="n">
        <v>0.19539263</v>
      </c>
      <c r="L55" s="20" t="n">
        <v>0.16571392</v>
      </c>
      <c r="M55" s="18" t="n">
        <v>0</v>
      </c>
      <c r="N55" s="20" t="n">
        <v>0</v>
      </c>
      <c r="O55" s="18" t="n">
        <v>0</v>
      </c>
      <c r="P55" s="20" t="n">
        <v>0</v>
      </c>
      <c r="Q55" s="18" t="n">
        <v>0.40943827</v>
      </c>
      <c r="R55" s="20" t="n">
        <v>0.310378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(5740.0/B61*100)</f>
        <v/>
      </c>
      <c r="D61" s="19" t="n">
        <v>785</v>
      </c>
      <c r="E61" s="18" t="n">
        <v>15.84833011</v>
      </c>
      <c r="F61" s="20" t="n">
        <v>1.35440236</v>
      </c>
      <c r="G61" s="18" t="n">
        <v>80.88834006</v>
      </c>
      <c r="H61" s="20" t="n">
        <v>1.49835701</v>
      </c>
      <c r="I61" s="18" t="n">
        <v>0</v>
      </c>
      <c r="J61" s="20" t="n">
        <v>0</v>
      </c>
      <c r="K61" s="18" t="n">
        <v>0.25959111</v>
      </c>
      <c r="L61" s="20" t="n">
        <v>0.1384641</v>
      </c>
      <c r="M61" s="18" t="n">
        <v>0</v>
      </c>
      <c r="N61" s="20" t="n">
        <v>0</v>
      </c>
      <c r="O61" s="18" t="n">
        <v>0</v>
      </c>
      <c r="P61" s="20" t="n">
        <v>0</v>
      </c>
      <c r="Q61" s="18" t="n">
        <v>3.00373872</v>
      </c>
      <c r="R61" s="20" t="n">
        <v>0.71444884</v>
      </c>
    </row>
    <row r="62" spans="1:18">
      <c r="A62" s="15" t="s">
        <v>486</v>
      </c>
      <c r="B62" s="17" t="n">
        <v>4476</v>
      </c>
      <c r="C62" s="18">
        <f>(3931.0/B62*100)</f>
        <v/>
      </c>
      <c r="D62" s="19" t="n">
        <v>545</v>
      </c>
      <c r="E62" s="18" t="n">
        <v>10.47571892</v>
      </c>
      <c r="F62" s="20" t="n">
        <v>1.22242582</v>
      </c>
      <c r="G62" s="18" t="n">
        <v>88.79030023999999</v>
      </c>
      <c r="H62" s="20" t="n">
        <v>1.26901014</v>
      </c>
      <c r="I62" s="18" t="n">
        <v>0</v>
      </c>
      <c r="J62" s="20" t="n">
        <v>0</v>
      </c>
      <c r="K62" s="18" t="n">
        <v>0</v>
      </c>
      <c r="L62" s="20" t="n">
        <v>0</v>
      </c>
      <c r="M62" s="18" t="n">
        <v>0.36431182</v>
      </c>
      <c r="N62" s="20" t="n">
        <v>0.259936</v>
      </c>
      <c r="O62" s="18" t="n">
        <v>0</v>
      </c>
      <c r="P62" s="20" t="n">
        <v>0</v>
      </c>
      <c r="Q62" s="18" t="n">
        <v>0.36966902</v>
      </c>
      <c r="R62" s="20" t="n">
        <v>0.25977619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(4988.0/B67*100)</f>
        <v/>
      </c>
      <c r="D67" s="19" t="n">
        <v>677</v>
      </c>
      <c r="E67" s="18" t="n">
        <v>13.76344045</v>
      </c>
      <c r="F67" s="20" t="n">
        <v>1.45892883</v>
      </c>
      <c r="G67" s="18" t="n">
        <v>77.2399721</v>
      </c>
      <c r="H67" s="20" t="n">
        <v>1.57908537</v>
      </c>
      <c r="I67" s="18" t="n">
        <v>0</v>
      </c>
      <c r="J67" s="20" t="n">
        <v>0</v>
      </c>
      <c r="K67" s="18" t="n">
        <v>1.89858612</v>
      </c>
      <c r="L67" s="20" t="n">
        <v>0.60915925</v>
      </c>
      <c r="M67" s="18" t="n">
        <v>0.6154913400000001</v>
      </c>
      <c r="N67" s="20" t="n">
        <v>0.50229578</v>
      </c>
      <c r="O67" s="18" t="n">
        <v>0</v>
      </c>
      <c r="P67" s="20" t="n">
        <v>0</v>
      </c>
      <c r="Q67" s="18" t="n">
        <v>6.48250999</v>
      </c>
      <c r="R67" s="20" t="n">
        <v>0.88473986</v>
      </c>
    </row>
    <row r="68" spans="1:18">
      <c r="A68" s="15" t="s">
        <v>492</v>
      </c>
      <c r="B68" s="17" t="n">
        <v>6971</v>
      </c>
      <c r="C68" s="18">
        <f>(6249.0/B68*100)</f>
        <v/>
      </c>
      <c r="D68" s="19" t="n">
        <v>722</v>
      </c>
      <c r="E68" s="18" t="n">
        <v>37.90519759</v>
      </c>
      <c r="F68" s="20" t="n">
        <v>2.18666359</v>
      </c>
      <c r="G68" s="18" t="n">
        <v>59.12900117</v>
      </c>
      <c r="H68" s="20" t="n">
        <v>2.3153588</v>
      </c>
      <c r="I68" s="18" t="n">
        <v>0</v>
      </c>
      <c r="J68" s="20" t="n">
        <v>0</v>
      </c>
      <c r="K68" s="18" t="n">
        <v>0.14411491</v>
      </c>
      <c r="L68" s="20" t="n">
        <v>0.14435058</v>
      </c>
      <c r="M68" s="18" t="n">
        <v>0.15140999</v>
      </c>
      <c r="N68" s="20" t="n">
        <v>0.15156058</v>
      </c>
      <c r="O68" s="18" t="n">
        <v>0</v>
      </c>
      <c r="P68" s="20" t="n">
        <v>0</v>
      </c>
      <c r="Q68" s="18" t="n">
        <v>2.67027634</v>
      </c>
      <c r="R68" s="20" t="n">
        <v>0.63912182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(10079.0/B70*100)</f>
        <v/>
      </c>
      <c r="D70" s="19" t="n">
        <v>2004</v>
      </c>
      <c r="E70" s="18" t="n">
        <v>34.10046794</v>
      </c>
      <c r="F70" s="20" t="n">
        <v>1.07667727</v>
      </c>
      <c r="G70" s="18" t="n">
        <v>57.42007145</v>
      </c>
      <c r="H70" s="20" t="n">
        <v>0.97436922</v>
      </c>
      <c r="I70" s="18" t="n">
        <v>0</v>
      </c>
      <c r="J70" s="20" t="n">
        <v>0</v>
      </c>
      <c r="K70" s="18" t="n">
        <v>2.83957052</v>
      </c>
      <c r="L70" s="20" t="n">
        <v>0.31685644</v>
      </c>
      <c r="M70" s="18" t="n">
        <v>0.04913108</v>
      </c>
      <c r="N70" s="20" t="n">
        <v>0.04913993</v>
      </c>
      <c r="O70" s="18" t="n">
        <v>0</v>
      </c>
      <c r="P70" s="20" t="n">
        <v>0</v>
      </c>
      <c r="Q70" s="18" t="n">
        <v>5.59075901</v>
      </c>
      <c r="R70" s="20" t="n">
        <v>0.45212037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(5333.0/B72*100)</f>
        <v/>
      </c>
      <c r="D72" s="19" t="n">
        <v>703</v>
      </c>
      <c r="E72" s="18" t="n">
        <v>9.11858303</v>
      </c>
      <c r="F72" s="20" t="n">
        <v>1.24324287</v>
      </c>
      <c r="G72" s="18" t="n">
        <v>88.84258998999999</v>
      </c>
      <c r="H72" s="20" t="n">
        <v>1.41054867</v>
      </c>
      <c r="I72" s="18" t="n">
        <v>0</v>
      </c>
      <c r="J72" s="20" t="n">
        <v>0</v>
      </c>
      <c r="K72" s="18" t="n">
        <v>0.7781555999999999</v>
      </c>
      <c r="L72" s="20" t="n">
        <v>0.40987996</v>
      </c>
      <c r="M72" s="18" t="n">
        <v>0</v>
      </c>
      <c r="N72" s="20" t="n">
        <v>0</v>
      </c>
      <c r="O72" s="18" t="n">
        <v>0</v>
      </c>
      <c r="P72" s="20" t="n">
        <v>0</v>
      </c>
      <c r="Q72" s="18" t="n">
        <v>1.26067139</v>
      </c>
      <c r="R72" s="20" t="n">
        <v>0.38358723</v>
      </c>
    </row>
    <row r="73" spans="1:18">
      <c r="A73" s="15" t="s">
        <v>497</v>
      </c>
      <c r="B73" s="17" t="n">
        <v>6115</v>
      </c>
      <c r="C73" s="18">
        <f>(5364.0/B73*100)</f>
        <v/>
      </c>
      <c r="D73" s="19" t="n">
        <v>751</v>
      </c>
      <c r="E73" s="18" t="n">
        <v>9.626559930000001</v>
      </c>
      <c r="F73" s="20" t="n">
        <v>0.949078</v>
      </c>
      <c r="G73" s="18" t="n">
        <v>90.00900887</v>
      </c>
      <c r="H73" s="20" t="n">
        <v>0.96136297</v>
      </c>
      <c r="I73" s="18" t="n">
        <v>0</v>
      </c>
      <c r="J73" s="20" t="n">
        <v>0</v>
      </c>
      <c r="K73" s="18" t="n">
        <v>0.3644312</v>
      </c>
      <c r="L73" s="20" t="n">
        <v>0.21418069</v>
      </c>
      <c r="M73" s="18" t="n">
        <v>0</v>
      </c>
      <c r="N73" s="20" t="n">
        <v>0</v>
      </c>
      <c r="O73" s="18" t="n">
        <v>0</v>
      </c>
      <c r="P73" s="20" t="n">
        <v>0</v>
      </c>
      <c r="Q73" s="18" t="n">
        <v>0</v>
      </c>
      <c r="R73" s="20" t="n">
        <v>0</v>
      </c>
    </row>
    <row r="74" spans="1:18">
      <c r="A74" s="15" t="s">
        <v>498</v>
      </c>
      <c r="B74" s="17" t="n">
        <v>7708</v>
      </c>
      <c r="C74" s="18">
        <f>(6761.0/B74*100)</f>
        <v/>
      </c>
      <c r="D74" s="19" t="n">
        <v>947</v>
      </c>
      <c r="E74" s="18" t="n">
        <v>10.46330993</v>
      </c>
      <c r="F74" s="20" t="n">
        <v>1.0300069</v>
      </c>
      <c r="G74" s="18" t="n">
        <v>88.23853156</v>
      </c>
      <c r="H74" s="20" t="n">
        <v>0.9677653899999999</v>
      </c>
      <c r="I74" s="18" t="n">
        <v>0</v>
      </c>
      <c r="J74" s="20" t="n">
        <v>0</v>
      </c>
      <c r="K74" s="18" t="n">
        <v>0.13899184</v>
      </c>
      <c r="L74" s="20" t="n">
        <v>0.09235931999999999</v>
      </c>
      <c r="M74" s="18" t="n">
        <v>0</v>
      </c>
      <c r="N74" s="20" t="n">
        <v>0</v>
      </c>
      <c r="O74" s="18" t="n">
        <v>0</v>
      </c>
      <c r="P74" s="20" t="n">
        <v>0</v>
      </c>
      <c r="Q74" s="18" t="n">
        <v>1.15916667</v>
      </c>
      <c r="R74" s="20" t="n">
        <v>0.35736158</v>
      </c>
    </row>
    <row r="75" spans="1:18">
      <c r="A75" s="15" t="s">
        <v>499</v>
      </c>
      <c r="B75" s="17" t="n">
        <v>8249</v>
      </c>
      <c r="C75" s="18">
        <f>(7305.0/B75*100)</f>
        <v/>
      </c>
      <c r="D75" s="19" t="n">
        <v>944</v>
      </c>
      <c r="E75" s="18" t="n">
        <v>29.17957524</v>
      </c>
      <c r="F75" s="20" t="n">
        <v>1.69584503</v>
      </c>
      <c r="G75" s="18" t="n">
        <v>69.66303474999999</v>
      </c>
      <c r="H75" s="20" t="n">
        <v>1.7235138</v>
      </c>
      <c r="I75" s="18" t="n">
        <v>0</v>
      </c>
      <c r="J75" s="20" t="n">
        <v>0</v>
      </c>
      <c r="K75" s="18" t="n">
        <v>0.21681856</v>
      </c>
      <c r="L75" s="20" t="n">
        <v>0.2164784</v>
      </c>
      <c r="M75" s="18" t="n">
        <v>0.27845069</v>
      </c>
      <c r="N75" s="20" t="n">
        <v>0.25551134</v>
      </c>
      <c r="O75" s="18" t="n">
        <v>0</v>
      </c>
      <c r="P75" s="20" t="n">
        <v>0</v>
      </c>
      <c r="Q75" s="18" t="n">
        <v>0.66212077</v>
      </c>
      <c r="R75" s="20" t="n">
        <v>0.29199617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(4796.0/B77*100)</f>
        <v/>
      </c>
      <c r="D77" s="19" t="n">
        <v>579</v>
      </c>
      <c r="E77" s="18" t="n">
        <v>30.23711871</v>
      </c>
      <c r="F77" s="20" t="n">
        <v>2.04279187</v>
      </c>
      <c r="G77" s="18" t="n">
        <v>51.1593862</v>
      </c>
      <c r="H77" s="20" t="n">
        <v>2.40299347</v>
      </c>
      <c r="I77" s="18" t="n">
        <v>0</v>
      </c>
      <c r="J77" s="20" t="n">
        <v>0</v>
      </c>
      <c r="K77" s="18" t="n">
        <v>4.38052786</v>
      </c>
      <c r="L77" s="20" t="n">
        <v>1.08336986</v>
      </c>
      <c r="M77" s="18" t="n">
        <v>0.39575213</v>
      </c>
      <c r="N77" s="20" t="n">
        <v>0.28702582</v>
      </c>
      <c r="O77" s="18" t="n">
        <v>0</v>
      </c>
      <c r="P77" s="20" t="n">
        <v>0</v>
      </c>
      <c r="Q77" s="18" t="n">
        <v>13.8272151</v>
      </c>
      <c r="R77" s="20" t="n">
        <v>1.69189795</v>
      </c>
    </row>
    <row r="78" spans="1:18">
      <c r="A78" s="15" t="s">
        <v>502</v>
      </c>
      <c r="B78" s="17" t="n">
        <v>14167</v>
      </c>
      <c r="C78" s="18">
        <f>(12411.0/B78*100)</f>
        <v/>
      </c>
      <c r="D78" s="19" t="n">
        <v>1756</v>
      </c>
      <c r="E78" s="18" t="n">
        <v>29.50616648</v>
      </c>
      <c r="F78" s="20" t="n">
        <v>1.36980572</v>
      </c>
      <c r="G78" s="18" t="n">
        <v>67.27312576</v>
      </c>
      <c r="H78" s="20" t="n">
        <v>1.39193195</v>
      </c>
      <c r="I78" s="18" t="n">
        <v>0</v>
      </c>
      <c r="J78" s="20" t="n">
        <v>0</v>
      </c>
      <c r="K78" s="18" t="n">
        <v>0.76625877</v>
      </c>
      <c r="L78" s="20" t="n">
        <v>0.2130476</v>
      </c>
      <c r="M78" s="18" t="n">
        <v>0.10481932</v>
      </c>
      <c r="N78" s="20" t="n">
        <v>0.08774497000000001</v>
      </c>
      <c r="O78" s="18" t="n">
        <v>0</v>
      </c>
      <c r="P78" s="20" t="n">
        <v>0</v>
      </c>
      <c r="Q78" s="18" t="n">
        <v>2.34962967</v>
      </c>
      <c r="R78" s="20" t="n">
        <v>0.43263966</v>
      </c>
    </row>
    <row r="79" spans="1:18">
      <c r="A79" s="15" t="s">
        <v>503</v>
      </c>
      <c r="B79" s="17" t="n">
        <v>6062</v>
      </c>
      <c r="C79" s="18">
        <f>(5370.0/B79*100)</f>
        <v/>
      </c>
      <c r="D79" s="19" t="n">
        <v>692</v>
      </c>
      <c r="E79" s="18" t="n">
        <v>35.24613254</v>
      </c>
      <c r="F79" s="20" t="n">
        <v>2.12603799</v>
      </c>
      <c r="G79" s="18" t="n">
        <v>56.91979907</v>
      </c>
      <c r="H79" s="20" t="n">
        <v>2.24667682</v>
      </c>
      <c r="I79" s="18" t="n">
        <v>0</v>
      </c>
      <c r="J79" s="20" t="n">
        <v>0</v>
      </c>
      <c r="K79" s="18" t="n">
        <v>2.20550543</v>
      </c>
      <c r="L79" s="20" t="n">
        <v>0.63092021</v>
      </c>
      <c r="M79" s="18" t="n">
        <v>0.28010401</v>
      </c>
      <c r="N79" s="20" t="n">
        <v>0.18009125</v>
      </c>
      <c r="O79" s="18" t="n">
        <v>0</v>
      </c>
      <c r="P79" s="20" t="n">
        <v>0</v>
      </c>
      <c r="Q79" s="18" t="n">
        <v>5.34845897</v>
      </c>
      <c r="R79" s="20" t="n">
        <v>1.07542111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(28452.0/B82*100)</f>
        <v/>
      </c>
      <c r="D82" s="19" t="n">
        <v>3878</v>
      </c>
      <c r="E82" s="18" t="n">
        <v>17.4295333</v>
      </c>
      <c r="F82" s="20" t="n">
        <v>1.02304997</v>
      </c>
      <c r="G82" s="18" t="n">
        <v>79.98031478999999</v>
      </c>
      <c r="H82" s="20" t="n">
        <v>1.10436904</v>
      </c>
      <c r="I82" s="18" t="n">
        <v>0</v>
      </c>
      <c r="J82" s="20" t="n">
        <v>0</v>
      </c>
      <c r="K82" s="18" t="n">
        <v>0.2320206</v>
      </c>
      <c r="L82" s="20" t="n">
        <v>0.07976721000000001</v>
      </c>
      <c r="M82" s="18" t="n">
        <v>0</v>
      </c>
      <c r="N82" s="20" t="n">
        <v>0</v>
      </c>
      <c r="O82" s="18" t="n">
        <v>0</v>
      </c>
      <c r="P82" s="20" t="n">
        <v>0</v>
      </c>
      <c r="Q82" s="18" t="n">
        <v>2.35813131</v>
      </c>
      <c r="R82" s="20" t="n">
        <v>0.37637963</v>
      </c>
    </row>
    <row r="83" spans="1:18">
      <c r="A83" s="15" t="s">
        <v>507</v>
      </c>
      <c r="B83" s="17" t="n">
        <v>1652</v>
      </c>
      <c r="C83" s="18">
        <f>(1465.0/B83*100)</f>
        <v/>
      </c>
      <c r="D83" s="19" t="n">
        <v>187</v>
      </c>
      <c r="E83" s="18" t="n">
        <v>6.07894877</v>
      </c>
      <c r="F83" s="20" t="n">
        <v>2.13665806</v>
      </c>
      <c r="G83" s="18" t="n">
        <v>92.29102275</v>
      </c>
      <c r="H83" s="20" t="n">
        <v>2.40769099</v>
      </c>
      <c r="I83" s="18" t="n">
        <v>0</v>
      </c>
      <c r="J83" s="20" t="n">
        <v>0</v>
      </c>
      <c r="K83" s="18" t="n">
        <v>0.55909772</v>
      </c>
      <c r="L83" s="20" t="n">
        <v>0.50696484</v>
      </c>
      <c r="M83" s="18" t="n">
        <v>0</v>
      </c>
      <c r="N83" s="20" t="n">
        <v>0</v>
      </c>
      <c r="O83" s="18" t="n">
        <v>0</v>
      </c>
      <c r="P83" s="20" t="n">
        <v>0</v>
      </c>
      <c r="Q83" s="18" t="n">
        <v>1.07093076</v>
      </c>
      <c r="R83" s="20" t="n">
        <v>0.78278489</v>
      </c>
    </row>
    <row r="84" spans="1:18">
      <c r="A84" s="23" t="s">
        <v>508</v>
      </c>
      <c r="B84" s="24" t="n">
        <v>1887</v>
      </c>
      <c r="C84" s="25">
        <f>(1665.0/B84*100)</f>
        <v/>
      </c>
      <c r="D84" s="19" t="n">
        <v>222</v>
      </c>
      <c r="E84" s="18" t="n">
        <v>14.76481057</v>
      </c>
      <c r="F84" s="20" t="n">
        <v>2.79970531</v>
      </c>
      <c r="G84" s="18" t="n">
        <v>82.81676974</v>
      </c>
      <c r="H84" s="20" t="n">
        <v>3.17442609</v>
      </c>
      <c r="I84" s="18" t="n">
        <v>0</v>
      </c>
      <c r="J84" s="20" t="n">
        <v>0</v>
      </c>
      <c r="K84" s="18" t="n">
        <v>0</v>
      </c>
      <c r="L84" s="20" t="n">
        <v>0</v>
      </c>
      <c r="M84" s="18" t="n">
        <v>0</v>
      </c>
      <c r="N84" s="20" t="n">
        <v>0</v>
      </c>
      <c r="O84" s="18" t="n">
        <v>0</v>
      </c>
      <c r="P84" s="20" t="n">
        <v>0</v>
      </c>
      <c r="Q84" s="18" t="n">
        <v>2.4184197</v>
      </c>
      <c r="R84" s="20" t="n">
        <v>1.05588945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(12789.0/B7*100)</f>
        <v/>
      </c>
      <c r="D7" s="19" t="n">
        <v>1741</v>
      </c>
      <c r="E7" s="18" t="n">
        <v>17.70736079</v>
      </c>
      <c r="F7" s="20" t="n">
        <v>1.206289</v>
      </c>
      <c r="G7" s="18" t="n">
        <v>80.22031794999999</v>
      </c>
      <c r="H7" s="20" t="n">
        <v>1.25098032</v>
      </c>
      <c r="I7" s="18" t="n">
        <v>0</v>
      </c>
      <c r="J7" s="20" t="n">
        <v>0</v>
      </c>
      <c r="K7" s="18" t="n">
        <v>0.51259481</v>
      </c>
      <c r="L7" s="20" t="n">
        <v>0.18860459</v>
      </c>
      <c r="M7" s="18" t="n">
        <v>0.03941314</v>
      </c>
      <c r="N7" s="20" t="n">
        <v>0.01965412</v>
      </c>
      <c r="O7" s="18" t="n">
        <v>0</v>
      </c>
      <c r="P7" s="20" t="n">
        <v>0</v>
      </c>
      <c r="Q7" s="18" t="n">
        <v>1.52031331</v>
      </c>
      <c r="R7" s="20" t="n">
        <v>0.38067015</v>
      </c>
    </row>
    <row r="8" spans="1:18">
      <c r="A8" s="15" t="s">
        <v>430</v>
      </c>
      <c r="B8" s="17" t="n">
        <v>7007</v>
      </c>
      <c r="C8" s="18">
        <f>(6105.0/B8*100)</f>
        <v/>
      </c>
      <c r="D8" s="19" t="n">
        <v>902</v>
      </c>
      <c r="E8" s="18" t="n">
        <v>34.19206478</v>
      </c>
      <c r="F8" s="20" t="n">
        <v>1.77154014</v>
      </c>
      <c r="G8" s="18" t="n">
        <v>64.007727</v>
      </c>
      <c r="H8" s="20" t="n">
        <v>1.73560242</v>
      </c>
      <c r="I8" s="18" t="n">
        <v>0</v>
      </c>
      <c r="J8" s="20" t="n">
        <v>0</v>
      </c>
      <c r="K8" s="18" t="n">
        <v>0.08876539</v>
      </c>
      <c r="L8" s="20" t="n">
        <v>0.15113009</v>
      </c>
      <c r="M8" s="18" t="n">
        <v>0</v>
      </c>
      <c r="N8" s="20" t="n">
        <v>0</v>
      </c>
      <c r="O8" s="18" t="n">
        <v>0</v>
      </c>
      <c r="P8" s="20" t="n">
        <v>0</v>
      </c>
      <c r="Q8" s="18" t="n">
        <v>1.71144283</v>
      </c>
      <c r="R8" s="20" t="n">
        <v>0.40904701</v>
      </c>
    </row>
    <row r="9" spans="1:18">
      <c r="A9" s="15" t="s">
        <v>431</v>
      </c>
      <c r="B9" s="17" t="n">
        <v>9651</v>
      </c>
      <c r="C9" s="18">
        <f>(8515.0/B9*100)</f>
        <v/>
      </c>
      <c r="D9" s="19" t="n">
        <v>1136</v>
      </c>
      <c r="E9" s="18" t="n">
        <v>20.54840717</v>
      </c>
      <c r="F9" s="20" t="n">
        <v>1.41692463</v>
      </c>
      <c r="G9" s="18" t="n">
        <v>78.77384941</v>
      </c>
      <c r="H9" s="20" t="n">
        <v>1.40747747</v>
      </c>
      <c r="I9" s="18" t="n">
        <v>0</v>
      </c>
      <c r="J9" s="20" t="n">
        <v>0</v>
      </c>
      <c r="K9" s="18" t="n">
        <v>0.1358113</v>
      </c>
      <c r="L9" s="20" t="n">
        <v>0.09352394</v>
      </c>
      <c r="M9" s="18" t="n">
        <v>0.26825242</v>
      </c>
      <c r="N9" s="20" t="n">
        <v>0.09001982</v>
      </c>
      <c r="O9" s="18" t="n">
        <v>0</v>
      </c>
      <c r="P9" s="20" t="n">
        <v>0</v>
      </c>
      <c r="Q9" s="18" t="n">
        <v>0.2736797</v>
      </c>
      <c r="R9" s="20" t="n">
        <v>0.08630984</v>
      </c>
    </row>
    <row r="10" spans="1:18">
      <c r="A10" s="15" t="s">
        <v>432</v>
      </c>
      <c r="B10" s="17" t="n">
        <v>20058</v>
      </c>
      <c r="C10" s="18">
        <f>(17590.0/B10*100)</f>
        <v/>
      </c>
      <c r="D10" s="19" t="n">
        <v>2468</v>
      </c>
      <c r="E10" s="18" t="n">
        <v>15.92466907</v>
      </c>
      <c r="F10" s="20" t="n">
        <v>1.18136715</v>
      </c>
      <c r="G10" s="18" t="n">
        <v>83.35906632</v>
      </c>
      <c r="H10" s="20" t="n">
        <v>1.16290362</v>
      </c>
      <c r="I10" s="18" t="n">
        <v>0</v>
      </c>
      <c r="J10" s="20" t="n">
        <v>0</v>
      </c>
      <c r="K10" s="18" t="n">
        <v>0.33016349</v>
      </c>
      <c r="L10" s="20" t="n">
        <v>0.1643696</v>
      </c>
      <c r="M10" s="18" t="n">
        <v>0</v>
      </c>
      <c r="N10" s="20" t="n">
        <v>0</v>
      </c>
      <c r="O10" s="18" t="n">
        <v>0</v>
      </c>
      <c r="P10" s="20" t="n">
        <v>0</v>
      </c>
      <c r="Q10" s="18" t="n">
        <v>0.38610111</v>
      </c>
      <c r="R10" s="20" t="n">
        <v>0.20066364</v>
      </c>
    </row>
    <row r="11" spans="1:18">
      <c r="A11" s="15" t="s">
        <v>433</v>
      </c>
      <c r="B11" s="17" t="n">
        <v>7053</v>
      </c>
      <c r="C11" s="18">
        <f>(6223.0/B11*100)</f>
        <v/>
      </c>
      <c r="D11" s="19" t="n">
        <v>830</v>
      </c>
      <c r="E11" s="18" t="n">
        <v>25.31042878</v>
      </c>
      <c r="F11" s="20" t="n">
        <v>1.87441358</v>
      </c>
      <c r="G11" s="18" t="n">
        <v>56.64183351</v>
      </c>
      <c r="H11" s="20" t="n">
        <v>2.09979624</v>
      </c>
      <c r="I11" s="18" t="n">
        <v>0</v>
      </c>
      <c r="J11" s="20" t="n">
        <v>0</v>
      </c>
      <c r="K11" s="18" t="n">
        <v>1.28380223</v>
      </c>
      <c r="L11" s="20" t="n">
        <v>0.54358342</v>
      </c>
      <c r="M11" s="18" t="n">
        <v>2.19541337</v>
      </c>
      <c r="N11" s="20" t="n">
        <v>1.41811523</v>
      </c>
      <c r="O11" s="18" t="n">
        <v>0</v>
      </c>
      <c r="P11" s="20" t="n">
        <v>0</v>
      </c>
      <c r="Q11" s="18" t="n">
        <v>14.5685221</v>
      </c>
      <c r="R11" s="20" t="n">
        <v>1.59847338</v>
      </c>
    </row>
    <row r="12" spans="1:18">
      <c r="A12" s="15" t="s">
        <v>434</v>
      </c>
      <c r="B12" s="17" t="n">
        <v>6894</v>
      </c>
      <c r="C12" s="18">
        <f>(6071.0/B12*100)</f>
        <v/>
      </c>
      <c r="D12" s="19" t="n">
        <v>823</v>
      </c>
      <c r="E12" s="18" t="n">
        <v>31.60787588</v>
      </c>
      <c r="F12" s="20" t="n">
        <v>2.05098311</v>
      </c>
      <c r="G12" s="18" t="n">
        <v>66.56957147999999</v>
      </c>
      <c r="H12" s="20" t="n">
        <v>2.10851327</v>
      </c>
      <c r="I12" s="18" t="n">
        <v>0</v>
      </c>
      <c r="J12" s="20" t="n">
        <v>0</v>
      </c>
      <c r="K12" s="18" t="n">
        <v>0.25819113</v>
      </c>
      <c r="L12" s="20" t="n">
        <v>0.18540647</v>
      </c>
      <c r="M12" s="18" t="n">
        <v>0.09285408000000001</v>
      </c>
      <c r="N12" s="20" t="n">
        <v>0.0901183</v>
      </c>
      <c r="O12" s="18" t="n">
        <v>0</v>
      </c>
      <c r="P12" s="20" t="n">
        <v>0</v>
      </c>
      <c r="Q12" s="18" t="n">
        <v>1.47150742</v>
      </c>
      <c r="R12" s="20" t="n">
        <v>0.51788221</v>
      </c>
    </row>
    <row r="13" spans="1:18">
      <c r="A13" s="15" t="s">
        <v>435</v>
      </c>
      <c r="B13" s="17" t="n">
        <v>7161</v>
      </c>
      <c r="C13" s="18">
        <f>(6326.0/B13*100)</f>
        <v/>
      </c>
      <c r="D13" s="19" t="n">
        <v>835</v>
      </c>
      <c r="E13" s="18" t="n">
        <v>30.63729401</v>
      </c>
      <c r="F13" s="20" t="n">
        <v>1.77178111</v>
      </c>
      <c r="G13" s="18" t="n">
        <v>67.82348164</v>
      </c>
      <c r="H13" s="20" t="n">
        <v>1.78258835</v>
      </c>
      <c r="I13" s="18" t="n">
        <v>0</v>
      </c>
      <c r="J13" s="20" t="n">
        <v>0</v>
      </c>
      <c r="K13" s="18" t="n">
        <v>1.13224071</v>
      </c>
      <c r="L13" s="20" t="n">
        <v>0.52766875</v>
      </c>
      <c r="M13" s="18" t="n">
        <v>0</v>
      </c>
      <c r="N13" s="20" t="n">
        <v>0</v>
      </c>
      <c r="O13" s="18" t="n">
        <v>0</v>
      </c>
      <c r="P13" s="20" t="n">
        <v>0</v>
      </c>
      <c r="Q13" s="18" t="n">
        <v>0.40698364</v>
      </c>
      <c r="R13" s="20" t="n">
        <v>0.21358232</v>
      </c>
    </row>
    <row r="14" spans="1:18">
      <c r="A14" s="15" t="s">
        <v>436</v>
      </c>
      <c r="B14" s="17" t="n">
        <v>5587</v>
      </c>
      <c r="C14" s="18">
        <f>(4906.0/B14*100)</f>
        <v/>
      </c>
      <c r="D14" s="19" t="n">
        <v>681</v>
      </c>
      <c r="E14" s="18" t="n">
        <v>20.42458357</v>
      </c>
      <c r="F14" s="20" t="n">
        <v>1.71060829</v>
      </c>
      <c r="G14" s="18" t="n">
        <v>73.82605271</v>
      </c>
      <c r="H14" s="20" t="n">
        <v>1.92004314</v>
      </c>
      <c r="I14" s="18" t="n">
        <v>0</v>
      </c>
      <c r="J14" s="20" t="n">
        <v>0</v>
      </c>
      <c r="K14" s="18" t="n">
        <v>0</v>
      </c>
      <c r="L14" s="20" t="n">
        <v>0</v>
      </c>
      <c r="M14" s="18" t="n">
        <v>0</v>
      </c>
      <c r="N14" s="20" t="n">
        <v>0</v>
      </c>
      <c r="O14" s="18" t="n">
        <v>0</v>
      </c>
      <c r="P14" s="20" t="n">
        <v>0</v>
      </c>
      <c r="Q14" s="18" t="n">
        <v>5.74936372</v>
      </c>
      <c r="R14" s="20" t="n">
        <v>0.9086274600000001</v>
      </c>
    </row>
    <row r="15" spans="1:18">
      <c r="A15" s="15" t="s">
        <v>437</v>
      </c>
      <c r="B15" s="17" t="n">
        <v>5882</v>
      </c>
      <c r="C15" s="18">
        <f>(5179.0/B15*100)</f>
        <v/>
      </c>
      <c r="D15" s="19" t="n">
        <v>703</v>
      </c>
      <c r="E15" s="18" t="n">
        <v>21.1501397</v>
      </c>
      <c r="F15" s="20" t="n">
        <v>1.50891094</v>
      </c>
      <c r="G15" s="18" t="n">
        <v>77.81660673</v>
      </c>
      <c r="H15" s="20" t="n">
        <v>1.62377535</v>
      </c>
      <c r="I15" s="18" t="n">
        <v>0</v>
      </c>
      <c r="J15" s="20" t="n">
        <v>0</v>
      </c>
      <c r="K15" s="18" t="n">
        <v>0.38606844</v>
      </c>
      <c r="L15" s="20" t="n">
        <v>0.28779759</v>
      </c>
      <c r="M15" s="18" t="n">
        <v>0</v>
      </c>
      <c r="N15" s="20" t="n">
        <v>0</v>
      </c>
      <c r="O15" s="18" t="n">
        <v>0</v>
      </c>
      <c r="P15" s="20" t="n">
        <v>0</v>
      </c>
      <c r="Q15" s="18" t="n">
        <v>0.64718513</v>
      </c>
      <c r="R15" s="20" t="n">
        <v>0.33522795</v>
      </c>
    </row>
    <row r="16" spans="1:18">
      <c r="A16" s="15" t="s">
        <v>438</v>
      </c>
      <c r="B16" s="17" t="n">
        <v>6108</v>
      </c>
      <c r="C16" s="18">
        <f>(5387.0/B16*100)</f>
        <v/>
      </c>
      <c r="D16" s="19" t="n">
        <v>721</v>
      </c>
      <c r="E16" s="18" t="n">
        <v>23.17876324</v>
      </c>
      <c r="F16" s="20" t="n">
        <v>1.54949579</v>
      </c>
      <c r="G16" s="18" t="n">
        <v>74.70778138999999</v>
      </c>
      <c r="H16" s="20" t="n">
        <v>1.72996015</v>
      </c>
      <c r="I16" s="18" t="n">
        <v>0</v>
      </c>
      <c r="J16" s="20" t="n">
        <v>0</v>
      </c>
      <c r="K16" s="18" t="n">
        <v>1.58262226</v>
      </c>
      <c r="L16" s="20" t="n">
        <v>0.57594021</v>
      </c>
      <c r="M16" s="18" t="n">
        <v>0</v>
      </c>
      <c r="N16" s="20" t="n">
        <v>0</v>
      </c>
      <c r="O16" s="18" t="n">
        <v>0</v>
      </c>
      <c r="P16" s="20" t="n">
        <v>0</v>
      </c>
      <c r="Q16" s="18" t="n">
        <v>0.53083312</v>
      </c>
      <c r="R16" s="20" t="n">
        <v>0.28822245</v>
      </c>
    </row>
    <row r="17" spans="1:18">
      <c r="A17" s="15" t="s">
        <v>439</v>
      </c>
      <c r="B17" s="17" t="n">
        <v>6504</v>
      </c>
      <c r="C17" s="18">
        <f>(5746.0/B17*100)</f>
        <v/>
      </c>
      <c r="D17" s="19" t="n">
        <v>758</v>
      </c>
      <c r="E17" s="18" t="n">
        <v>26.6351701</v>
      </c>
      <c r="F17" s="20" t="n">
        <v>1.773238</v>
      </c>
      <c r="G17" s="18" t="n">
        <v>71.25972255000001</v>
      </c>
      <c r="H17" s="20" t="n">
        <v>1.79035923</v>
      </c>
      <c r="I17" s="18" t="n">
        <v>0</v>
      </c>
      <c r="J17" s="20" t="n">
        <v>0</v>
      </c>
      <c r="K17" s="18" t="n">
        <v>0.45289988</v>
      </c>
      <c r="L17" s="20" t="n">
        <v>0.23304579</v>
      </c>
      <c r="M17" s="18" t="n">
        <v>0</v>
      </c>
      <c r="N17" s="20" t="n">
        <v>0</v>
      </c>
      <c r="O17" s="18" t="n">
        <v>0</v>
      </c>
      <c r="P17" s="20" t="n">
        <v>0</v>
      </c>
      <c r="Q17" s="18" t="n">
        <v>1.65220746</v>
      </c>
      <c r="R17" s="20" t="n">
        <v>0.47946446</v>
      </c>
    </row>
    <row r="18" spans="1:18">
      <c r="A18" s="15" t="s">
        <v>440</v>
      </c>
      <c r="B18" s="17" t="n">
        <v>5532</v>
      </c>
      <c r="C18" s="18">
        <f>(4856.0/B18*100)</f>
        <v/>
      </c>
      <c r="D18" s="19" t="n">
        <v>676</v>
      </c>
      <c r="E18" s="18" t="n">
        <v>33.50438684</v>
      </c>
      <c r="F18" s="20" t="n">
        <v>1.99420943</v>
      </c>
      <c r="G18" s="18" t="n">
        <v>63.54092792</v>
      </c>
      <c r="H18" s="20" t="n">
        <v>2.03376648</v>
      </c>
      <c r="I18" s="18" t="n">
        <v>0</v>
      </c>
      <c r="J18" s="20" t="n">
        <v>0</v>
      </c>
      <c r="K18" s="18" t="n">
        <v>1.41942008</v>
      </c>
      <c r="L18" s="20" t="n">
        <v>0.59338113</v>
      </c>
      <c r="M18" s="18" t="n">
        <v>0.25935239</v>
      </c>
      <c r="N18" s="20" t="n">
        <v>0.25917499</v>
      </c>
      <c r="O18" s="18" t="n">
        <v>0</v>
      </c>
      <c r="P18" s="20" t="n">
        <v>0</v>
      </c>
      <c r="Q18" s="18" t="n">
        <v>1.27591278</v>
      </c>
      <c r="R18" s="20" t="n">
        <v>0.5006171</v>
      </c>
    </row>
    <row r="19" spans="1:18">
      <c r="A19" s="15" t="s">
        <v>441</v>
      </c>
      <c r="B19" s="17" t="n">
        <v>5658</v>
      </c>
      <c r="C19" s="18">
        <f>(4959.0/B19*100)</f>
        <v/>
      </c>
      <c r="D19" s="19" t="n">
        <v>699</v>
      </c>
      <c r="E19" s="18" t="n">
        <v>38.90569051</v>
      </c>
      <c r="F19" s="20" t="n">
        <v>2.07981469</v>
      </c>
      <c r="G19" s="18" t="n">
        <v>59.61468068</v>
      </c>
      <c r="H19" s="20" t="n">
        <v>2.01959118</v>
      </c>
      <c r="I19" s="18" t="n">
        <v>0</v>
      </c>
      <c r="J19" s="20" t="n">
        <v>0</v>
      </c>
      <c r="K19" s="18" t="n">
        <v>0.30159383</v>
      </c>
      <c r="L19" s="20" t="n">
        <v>0.32884281</v>
      </c>
      <c r="M19" s="18" t="n">
        <v>0</v>
      </c>
      <c r="N19" s="20" t="n">
        <v>0</v>
      </c>
      <c r="O19" s="18" t="n">
        <v>0</v>
      </c>
      <c r="P19" s="20" t="n">
        <v>0</v>
      </c>
      <c r="Q19" s="18" t="n">
        <v>1.17803498</v>
      </c>
      <c r="R19" s="20" t="n">
        <v>0.47823044</v>
      </c>
    </row>
    <row r="20" spans="1:18">
      <c r="A20" s="15" t="s">
        <v>442</v>
      </c>
      <c r="B20" s="17" t="n">
        <v>3371</v>
      </c>
      <c r="C20" s="18">
        <f>(2972.0/B20*100)</f>
        <v/>
      </c>
      <c r="D20" s="19" t="n">
        <v>399</v>
      </c>
      <c r="E20" s="18" t="n">
        <v>26.3185356</v>
      </c>
      <c r="F20" s="20" t="n">
        <v>2.17482535</v>
      </c>
      <c r="G20" s="18" t="n">
        <v>71.10325335</v>
      </c>
      <c r="H20" s="20" t="n">
        <v>2.25648101</v>
      </c>
      <c r="I20" s="18" t="n">
        <v>0</v>
      </c>
      <c r="J20" s="20" t="n">
        <v>0</v>
      </c>
      <c r="K20" s="18" t="n">
        <v>1.22196641</v>
      </c>
      <c r="L20" s="20" t="n">
        <v>0.59516507</v>
      </c>
      <c r="M20" s="18" t="n">
        <v>0.38897909</v>
      </c>
      <c r="N20" s="20" t="n">
        <v>0.28116941</v>
      </c>
      <c r="O20" s="18" t="n">
        <v>0</v>
      </c>
      <c r="P20" s="20" t="n">
        <v>0</v>
      </c>
      <c r="Q20" s="18" t="n">
        <v>0.96726556</v>
      </c>
      <c r="R20" s="20" t="n">
        <v>0.47350251</v>
      </c>
    </row>
    <row r="21" spans="1:18">
      <c r="A21" s="15" t="s">
        <v>443</v>
      </c>
      <c r="B21" s="17" t="n">
        <v>5741</v>
      </c>
      <c r="C21" s="18">
        <f>(4789.0/B21*100)</f>
        <v/>
      </c>
      <c r="D21" s="19" t="n">
        <v>952</v>
      </c>
      <c r="E21" s="18" t="n">
        <v>9.75520502</v>
      </c>
      <c r="F21" s="20" t="n">
        <v>1.04829396</v>
      </c>
      <c r="G21" s="18" t="n">
        <v>89.16566894</v>
      </c>
      <c r="H21" s="20" t="n">
        <v>1.12646501</v>
      </c>
      <c r="I21" s="18" t="n">
        <v>0</v>
      </c>
      <c r="J21" s="20" t="n">
        <v>0</v>
      </c>
      <c r="K21" s="18" t="n">
        <v>0</v>
      </c>
      <c r="L21" s="20" t="n">
        <v>0</v>
      </c>
      <c r="M21" s="18" t="n">
        <v>0</v>
      </c>
      <c r="N21" s="20" t="n">
        <v>0</v>
      </c>
      <c r="O21" s="18" t="n">
        <v>0</v>
      </c>
      <c r="P21" s="20" t="n">
        <v>0</v>
      </c>
      <c r="Q21" s="18" t="n">
        <v>1.07912604</v>
      </c>
      <c r="R21" s="20" t="n">
        <v>0.34504855</v>
      </c>
    </row>
    <row r="22" spans="1:18">
      <c r="A22" s="15" t="s">
        <v>444</v>
      </c>
      <c r="B22" s="17" t="n">
        <v>6598</v>
      </c>
      <c r="C22" s="18">
        <f>(5868.0/B22*100)</f>
        <v/>
      </c>
      <c r="D22" s="19" t="n">
        <v>730</v>
      </c>
      <c r="E22" s="18" t="n">
        <v>28.24924808</v>
      </c>
      <c r="F22" s="20" t="n">
        <v>2.04114609</v>
      </c>
      <c r="G22" s="18" t="n">
        <v>69.13408450999999</v>
      </c>
      <c r="H22" s="20" t="n">
        <v>2.22912398</v>
      </c>
      <c r="I22" s="18" t="n">
        <v>0</v>
      </c>
      <c r="J22" s="20" t="n">
        <v>0</v>
      </c>
      <c r="K22" s="18" t="n">
        <v>1.42989119</v>
      </c>
      <c r="L22" s="20" t="n">
        <v>0.5004664599999999</v>
      </c>
      <c r="M22" s="18" t="n">
        <v>0</v>
      </c>
      <c r="N22" s="20" t="n">
        <v>0</v>
      </c>
      <c r="O22" s="18" t="n">
        <v>0</v>
      </c>
      <c r="P22" s="20" t="n">
        <v>0</v>
      </c>
      <c r="Q22" s="18" t="n">
        <v>1.18677621</v>
      </c>
      <c r="R22" s="20" t="n">
        <v>0.39245995</v>
      </c>
    </row>
    <row r="23" spans="1:18">
      <c r="A23" s="15" t="s">
        <v>445</v>
      </c>
      <c r="B23" s="17" t="n">
        <v>11583</v>
      </c>
      <c r="C23" s="18">
        <f>(10144.0/B23*100)</f>
        <v/>
      </c>
      <c r="D23" s="19" t="n">
        <v>1439</v>
      </c>
      <c r="E23" s="18" t="n">
        <v>34.89546434</v>
      </c>
      <c r="F23" s="20" t="n">
        <v>1.85014354</v>
      </c>
      <c r="G23" s="18" t="n">
        <v>62.31790165</v>
      </c>
      <c r="H23" s="20" t="n">
        <v>1.8223354</v>
      </c>
      <c r="I23" s="18" t="n">
        <v>0</v>
      </c>
      <c r="J23" s="20" t="n">
        <v>0</v>
      </c>
      <c r="K23" s="18" t="n">
        <v>0.82192885</v>
      </c>
      <c r="L23" s="20" t="n">
        <v>0.34906152</v>
      </c>
      <c r="M23" s="18" t="n">
        <v>0.58289434</v>
      </c>
      <c r="N23" s="20" t="n">
        <v>0.19202543</v>
      </c>
      <c r="O23" s="18" t="n">
        <v>0</v>
      </c>
      <c r="P23" s="20" t="n">
        <v>0</v>
      </c>
      <c r="Q23" s="18" t="n">
        <v>1.38181082</v>
      </c>
      <c r="R23" s="20" t="n">
        <v>0.64560483</v>
      </c>
    </row>
    <row r="24" spans="1:18">
      <c r="A24" s="15" t="s">
        <v>446</v>
      </c>
      <c r="B24" s="17" t="n">
        <v>6647</v>
      </c>
      <c r="C24" s="18">
        <f>(5901.0/B24*100)</f>
        <v/>
      </c>
      <c r="D24" s="19" t="n">
        <v>746</v>
      </c>
      <c r="E24" s="18" t="n">
        <v>16.89508437</v>
      </c>
      <c r="F24" s="20" t="n">
        <v>1.50540078</v>
      </c>
      <c r="G24" s="18" t="n">
        <v>80.79232349</v>
      </c>
      <c r="H24" s="20" t="n">
        <v>1.60312888</v>
      </c>
      <c r="I24" s="18" t="n">
        <v>0</v>
      </c>
      <c r="J24" s="20" t="n">
        <v>0</v>
      </c>
      <c r="K24" s="18" t="n">
        <v>0.37839515</v>
      </c>
      <c r="L24" s="20" t="n">
        <v>0.21994888</v>
      </c>
      <c r="M24" s="18" t="n">
        <v>0</v>
      </c>
      <c r="N24" s="20" t="n">
        <v>0</v>
      </c>
      <c r="O24" s="18" t="n">
        <v>0</v>
      </c>
      <c r="P24" s="20" t="n">
        <v>0</v>
      </c>
      <c r="Q24" s="18" t="n">
        <v>1.934197</v>
      </c>
      <c r="R24" s="20" t="n">
        <v>0.55631297</v>
      </c>
    </row>
    <row r="25" spans="1:18">
      <c r="A25" s="15" t="s">
        <v>447</v>
      </c>
      <c r="B25" s="17" t="n">
        <v>5581</v>
      </c>
      <c r="C25" s="18">
        <f>(4891.0/B25*100)</f>
        <v/>
      </c>
      <c r="D25" s="19" t="n">
        <v>690</v>
      </c>
      <c r="E25" s="18" t="n">
        <v>14.74781133</v>
      </c>
      <c r="F25" s="20" t="n">
        <v>1.5008343</v>
      </c>
      <c r="G25" s="18" t="n">
        <v>80.56645675999999</v>
      </c>
      <c r="H25" s="20" t="n">
        <v>1.62211905</v>
      </c>
      <c r="I25" s="18" t="n">
        <v>0</v>
      </c>
      <c r="J25" s="20" t="n">
        <v>0</v>
      </c>
      <c r="K25" s="18" t="n">
        <v>0.69150238</v>
      </c>
      <c r="L25" s="20" t="n">
        <v>0.3177594</v>
      </c>
      <c r="M25" s="18" t="n">
        <v>0</v>
      </c>
      <c r="N25" s="20" t="n">
        <v>0</v>
      </c>
      <c r="O25" s="18" t="n">
        <v>0</v>
      </c>
      <c r="P25" s="20" t="n">
        <v>0</v>
      </c>
      <c r="Q25" s="18" t="n">
        <v>3.99422953</v>
      </c>
      <c r="R25" s="20" t="n">
        <v>0.8375393</v>
      </c>
    </row>
    <row r="26" spans="1:18">
      <c r="A26" s="15" t="s">
        <v>448</v>
      </c>
      <c r="B26" s="17" t="n">
        <v>4869</v>
      </c>
      <c r="C26" s="18">
        <f>(4273.0/B26*100)</f>
        <v/>
      </c>
      <c r="D26" s="19" t="n">
        <v>596</v>
      </c>
      <c r="E26" s="18" t="n">
        <v>29.8101034</v>
      </c>
      <c r="F26" s="20" t="n">
        <v>1.89406283</v>
      </c>
      <c r="G26" s="18" t="n">
        <v>68.70907459999999</v>
      </c>
      <c r="H26" s="20" t="n">
        <v>1.93390698</v>
      </c>
      <c r="I26" s="18" t="n">
        <v>0</v>
      </c>
      <c r="J26" s="20" t="n">
        <v>0</v>
      </c>
      <c r="K26" s="18" t="n">
        <v>0.15653632</v>
      </c>
      <c r="L26" s="20" t="n">
        <v>0.15485191</v>
      </c>
      <c r="M26" s="18" t="n">
        <v>0.11618677</v>
      </c>
      <c r="N26" s="20" t="n">
        <v>0.11643686</v>
      </c>
      <c r="O26" s="18" t="n">
        <v>0</v>
      </c>
      <c r="P26" s="20" t="n">
        <v>0</v>
      </c>
      <c r="Q26" s="18" t="n">
        <v>1.20809892</v>
      </c>
      <c r="R26" s="20" t="n">
        <v>0.42223006</v>
      </c>
    </row>
    <row r="27" spans="1:18">
      <c r="A27" s="15" t="s">
        <v>449</v>
      </c>
      <c r="B27" s="17" t="n">
        <v>5299</v>
      </c>
      <c r="C27" s="18">
        <f>(4652.0/B27*100)</f>
        <v/>
      </c>
      <c r="D27" s="19" t="n">
        <v>647</v>
      </c>
      <c r="E27" s="18" t="n">
        <v>30.50644028</v>
      </c>
      <c r="F27" s="20" t="n">
        <v>2.03211123</v>
      </c>
      <c r="G27" s="18" t="n">
        <v>67.4379804</v>
      </c>
      <c r="H27" s="20" t="n">
        <v>2.04378026</v>
      </c>
      <c r="I27" s="18" t="n">
        <v>0</v>
      </c>
      <c r="J27" s="20" t="n">
        <v>0</v>
      </c>
      <c r="K27" s="18" t="n">
        <v>0.64313272</v>
      </c>
      <c r="L27" s="20" t="n">
        <v>0.31941677</v>
      </c>
      <c r="M27" s="18" t="n">
        <v>0</v>
      </c>
      <c r="N27" s="20" t="n">
        <v>0</v>
      </c>
      <c r="O27" s="18" t="n">
        <v>0</v>
      </c>
      <c r="P27" s="20" t="n">
        <v>0</v>
      </c>
      <c r="Q27" s="18" t="n">
        <v>1.41244659</v>
      </c>
      <c r="R27" s="20" t="n">
        <v>0.52227682</v>
      </c>
    </row>
    <row r="28" spans="1:18">
      <c r="A28" s="15" t="s">
        <v>450</v>
      </c>
      <c r="B28" s="17" t="n">
        <v>7568</v>
      </c>
      <c r="C28" s="18">
        <f>(6718.0/B28*100)</f>
        <v/>
      </c>
      <c r="D28" s="19" t="n">
        <v>850</v>
      </c>
      <c r="E28" s="18" t="n">
        <v>47.66159732</v>
      </c>
      <c r="F28" s="20" t="n">
        <v>1.95102173</v>
      </c>
      <c r="G28" s="18" t="n">
        <v>51.25817252</v>
      </c>
      <c r="H28" s="20" t="n">
        <v>1.9404959</v>
      </c>
      <c r="I28" s="18" t="n">
        <v>0</v>
      </c>
      <c r="J28" s="20" t="n">
        <v>0</v>
      </c>
      <c r="K28" s="18" t="n">
        <v>0.79650833</v>
      </c>
      <c r="L28" s="20" t="n">
        <v>0.34199943</v>
      </c>
      <c r="M28" s="18" t="n">
        <v>0.09704863</v>
      </c>
      <c r="N28" s="20" t="n">
        <v>0.09667389999999999</v>
      </c>
      <c r="O28" s="18" t="n">
        <v>0</v>
      </c>
      <c r="P28" s="20" t="n">
        <v>0</v>
      </c>
      <c r="Q28" s="18" t="n">
        <v>0.1866732</v>
      </c>
      <c r="R28" s="20" t="n">
        <v>0.14336315</v>
      </c>
    </row>
    <row r="29" spans="1:18">
      <c r="A29" s="15" t="s">
        <v>451</v>
      </c>
      <c r="B29" s="17" t="n">
        <v>5385</v>
      </c>
      <c r="C29" s="18">
        <f>(4748.0/B29*100)</f>
        <v/>
      </c>
      <c r="D29" s="19" t="n">
        <v>637</v>
      </c>
      <c r="E29" s="18" t="n">
        <v>18.45828047</v>
      </c>
      <c r="F29" s="20" t="n">
        <v>1.49066279</v>
      </c>
      <c r="G29" s="18" t="n">
        <v>81.06486133999999</v>
      </c>
      <c r="H29" s="20" t="n">
        <v>1.57634723</v>
      </c>
      <c r="I29" s="18" t="n">
        <v>0</v>
      </c>
      <c r="J29" s="20" t="n">
        <v>0</v>
      </c>
      <c r="K29" s="18" t="n">
        <v>0.2010417</v>
      </c>
      <c r="L29" s="20" t="n">
        <v>0.198841</v>
      </c>
      <c r="M29" s="18" t="n">
        <v>0</v>
      </c>
      <c r="N29" s="20" t="n">
        <v>0</v>
      </c>
      <c r="O29" s="18" t="n">
        <v>0</v>
      </c>
      <c r="P29" s="20" t="n">
        <v>0</v>
      </c>
      <c r="Q29" s="18" t="n">
        <v>0.27581648</v>
      </c>
      <c r="R29" s="20" t="n">
        <v>0.2135926</v>
      </c>
    </row>
    <row r="30" spans="1:18">
      <c r="A30" s="15" t="s">
        <v>452</v>
      </c>
      <c r="B30" s="17" t="n">
        <v>4520</v>
      </c>
      <c r="C30" s="18">
        <f>(4008.0/B30*100)</f>
        <v/>
      </c>
      <c r="D30" s="19" t="n">
        <v>512</v>
      </c>
      <c r="E30" s="18" t="n">
        <v>10.9512948</v>
      </c>
      <c r="F30" s="20" t="n">
        <v>1.40633709</v>
      </c>
      <c r="G30" s="18" t="n">
        <v>82.0867726</v>
      </c>
      <c r="H30" s="20" t="n">
        <v>1.71174522</v>
      </c>
      <c r="I30" s="18" t="n">
        <v>0</v>
      </c>
      <c r="J30" s="20" t="n">
        <v>0</v>
      </c>
      <c r="K30" s="18" t="n">
        <v>0.35631543</v>
      </c>
      <c r="L30" s="20" t="n">
        <v>0.25524646</v>
      </c>
      <c r="M30" s="18" t="n">
        <v>0</v>
      </c>
      <c r="N30" s="20" t="n">
        <v>0</v>
      </c>
      <c r="O30" s="18" t="n">
        <v>0</v>
      </c>
      <c r="P30" s="20" t="n">
        <v>0</v>
      </c>
      <c r="Q30" s="18" t="n">
        <v>6.60561717</v>
      </c>
      <c r="R30" s="20" t="n">
        <v>1.12952915</v>
      </c>
    </row>
    <row r="31" spans="1:18">
      <c r="A31" s="15" t="s">
        <v>453</v>
      </c>
      <c r="B31" s="17" t="n">
        <v>5456</v>
      </c>
      <c r="C31" s="18">
        <f>(4803.0/B31*100)</f>
        <v/>
      </c>
      <c r="D31" s="19" t="n">
        <v>653</v>
      </c>
      <c r="E31" s="18" t="n">
        <v>9.779189479999999</v>
      </c>
      <c r="F31" s="20" t="n">
        <v>1.26624627</v>
      </c>
      <c r="G31" s="18" t="n">
        <v>77.89662376</v>
      </c>
      <c r="H31" s="20" t="n">
        <v>1.55334359</v>
      </c>
      <c r="I31" s="18" t="n">
        <v>0</v>
      </c>
      <c r="J31" s="20" t="n">
        <v>0</v>
      </c>
      <c r="K31" s="18" t="n">
        <v>1.55238449</v>
      </c>
      <c r="L31" s="20" t="n">
        <v>0.54535628</v>
      </c>
      <c r="M31" s="18" t="n">
        <v>0</v>
      </c>
      <c r="N31" s="20" t="n">
        <v>0</v>
      </c>
      <c r="O31" s="18" t="n">
        <v>0</v>
      </c>
      <c r="P31" s="20" t="n">
        <v>0</v>
      </c>
      <c r="Q31" s="18" t="n">
        <v>10.77180227</v>
      </c>
      <c r="R31" s="20" t="n">
        <v>1.08699534</v>
      </c>
    </row>
    <row r="32" spans="1:18">
      <c r="A32" s="15" t="s">
        <v>454</v>
      </c>
      <c r="B32" s="17" t="n">
        <v>4478</v>
      </c>
      <c r="C32" s="18">
        <f>(3737.0/B32*100)</f>
        <v/>
      </c>
      <c r="D32" s="19" t="n">
        <v>741</v>
      </c>
      <c r="E32" s="18" t="n">
        <v>23.79875723</v>
      </c>
      <c r="F32" s="20" t="n">
        <v>1.61716212</v>
      </c>
      <c r="G32" s="18" t="n">
        <v>75.81581445</v>
      </c>
      <c r="H32" s="20" t="n">
        <v>1.62223084</v>
      </c>
      <c r="I32" s="18" t="n">
        <v>0</v>
      </c>
      <c r="J32" s="20" t="n">
        <v>0</v>
      </c>
      <c r="K32" s="18" t="n">
        <v>0.1302786</v>
      </c>
      <c r="L32" s="20" t="n">
        <v>0.12263181</v>
      </c>
      <c r="M32" s="18" t="n">
        <v>0.12692679</v>
      </c>
      <c r="N32" s="20" t="n">
        <v>0.12675818</v>
      </c>
      <c r="O32" s="18" t="n">
        <v>0</v>
      </c>
      <c r="P32" s="20" t="n">
        <v>0</v>
      </c>
      <c r="Q32" s="18" t="n">
        <v>0.12822292</v>
      </c>
      <c r="R32" s="20" t="n">
        <v>0.12844188</v>
      </c>
    </row>
    <row r="33" spans="1:18">
      <c r="A33" s="15" t="s">
        <v>455</v>
      </c>
      <c r="B33" s="17" t="n">
        <v>7325</v>
      </c>
      <c r="C33" s="18">
        <f>(6467.0/B33*100)</f>
        <v/>
      </c>
      <c r="D33" s="19" t="n">
        <v>858</v>
      </c>
      <c r="E33" s="18" t="n">
        <v>24.92672218</v>
      </c>
      <c r="F33" s="20" t="n">
        <v>1.7780793</v>
      </c>
      <c r="G33" s="18" t="n">
        <v>73.79413443</v>
      </c>
      <c r="H33" s="20" t="n">
        <v>1.89761091</v>
      </c>
      <c r="I33" s="18" t="n">
        <v>0</v>
      </c>
      <c r="J33" s="20" t="n">
        <v>0</v>
      </c>
      <c r="K33" s="18" t="n">
        <v>0.47972087</v>
      </c>
      <c r="L33" s="20" t="n">
        <v>0.23381156</v>
      </c>
      <c r="M33" s="18" t="n">
        <v>0</v>
      </c>
      <c r="N33" s="20" t="n">
        <v>0</v>
      </c>
      <c r="O33" s="18" t="n">
        <v>0</v>
      </c>
      <c r="P33" s="20" t="n">
        <v>0</v>
      </c>
      <c r="Q33" s="18" t="n">
        <v>0.79942253</v>
      </c>
      <c r="R33" s="20" t="n">
        <v>0.2518118</v>
      </c>
    </row>
    <row r="34" spans="1:18">
      <c r="A34" s="15" t="s">
        <v>456</v>
      </c>
      <c r="B34" s="17" t="n">
        <v>6350</v>
      </c>
      <c r="C34" s="18">
        <f>(5611.0/B34*100)</f>
        <v/>
      </c>
      <c r="D34" s="19" t="n">
        <v>739</v>
      </c>
      <c r="E34" s="18" t="n">
        <v>40.62244871</v>
      </c>
      <c r="F34" s="20" t="n">
        <v>1.8100187</v>
      </c>
      <c r="G34" s="18" t="n">
        <v>58.67867582</v>
      </c>
      <c r="H34" s="20" t="n">
        <v>1.82907251</v>
      </c>
      <c r="I34" s="18" t="n">
        <v>0</v>
      </c>
      <c r="J34" s="20" t="n">
        <v>0</v>
      </c>
      <c r="K34" s="18" t="n">
        <v>0.22200226</v>
      </c>
      <c r="L34" s="20" t="n">
        <v>0.13215512</v>
      </c>
      <c r="M34" s="18" t="n">
        <v>0.11967788</v>
      </c>
      <c r="N34" s="20" t="n">
        <v>0.11991919</v>
      </c>
      <c r="O34" s="18" t="n">
        <v>0</v>
      </c>
      <c r="P34" s="20" t="n">
        <v>0</v>
      </c>
      <c r="Q34" s="18" t="n">
        <v>0.35719533</v>
      </c>
      <c r="R34" s="20" t="n">
        <v>0.20098329</v>
      </c>
    </row>
    <row r="35" spans="1:18">
      <c r="A35" s="15" t="s">
        <v>457</v>
      </c>
      <c r="B35" s="17" t="n">
        <v>6406</v>
      </c>
      <c r="C35" s="18">
        <f>(5647.0/B35*100)</f>
        <v/>
      </c>
      <c r="D35" s="19" t="n">
        <v>759</v>
      </c>
      <c r="E35" s="18" t="n">
        <v>23.33473167</v>
      </c>
      <c r="F35" s="20" t="n">
        <v>1.91733714</v>
      </c>
      <c r="G35" s="18" t="n">
        <v>76.2315631</v>
      </c>
      <c r="H35" s="20" t="n">
        <v>1.8896973</v>
      </c>
      <c r="I35" s="18" t="n">
        <v>0</v>
      </c>
      <c r="J35" s="20" t="n">
        <v>0</v>
      </c>
      <c r="K35" s="18" t="n">
        <v>0.06759233000000001</v>
      </c>
      <c r="L35" s="20" t="n">
        <v>0.06812884</v>
      </c>
      <c r="M35" s="18" t="n">
        <v>0.2287293</v>
      </c>
      <c r="N35" s="20" t="n">
        <v>0.22771874</v>
      </c>
      <c r="O35" s="18" t="n">
        <v>0</v>
      </c>
      <c r="P35" s="20" t="n">
        <v>0</v>
      </c>
      <c r="Q35" s="18" t="n">
        <v>0.13738359</v>
      </c>
      <c r="R35" s="20" t="n">
        <v>0.09937312</v>
      </c>
    </row>
    <row r="36" spans="1:18">
      <c r="A36" s="15" t="s">
        <v>458</v>
      </c>
      <c r="B36" s="17" t="n">
        <v>6736</v>
      </c>
      <c r="C36" s="18">
        <f>(5931.0/B36*100)</f>
        <v/>
      </c>
      <c r="D36" s="19" t="n">
        <v>805</v>
      </c>
      <c r="E36" s="18" t="n">
        <v>26.50084779</v>
      </c>
      <c r="F36" s="20" t="n">
        <v>1.45232438</v>
      </c>
      <c r="G36" s="18" t="n">
        <v>72.26655807</v>
      </c>
      <c r="H36" s="20" t="n">
        <v>1.53824945</v>
      </c>
      <c r="I36" s="18" t="n">
        <v>0</v>
      </c>
      <c r="J36" s="20" t="n">
        <v>0</v>
      </c>
      <c r="K36" s="18" t="n">
        <v>0.21686972</v>
      </c>
      <c r="L36" s="20" t="n">
        <v>0.12453093</v>
      </c>
      <c r="M36" s="18" t="n">
        <v>0</v>
      </c>
      <c r="N36" s="20" t="n">
        <v>0</v>
      </c>
      <c r="O36" s="18" t="n">
        <v>0</v>
      </c>
      <c r="P36" s="20" t="n">
        <v>0</v>
      </c>
      <c r="Q36" s="18" t="n">
        <v>1.01572443</v>
      </c>
      <c r="R36" s="20" t="n">
        <v>0.38048939</v>
      </c>
    </row>
    <row r="37" spans="1:18">
      <c r="A37" s="15" t="s">
        <v>459</v>
      </c>
      <c r="B37" s="17" t="n">
        <v>5458</v>
      </c>
      <c r="C37" s="18">
        <f>(4790.0/B37*100)</f>
        <v/>
      </c>
      <c r="D37" s="19" t="n">
        <v>668</v>
      </c>
      <c r="E37" s="18" t="n">
        <v>22.91160126</v>
      </c>
      <c r="F37" s="20" t="n">
        <v>1.61167816</v>
      </c>
      <c r="G37" s="18" t="n">
        <v>75.94899728</v>
      </c>
      <c r="H37" s="20" t="n">
        <v>1.65204083</v>
      </c>
      <c r="I37" s="18" t="n">
        <v>0</v>
      </c>
      <c r="J37" s="20" t="n">
        <v>0</v>
      </c>
      <c r="K37" s="18" t="n">
        <v>0.84652001</v>
      </c>
      <c r="L37" s="20" t="n">
        <v>0.36507553</v>
      </c>
      <c r="M37" s="18" t="n">
        <v>0</v>
      </c>
      <c r="N37" s="20" t="n">
        <v>0</v>
      </c>
      <c r="O37" s="18" t="n">
        <v>0</v>
      </c>
      <c r="P37" s="20" t="n">
        <v>0</v>
      </c>
      <c r="Q37" s="18" t="n">
        <v>0.29288145</v>
      </c>
      <c r="R37" s="20" t="n">
        <v>0.20879484</v>
      </c>
    </row>
    <row r="38" spans="1:18">
      <c r="A38" s="15" t="s">
        <v>460</v>
      </c>
      <c r="B38" s="17" t="n">
        <v>5860</v>
      </c>
      <c r="C38" s="18">
        <f>(4878.0/B38*100)</f>
        <v/>
      </c>
      <c r="D38" s="19" t="n">
        <v>982</v>
      </c>
      <c r="E38" s="18" t="n">
        <v>17.90964543</v>
      </c>
      <c r="F38" s="20" t="n">
        <v>1.15073343</v>
      </c>
      <c r="G38" s="18" t="n">
        <v>71.22138912</v>
      </c>
      <c r="H38" s="20" t="n">
        <v>1.71647148</v>
      </c>
      <c r="I38" s="18" t="n">
        <v>0</v>
      </c>
      <c r="J38" s="20" t="n">
        <v>0</v>
      </c>
      <c r="K38" s="18" t="n">
        <v>0.8565398</v>
      </c>
      <c r="L38" s="20" t="n">
        <v>0.29789195</v>
      </c>
      <c r="M38" s="18" t="n">
        <v>0</v>
      </c>
      <c r="N38" s="20" t="n">
        <v>0</v>
      </c>
      <c r="O38" s="18" t="n">
        <v>0</v>
      </c>
      <c r="P38" s="20" t="n">
        <v>0</v>
      </c>
      <c r="Q38" s="18" t="n">
        <v>10.01242566</v>
      </c>
      <c r="R38" s="20" t="n">
        <v>1.02698534</v>
      </c>
    </row>
    <row r="39" spans="1:18">
      <c r="A39" s="15" t="s">
        <v>461</v>
      </c>
      <c r="B39" s="17" t="n">
        <v>5895</v>
      </c>
      <c r="C39" s="18">
        <f>(5175.0/B39*100)</f>
        <v/>
      </c>
      <c r="D39" s="19" t="n">
        <v>720</v>
      </c>
      <c r="E39" s="18" t="n">
        <v>38.31687524</v>
      </c>
      <c r="F39" s="20" t="n">
        <v>2.15077032</v>
      </c>
      <c r="G39" s="18" t="n">
        <v>59.73521238</v>
      </c>
      <c r="H39" s="20" t="n">
        <v>2.17569681</v>
      </c>
      <c r="I39" s="18" t="n">
        <v>0</v>
      </c>
      <c r="J39" s="20" t="n">
        <v>0</v>
      </c>
      <c r="K39" s="18" t="n">
        <v>0.48954535</v>
      </c>
      <c r="L39" s="20" t="n">
        <v>0.27327804</v>
      </c>
      <c r="M39" s="18" t="n">
        <v>0.06184123</v>
      </c>
      <c r="N39" s="20" t="n">
        <v>0.04424846</v>
      </c>
      <c r="O39" s="18" t="n">
        <v>0</v>
      </c>
      <c r="P39" s="20" t="n">
        <v>0</v>
      </c>
      <c r="Q39" s="18" t="n">
        <v>1.39652579</v>
      </c>
      <c r="R39" s="20" t="n">
        <v>0.57044531</v>
      </c>
    </row>
    <row r="40" spans="1:18">
      <c r="A40" s="15" t="s">
        <v>462</v>
      </c>
      <c r="B40" s="17" t="n">
        <v>14157</v>
      </c>
      <c r="C40" s="18">
        <f>(12445.0/B40*100)</f>
        <v/>
      </c>
      <c r="D40" s="19" t="n">
        <v>1712</v>
      </c>
      <c r="E40" s="18" t="n">
        <v>12.50074192</v>
      </c>
      <c r="F40" s="20" t="n">
        <v>1.14692065</v>
      </c>
      <c r="G40" s="18" t="n">
        <v>86.23928797000001</v>
      </c>
      <c r="H40" s="20" t="n">
        <v>1.26503163</v>
      </c>
      <c r="I40" s="18" t="n">
        <v>0</v>
      </c>
      <c r="J40" s="20" t="n">
        <v>0</v>
      </c>
      <c r="K40" s="18" t="n">
        <v>0.34648362</v>
      </c>
      <c r="L40" s="20" t="n">
        <v>0.17466055</v>
      </c>
      <c r="M40" s="18" t="n">
        <v>0.28139942</v>
      </c>
      <c r="N40" s="20" t="n">
        <v>0.22124136</v>
      </c>
      <c r="O40" s="18" t="n">
        <v>0</v>
      </c>
      <c r="P40" s="20" t="n">
        <v>0</v>
      </c>
      <c r="Q40" s="18" t="n">
        <v>0.63208707</v>
      </c>
      <c r="R40" s="20" t="n">
        <v>0.33145669</v>
      </c>
    </row>
    <row r="41" spans="1:18">
      <c r="A41" s="15" t="s">
        <v>463</v>
      </c>
      <c r="B41" s="17" t="n">
        <v>5712</v>
      </c>
      <c r="C41" s="18">
        <f>(5018.0/B41*100)</f>
        <v/>
      </c>
      <c r="D41" s="19" t="n">
        <v>694</v>
      </c>
      <c r="E41" s="18" t="n">
        <v>21.3796074</v>
      </c>
      <c r="F41" s="20" t="n">
        <v>1.67685007</v>
      </c>
      <c r="G41" s="18" t="n">
        <v>76.38577356</v>
      </c>
      <c r="H41" s="20" t="n">
        <v>1.77386956</v>
      </c>
      <c r="I41" s="18" t="n">
        <v>0</v>
      </c>
      <c r="J41" s="20" t="n">
        <v>0</v>
      </c>
      <c r="K41" s="18" t="n">
        <v>0.59063956</v>
      </c>
      <c r="L41" s="20" t="n">
        <v>0.34076736</v>
      </c>
      <c r="M41" s="18" t="n">
        <v>0</v>
      </c>
      <c r="N41" s="20" t="n">
        <v>0</v>
      </c>
      <c r="O41" s="18" t="n">
        <v>0</v>
      </c>
      <c r="P41" s="20" t="n">
        <v>0</v>
      </c>
      <c r="Q41" s="18" t="n">
        <v>1.64397948</v>
      </c>
      <c r="R41" s="20" t="n">
        <v>0.52083287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(20911.0/B46*100)</f>
        <v/>
      </c>
      <c r="D46" s="19" t="n">
        <v>2230</v>
      </c>
      <c r="E46" s="18" t="n">
        <v>34.28870137</v>
      </c>
      <c r="F46" s="20" t="n">
        <v>1.4703964</v>
      </c>
      <c r="G46" s="18" t="n">
        <v>43.70074604</v>
      </c>
      <c r="H46" s="20" t="n">
        <v>1.58267623</v>
      </c>
      <c r="I46" s="18" t="n">
        <v>0</v>
      </c>
      <c r="J46" s="20" t="n">
        <v>0</v>
      </c>
      <c r="K46" s="18" t="n">
        <v>1.84036735</v>
      </c>
      <c r="L46" s="20" t="n">
        <v>0.36287775</v>
      </c>
      <c r="M46" s="18" t="n">
        <v>0.18679429</v>
      </c>
      <c r="N46" s="20" t="n">
        <v>0.09617994000000001</v>
      </c>
      <c r="O46" s="18" t="n">
        <v>0</v>
      </c>
      <c r="P46" s="20" t="n">
        <v>0</v>
      </c>
      <c r="Q46" s="18" t="n">
        <v>19.98339096</v>
      </c>
      <c r="R46" s="20" t="n">
        <v>1.00252592</v>
      </c>
    </row>
    <row r="47" spans="1:18">
      <c r="A47" s="15" t="s">
        <v>470</v>
      </c>
      <c r="B47" s="17" t="n">
        <v>5928</v>
      </c>
      <c r="C47" s="18">
        <f>(5209.0/B47*100)</f>
        <v/>
      </c>
      <c r="D47" s="19" t="n">
        <v>719</v>
      </c>
      <c r="E47" s="18" t="n">
        <v>47.57103172</v>
      </c>
      <c r="F47" s="20" t="n">
        <v>2.20595035</v>
      </c>
      <c r="G47" s="18" t="n">
        <v>43.96863454</v>
      </c>
      <c r="H47" s="20" t="n">
        <v>2.20205647</v>
      </c>
      <c r="I47" s="18" t="n">
        <v>0</v>
      </c>
      <c r="J47" s="20" t="n">
        <v>0</v>
      </c>
      <c r="K47" s="18" t="n">
        <v>0.54356499</v>
      </c>
      <c r="L47" s="20" t="n">
        <v>0.27865856</v>
      </c>
      <c r="M47" s="18" t="n">
        <v>0</v>
      </c>
      <c r="N47" s="20" t="n">
        <v>0</v>
      </c>
      <c r="O47" s="18" t="n">
        <v>0</v>
      </c>
      <c r="P47" s="20" t="n">
        <v>0</v>
      </c>
      <c r="Q47" s="18" t="n">
        <v>7.91676875</v>
      </c>
      <c r="R47" s="20" t="n">
        <v>0.98529172</v>
      </c>
    </row>
    <row r="48" spans="1:18">
      <c r="A48" s="15" t="s">
        <v>471</v>
      </c>
      <c r="B48" s="17" t="n">
        <v>9841</v>
      </c>
      <c r="C48" s="18">
        <f>(8656.0/B48*100)</f>
        <v/>
      </c>
      <c r="D48" s="19" t="n">
        <v>1185</v>
      </c>
      <c r="E48" s="18" t="n">
        <v>52.56216008</v>
      </c>
      <c r="F48" s="20" t="n">
        <v>2.28641133</v>
      </c>
      <c r="G48" s="18" t="n">
        <v>45.46558809</v>
      </c>
      <c r="H48" s="20" t="n">
        <v>2.30995986</v>
      </c>
      <c r="I48" s="18" t="n">
        <v>0</v>
      </c>
      <c r="J48" s="20" t="n">
        <v>0</v>
      </c>
      <c r="K48" s="18" t="n">
        <v>1.26599994</v>
      </c>
      <c r="L48" s="20" t="n">
        <v>0.4846061</v>
      </c>
      <c r="M48" s="18" t="n">
        <v>0</v>
      </c>
      <c r="N48" s="20" t="n">
        <v>0</v>
      </c>
      <c r="O48" s="18" t="n">
        <v>0</v>
      </c>
      <c r="P48" s="20" t="n">
        <v>0</v>
      </c>
      <c r="Q48" s="18" t="n">
        <v>0.7062518800000001</v>
      </c>
      <c r="R48" s="20" t="n">
        <v>0.30194027</v>
      </c>
    </row>
    <row r="49" spans="1:18">
      <c r="A49" s="15" t="s">
        <v>472</v>
      </c>
      <c r="B49" s="17" t="n">
        <v>11795</v>
      </c>
      <c r="C49" s="18">
        <f>(10393.0/B49*100)</f>
        <v/>
      </c>
      <c r="D49" s="19" t="n">
        <v>1402</v>
      </c>
      <c r="E49" s="18" t="n">
        <v>31.00461172</v>
      </c>
      <c r="F49" s="20" t="n">
        <v>1.65729487</v>
      </c>
      <c r="G49" s="18" t="n">
        <v>54.53425497</v>
      </c>
      <c r="H49" s="20" t="n">
        <v>1.99505245</v>
      </c>
      <c r="I49" s="18" t="n">
        <v>0</v>
      </c>
      <c r="J49" s="20" t="n">
        <v>0</v>
      </c>
      <c r="K49" s="18" t="n">
        <v>2.72938488</v>
      </c>
      <c r="L49" s="20" t="n">
        <v>0.64380086</v>
      </c>
      <c r="M49" s="18" t="n">
        <v>0.07367609</v>
      </c>
      <c r="N49" s="20" t="n">
        <v>0.05186338</v>
      </c>
      <c r="O49" s="18" t="n">
        <v>0</v>
      </c>
      <c r="P49" s="20" t="n">
        <v>0</v>
      </c>
      <c r="Q49" s="18" t="n">
        <v>11.65807234</v>
      </c>
      <c r="R49" s="20" t="n">
        <v>1.25833184</v>
      </c>
    </row>
    <row r="50" spans="1:18">
      <c r="A50" s="15" t="s">
        <v>473</v>
      </c>
      <c r="B50" s="17" t="n">
        <v>6866</v>
      </c>
      <c r="C50" s="18">
        <f>(6146.0/B50*100)</f>
        <v/>
      </c>
      <c r="D50" s="19" t="n">
        <v>720</v>
      </c>
      <c r="E50" s="18" t="n">
        <v>38.68406936</v>
      </c>
      <c r="F50" s="20" t="n">
        <v>1.73119932</v>
      </c>
      <c r="G50" s="18" t="n">
        <v>43.47632934</v>
      </c>
      <c r="H50" s="20" t="n">
        <v>1.85536001</v>
      </c>
      <c r="I50" s="18" t="n">
        <v>0</v>
      </c>
      <c r="J50" s="20" t="n">
        <v>0</v>
      </c>
      <c r="K50" s="18" t="n">
        <v>1.24422003</v>
      </c>
      <c r="L50" s="20" t="n">
        <v>0.49286763</v>
      </c>
      <c r="M50" s="18" t="n">
        <v>0</v>
      </c>
      <c r="N50" s="20" t="n">
        <v>0</v>
      </c>
      <c r="O50" s="18" t="n">
        <v>0</v>
      </c>
      <c r="P50" s="20" t="n">
        <v>0</v>
      </c>
      <c r="Q50" s="18" t="n">
        <v>16.59538128</v>
      </c>
      <c r="R50" s="20" t="n">
        <v>1.19453332</v>
      </c>
    </row>
    <row r="51" spans="1:18">
      <c r="A51" s="15" t="s">
        <v>474</v>
      </c>
      <c r="B51" s="17" t="n">
        <v>5809</v>
      </c>
      <c r="C51" s="18">
        <f>(5108.0/B51*100)</f>
        <v/>
      </c>
      <c r="D51" s="19" t="n">
        <v>701</v>
      </c>
      <c r="E51" s="18" t="n">
        <v>27.14161722</v>
      </c>
      <c r="F51" s="20" t="n">
        <v>1.72550249</v>
      </c>
      <c r="G51" s="18" t="n">
        <v>71.61441738000001</v>
      </c>
      <c r="H51" s="20" t="n">
        <v>1.76357325</v>
      </c>
      <c r="I51" s="18" t="n">
        <v>0</v>
      </c>
      <c r="J51" s="20" t="n">
        <v>0</v>
      </c>
      <c r="K51" s="18" t="n">
        <v>0.53500837</v>
      </c>
      <c r="L51" s="20" t="n">
        <v>0.43933926</v>
      </c>
      <c r="M51" s="18" t="n">
        <v>0</v>
      </c>
      <c r="N51" s="20" t="n">
        <v>0</v>
      </c>
      <c r="O51" s="18" t="n">
        <v>0</v>
      </c>
      <c r="P51" s="20" t="n">
        <v>0</v>
      </c>
      <c r="Q51" s="18" t="n">
        <v>0.70895703</v>
      </c>
      <c r="R51" s="20" t="n">
        <v>0.32423054</v>
      </c>
    </row>
    <row r="52" spans="1:18">
      <c r="A52" s="15" t="s">
        <v>475</v>
      </c>
      <c r="B52" s="17" t="n">
        <v>5571</v>
      </c>
      <c r="C52" s="18">
        <f>(4916.0/B52*100)</f>
        <v/>
      </c>
      <c r="D52" s="19" t="n">
        <v>655</v>
      </c>
      <c r="E52" s="18" t="n">
        <v>35.92194057</v>
      </c>
      <c r="F52" s="20" t="n">
        <v>1.83740317</v>
      </c>
      <c r="G52" s="18" t="n">
        <v>62.19480353</v>
      </c>
      <c r="H52" s="20" t="n">
        <v>1.84534853</v>
      </c>
      <c r="I52" s="18" t="n">
        <v>0</v>
      </c>
      <c r="J52" s="20" t="n">
        <v>0</v>
      </c>
      <c r="K52" s="18" t="n">
        <v>0.62528346</v>
      </c>
      <c r="L52" s="20" t="n">
        <v>0.31719253</v>
      </c>
      <c r="M52" s="18" t="n">
        <v>0</v>
      </c>
      <c r="N52" s="20" t="n">
        <v>0</v>
      </c>
      <c r="O52" s="18" t="n">
        <v>0</v>
      </c>
      <c r="P52" s="20" t="n">
        <v>0</v>
      </c>
      <c r="Q52" s="18" t="n">
        <v>1.25797244</v>
      </c>
      <c r="R52" s="20" t="n">
        <v>0.40486093</v>
      </c>
    </row>
    <row r="53" spans="1:18">
      <c r="A53" s="15" t="s">
        <v>476</v>
      </c>
      <c r="B53" s="17" t="n">
        <v>4740</v>
      </c>
      <c r="C53" s="18">
        <f>(3975.0/B53*100)</f>
        <v/>
      </c>
      <c r="D53" s="19" t="n">
        <v>765</v>
      </c>
      <c r="E53" s="18" t="n">
        <v>38.07478487</v>
      </c>
      <c r="F53" s="20" t="n">
        <v>1.7997281</v>
      </c>
      <c r="G53" s="18" t="n">
        <v>46.17539445</v>
      </c>
      <c r="H53" s="20" t="n">
        <v>1.81885565</v>
      </c>
      <c r="I53" s="18" t="n">
        <v>0</v>
      </c>
      <c r="J53" s="20" t="n">
        <v>0</v>
      </c>
      <c r="K53" s="18" t="n">
        <v>12.80938096</v>
      </c>
      <c r="L53" s="20" t="n">
        <v>1.13652822</v>
      </c>
      <c r="M53" s="18" t="n">
        <v>0.9514062</v>
      </c>
      <c r="N53" s="20" t="n">
        <v>0.80007292</v>
      </c>
      <c r="O53" s="18" t="n">
        <v>0</v>
      </c>
      <c r="P53" s="20" t="n">
        <v>0</v>
      </c>
      <c r="Q53" s="18" t="n">
        <v>1.98903351</v>
      </c>
      <c r="R53" s="20" t="n">
        <v>0.60759997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(4703.0/B55*100)</f>
        <v/>
      </c>
      <c r="D55" s="19" t="n">
        <v>656</v>
      </c>
      <c r="E55" s="18" t="n">
        <v>17.79697674</v>
      </c>
      <c r="F55" s="20" t="n">
        <v>1.59273068</v>
      </c>
      <c r="G55" s="18" t="n">
        <v>81.66779991</v>
      </c>
      <c r="H55" s="20" t="n">
        <v>1.71558338</v>
      </c>
      <c r="I55" s="18" t="n">
        <v>0</v>
      </c>
      <c r="J55" s="20" t="n">
        <v>0</v>
      </c>
      <c r="K55" s="18" t="n">
        <v>0.40543727</v>
      </c>
      <c r="L55" s="20" t="n">
        <v>0.26351124</v>
      </c>
      <c r="M55" s="18" t="n">
        <v>0</v>
      </c>
      <c r="N55" s="20" t="n">
        <v>0</v>
      </c>
      <c r="O55" s="18" t="n">
        <v>0</v>
      </c>
      <c r="P55" s="20" t="n">
        <v>0</v>
      </c>
      <c r="Q55" s="18" t="n">
        <v>0.12978608</v>
      </c>
      <c r="R55" s="20" t="n">
        <v>0.12021378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(5737.0/B61*100)</f>
        <v/>
      </c>
      <c r="D61" s="19" t="n">
        <v>788</v>
      </c>
      <c r="E61" s="18" t="n">
        <v>35.55782381</v>
      </c>
      <c r="F61" s="20" t="n">
        <v>2.33396106</v>
      </c>
      <c r="G61" s="18" t="n">
        <v>63.04400804</v>
      </c>
      <c r="H61" s="20" t="n">
        <v>2.27044889</v>
      </c>
      <c r="I61" s="18" t="n">
        <v>0</v>
      </c>
      <c r="J61" s="20" t="n">
        <v>0</v>
      </c>
      <c r="K61" s="18" t="n">
        <v>0.56477796</v>
      </c>
      <c r="L61" s="20" t="n">
        <v>0.13930657</v>
      </c>
      <c r="M61" s="18" t="n">
        <v>0</v>
      </c>
      <c r="N61" s="20" t="n">
        <v>0</v>
      </c>
      <c r="O61" s="18" t="n">
        <v>0</v>
      </c>
      <c r="P61" s="20" t="n">
        <v>0</v>
      </c>
      <c r="Q61" s="18" t="n">
        <v>0.83339019</v>
      </c>
      <c r="R61" s="20" t="n">
        <v>0.36421044</v>
      </c>
    </row>
    <row r="62" spans="1:18">
      <c r="A62" s="15" t="s">
        <v>486</v>
      </c>
      <c r="B62" s="17" t="n">
        <v>4476</v>
      </c>
      <c r="C62" s="18">
        <f>(3931.0/B62*100)</f>
        <v/>
      </c>
      <c r="D62" s="19" t="n">
        <v>545</v>
      </c>
      <c r="E62" s="18" t="n">
        <v>25.83957525</v>
      </c>
      <c r="F62" s="20" t="n">
        <v>2.04385193</v>
      </c>
      <c r="G62" s="18" t="n">
        <v>71.94374763</v>
      </c>
      <c r="H62" s="20" t="n">
        <v>1.9521485</v>
      </c>
      <c r="I62" s="18" t="n">
        <v>0</v>
      </c>
      <c r="J62" s="20" t="n">
        <v>0</v>
      </c>
      <c r="K62" s="18" t="n">
        <v>0</v>
      </c>
      <c r="L62" s="20" t="n">
        <v>0</v>
      </c>
      <c r="M62" s="18" t="n">
        <v>0.54840587</v>
      </c>
      <c r="N62" s="20" t="n">
        <v>0.31981139</v>
      </c>
      <c r="O62" s="18" t="n">
        <v>0</v>
      </c>
      <c r="P62" s="20" t="n">
        <v>0</v>
      </c>
      <c r="Q62" s="18" t="n">
        <v>1.66827125</v>
      </c>
      <c r="R62" s="20" t="n">
        <v>0.54041466</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(4987.0/B67*100)</f>
        <v/>
      </c>
      <c r="D67" s="19" t="n">
        <v>678</v>
      </c>
      <c r="E67" s="18" t="n">
        <v>16.82023357</v>
      </c>
      <c r="F67" s="20" t="n">
        <v>1.52220724</v>
      </c>
      <c r="G67" s="18" t="n">
        <v>43.75062757</v>
      </c>
      <c r="H67" s="20" t="n">
        <v>2.02365495</v>
      </c>
      <c r="I67" s="18" t="n">
        <v>0</v>
      </c>
      <c r="J67" s="20" t="n">
        <v>0</v>
      </c>
      <c r="K67" s="18" t="n">
        <v>2.54943951</v>
      </c>
      <c r="L67" s="20" t="n">
        <v>0.73334148</v>
      </c>
      <c r="M67" s="18" t="n">
        <v>0.6145784399999999</v>
      </c>
      <c r="N67" s="20" t="n">
        <v>0.50153159</v>
      </c>
      <c r="O67" s="18" t="n">
        <v>0</v>
      </c>
      <c r="P67" s="20" t="n">
        <v>0</v>
      </c>
      <c r="Q67" s="18" t="n">
        <v>36.26512092</v>
      </c>
      <c r="R67" s="20" t="n">
        <v>1.83878601</v>
      </c>
    </row>
    <row r="68" spans="1:18">
      <c r="A68" s="15" t="s">
        <v>492</v>
      </c>
      <c r="B68" s="17" t="n">
        <v>6971</v>
      </c>
      <c r="C68" s="18">
        <f>(6248.0/B68*100)</f>
        <v/>
      </c>
      <c r="D68" s="19" t="n">
        <v>723</v>
      </c>
      <c r="E68" s="18" t="n">
        <v>65.25709938999999</v>
      </c>
      <c r="F68" s="20" t="n">
        <v>1.71346014</v>
      </c>
      <c r="G68" s="18" t="n">
        <v>32.60971474</v>
      </c>
      <c r="H68" s="20" t="n">
        <v>1.77143589</v>
      </c>
      <c r="I68" s="18" t="n">
        <v>0</v>
      </c>
      <c r="J68" s="20" t="n">
        <v>0</v>
      </c>
      <c r="K68" s="18" t="n">
        <v>0.14393067</v>
      </c>
      <c r="L68" s="20" t="n">
        <v>0.14416234</v>
      </c>
      <c r="M68" s="18" t="n">
        <v>0.15121642</v>
      </c>
      <c r="N68" s="20" t="n">
        <v>0.15136715</v>
      </c>
      <c r="O68" s="18" t="n">
        <v>0</v>
      </c>
      <c r="P68" s="20" t="n">
        <v>0</v>
      </c>
      <c r="Q68" s="18" t="n">
        <v>1.83803879</v>
      </c>
      <c r="R68" s="20" t="n">
        <v>0.49913786</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(10078.0/B70*100)</f>
        <v/>
      </c>
      <c r="D70" s="19" t="n">
        <v>2005</v>
      </c>
      <c r="E70" s="18" t="n">
        <v>56.12202436</v>
      </c>
      <c r="F70" s="20" t="n">
        <v>1.076386</v>
      </c>
      <c r="G70" s="18" t="n">
        <v>38.46646669</v>
      </c>
      <c r="H70" s="20" t="n">
        <v>1.09507231</v>
      </c>
      <c r="I70" s="18" t="n">
        <v>0</v>
      </c>
      <c r="J70" s="20" t="n">
        <v>0</v>
      </c>
      <c r="K70" s="18" t="n">
        <v>3.19862724</v>
      </c>
      <c r="L70" s="20" t="n">
        <v>0.3341971</v>
      </c>
      <c r="M70" s="18" t="n">
        <v>0.04910754</v>
      </c>
      <c r="N70" s="20" t="n">
        <v>0.0491162</v>
      </c>
      <c r="O70" s="18" t="n">
        <v>0</v>
      </c>
      <c r="P70" s="20" t="n">
        <v>0</v>
      </c>
      <c r="Q70" s="18" t="n">
        <v>2.16377417</v>
      </c>
      <c r="R70" s="20" t="n">
        <v>0.28594879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(5334.0/B72*100)</f>
        <v/>
      </c>
      <c r="D72" s="19" t="n">
        <v>702</v>
      </c>
      <c r="E72" s="18" t="n">
        <v>40.39603572</v>
      </c>
      <c r="F72" s="20" t="n">
        <v>2.24898615</v>
      </c>
      <c r="G72" s="18" t="n">
        <v>58.38520389</v>
      </c>
      <c r="H72" s="20" t="n">
        <v>2.22682673</v>
      </c>
      <c r="I72" s="18" t="n">
        <v>0</v>
      </c>
      <c r="J72" s="20" t="n">
        <v>0</v>
      </c>
      <c r="K72" s="18" t="n">
        <v>0.77939634</v>
      </c>
      <c r="L72" s="20" t="n">
        <v>0.41054526</v>
      </c>
      <c r="M72" s="18" t="n">
        <v>0</v>
      </c>
      <c r="N72" s="20" t="n">
        <v>0</v>
      </c>
      <c r="O72" s="18" t="n">
        <v>0</v>
      </c>
      <c r="P72" s="20" t="n">
        <v>0</v>
      </c>
      <c r="Q72" s="18" t="n">
        <v>0.43936405</v>
      </c>
      <c r="R72" s="20" t="n">
        <v>0.28067994</v>
      </c>
    </row>
    <row r="73" spans="1:18">
      <c r="A73" s="15" t="s">
        <v>497</v>
      </c>
      <c r="B73" s="17" t="n">
        <v>6115</v>
      </c>
      <c r="C73" s="18">
        <f>(5364.0/B73*100)</f>
        <v/>
      </c>
      <c r="D73" s="19" t="n">
        <v>751</v>
      </c>
      <c r="E73" s="18" t="n">
        <v>13.10837883</v>
      </c>
      <c r="F73" s="20" t="n">
        <v>1.05157945</v>
      </c>
      <c r="G73" s="18" t="n">
        <v>86.26925528</v>
      </c>
      <c r="H73" s="20" t="n">
        <v>1.14334077</v>
      </c>
      <c r="I73" s="18" t="n">
        <v>0</v>
      </c>
      <c r="J73" s="20" t="n">
        <v>0</v>
      </c>
      <c r="K73" s="18" t="n">
        <v>0.3644312</v>
      </c>
      <c r="L73" s="20" t="n">
        <v>0.21418069</v>
      </c>
      <c r="M73" s="18" t="n">
        <v>0</v>
      </c>
      <c r="N73" s="20" t="n">
        <v>0</v>
      </c>
      <c r="O73" s="18" t="n">
        <v>0</v>
      </c>
      <c r="P73" s="20" t="n">
        <v>0</v>
      </c>
      <c r="Q73" s="18" t="n">
        <v>0.25793469</v>
      </c>
      <c r="R73" s="20" t="n">
        <v>0.18526934</v>
      </c>
    </row>
    <row r="74" spans="1:18">
      <c r="A74" s="15" t="s">
        <v>498</v>
      </c>
      <c r="B74" s="17" t="n">
        <v>7708</v>
      </c>
      <c r="C74" s="18">
        <f>(6761.0/B74*100)</f>
        <v/>
      </c>
      <c r="D74" s="19" t="n">
        <v>947</v>
      </c>
      <c r="E74" s="18" t="n">
        <v>30.70557886</v>
      </c>
      <c r="F74" s="20" t="n">
        <v>1.65168453</v>
      </c>
      <c r="G74" s="18" t="n">
        <v>68.58602673</v>
      </c>
      <c r="H74" s="20" t="n">
        <v>1.65843866</v>
      </c>
      <c r="I74" s="18" t="n">
        <v>0</v>
      </c>
      <c r="J74" s="20" t="n">
        <v>0</v>
      </c>
      <c r="K74" s="18" t="n">
        <v>0.13899184</v>
      </c>
      <c r="L74" s="20" t="n">
        <v>0.09235931999999999</v>
      </c>
      <c r="M74" s="18" t="n">
        <v>0</v>
      </c>
      <c r="N74" s="20" t="n">
        <v>0</v>
      </c>
      <c r="O74" s="18" t="n">
        <v>0</v>
      </c>
      <c r="P74" s="20" t="n">
        <v>0</v>
      </c>
      <c r="Q74" s="18" t="n">
        <v>0.5694025700000001</v>
      </c>
      <c r="R74" s="20" t="n">
        <v>0.2676965</v>
      </c>
    </row>
    <row r="75" spans="1:18">
      <c r="A75" s="15" t="s">
        <v>499</v>
      </c>
      <c r="B75" s="17" t="n">
        <v>8249</v>
      </c>
      <c r="C75" s="18">
        <f>(7305.0/B75*100)</f>
        <v/>
      </c>
      <c r="D75" s="19" t="n">
        <v>944</v>
      </c>
      <c r="E75" s="18" t="n">
        <v>64.50526443</v>
      </c>
      <c r="F75" s="20" t="n">
        <v>1.80588589</v>
      </c>
      <c r="G75" s="18" t="n">
        <v>34.32841604</v>
      </c>
      <c r="H75" s="20" t="n">
        <v>1.79552645</v>
      </c>
      <c r="I75" s="18" t="n">
        <v>0</v>
      </c>
      <c r="J75" s="20" t="n">
        <v>0</v>
      </c>
      <c r="K75" s="18" t="n">
        <v>0.21681856</v>
      </c>
      <c r="L75" s="20" t="n">
        <v>0.2164784</v>
      </c>
      <c r="M75" s="18" t="n">
        <v>0.27845069</v>
      </c>
      <c r="N75" s="20" t="n">
        <v>0.25551134</v>
      </c>
      <c r="O75" s="18" t="n">
        <v>0</v>
      </c>
      <c r="P75" s="20" t="n">
        <v>0</v>
      </c>
      <c r="Q75" s="18" t="n">
        <v>0.67105028</v>
      </c>
      <c r="R75" s="20" t="n">
        <v>0.22226699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(4795.0/B77*100)</f>
        <v/>
      </c>
      <c r="D77" s="19" t="n">
        <v>580</v>
      </c>
      <c r="E77" s="18" t="n">
        <v>64.1508407</v>
      </c>
      <c r="F77" s="20" t="n">
        <v>2.22054591</v>
      </c>
      <c r="G77" s="18" t="n">
        <v>26.70251563</v>
      </c>
      <c r="H77" s="20" t="n">
        <v>2.24454732</v>
      </c>
      <c r="I77" s="18" t="n">
        <v>0</v>
      </c>
      <c r="J77" s="20" t="n">
        <v>0</v>
      </c>
      <c r="K77" s="18" t="n">
        <v>4.65612742</v>
      </c>
      <c r="L77" s="20" t="n">
        <v>1.09954625</v>
      </c>
      <c r="M77" s="18" t="n">
        <v>0.39520156</v>
      </c>
      <c r="N77" s="20" t="n">
        <v>0.28663508</v>
      </c>
      <c r="O77" s="18" t="n">
        <v>0</v>
      </c>
      <c r="P77" s="20" t="n">
        <v>0</v>
      </c>
      <c r="Q77" s="18" t="n">
        <v>4.09531468</v>
      </c>
      <c r="R77" s="20" t="n">
        <v>0.97275449</v>
      </c>
    </row>
    <row r="78" spans="1:18">
      <c r="A78" s="15" t="s">
        <v>502</v>
      </c>
      <c r="B78" s="17" t="n">
        <v>14167</v>
      </c>
      <c r="C78" s="18">
        <f>(12409.0/B78*100)</f>
        <v/>
      </c>
      <c r="D78" s="19" t="n">
        <v>1758</v>
      </c>
      <c r="E78" s="18" t="n">
        <v>45.30785495</v>
      </c>
      <c r="F78" s="20" t="n">
        <v>1.65241767</v>
      </c>
      <c r="G78" s="18" t="n">
        <v>52.30538869</v>
      </c>
      <c r="H78" s="20" t="n">
        <v>1.63438836</v>
      </c>
      <c r="I78" s="18" t="n">
        <v>0</v>
      </c>
      <c r="J78" s="20" t="n">
        <v>0</v>
      </c>
      <c r="K78" s="18" t="n">
        <v>0.96807561</v>
      </c>
      <c r="L78" s="20" t="n">
        <v>0.26133718</v>
      </c>
      <c r="M78" s="18" t="n">
        <v>0.10460615</v>
      </c>
      <c r="N78" s="20" t="n">
        <v>0.08756828</v>
      </c>
      <c r="O78" s="18" t="n">
        <v>0</v>
      </c>
      <c r="P78" s="20" t="n">
        <v>0</v>
      </c>
      <c r="Q78" s="18" t="n">
        <v>1.3140746</v>
      </c>
      <c r="R78" s="20" t="n">
        <v>0.38693197</v>
      </c>
    </row>
    <row r="79" spans="1:18">
      <c r="A79" s="15" t="s">
        <v>503</v>
      </c>
      <c r="B79" s="17" t="n">
        <v>6062</v>
      </c>
      <c r="C79" s="18">
        <f>(5368.0/B79*100)</f>
        <v/>
      </c>
      <c r="D79" s="19" t="n">
        <v>694</v>
      </c>
      <c r="E79" s="18" t="n">
        <v>44.17805117</v>
      </c>
      <c r="F79" s="20" t="n">
        <v>2.13844262</v>
      </c>
      <c r="G79" s="18" t="n">
        <v>50.93574076</v>
      </c>
      <c r="H79" s="20" t="n">
        <v>2.16787827</v>
      </c>
      <c r="I79" s="18" t="n">
        <v>0</v>
      </c>
      <c r="J79" s="20" t="n">
        <v>0</v>
      </c>
      <c r="K79" s="18" t="n">
        <v>2.43088982</v>
      </c>
      <c r="L79" s="20" t="n">
        <v>0.6736014299999999</v>
      </c>
      <c r="M79" s="18" t="n">
        <v>0.27933229</v>
      </c>
      <c r="N79" s="20" t="n">
        <v>0.17960332</v>
      </c>
      <c r="O79" s="18" t="n">
        <v>0</v>
      </c>
      <c r="P79" s="20" t="n">
        <v>0</v>
      </c>
      <c r="Q79" s="18" t="n">
        <v>2.17598596</v>
      </c>
      <c r="R79" s="20" t="n">
        <v>0.63080798</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(28450.0/B82*100)</f>
        <v/>
      </c>
      <c r="D82" s="19" t="n">
        <v>3880</v>
      </c>
      <c r="E82" s="18" t="n">
        <v>27.14139209</v>
      </c>
      <c r="F82" s="20" t="n">
        <v>0.97713173</v>
      </c>
      <c r="G82" s="18" t="n">
        <v>71.06239766</v>
      </c>
      <c r="H82" s="20" t="n">
        <v>0.97733987</v>
      </c>
      <c r="I82" s="18" t="n">
        <v>0</v>
      </c>
      <c r="J82" s="20" t="n">
        <v>0</v>
      </c>
      <c r="K82" s="18" t="n">
        <v>0.25653462</v>
      </c>
      <c r="L82" s="20" t="n">
        <v>0.08150997</v>
      </c>
      <c r="M82" s="18" t="n">
        <v>0</v>
      </c>
      <c r="N82" s="20" t="n">
        <v>0</v>
      </c>
      <c r="O82" s="18" t="n">
        <v>0</v>
      </c>
      <c r="P82" s="20" t="n">
        <v>0</v>
      </c>
      <c r="Q82" s="18" t="n">
        <v>1.53967563</v>
      </c>
      <c r="R82" s="20" t="n">
        <v>0.27133317</v>
      </c>
    </row>
    <row r="83" spans="1:18">
      <c r="A83" s="15" t="s">
        <v>507</v>
      </c>
      <c r="B83" s="17" t="n">
        <v>1652</v>
      </c>
      <c r="C83" s="18">
        <f>(1465.0/B83*100)</f>
        <v/>
      </c>
      <c r="D83" s="19" t="n">
        <v>187</v>
      </c>
      <c r="E83" s="18" t="n">
        <v>12.02857085</v>
      </c>
      <c r="F83" s="20" t="n">
        <v>2.50691193</v>
      </c>
      <c r="G83" s="18" t="n">
        <v>86.80227413</v>
      </c>
      <c r="H83" s="20" t="n">
        <v>2.57536951</v>
      </c>
      <c r="I83" s="18" t="n">
        <v>0</v>
      </c>
      <c r="J83" s="20" t="n">
        <v>0</v>
      </c>
      <c r="K83" s="18" t="n">
        <v>0.55909772</v>
      </c>
      <c r="L83" s="20" t="n">
        <v>0.50696484</v>
      </c>
      <c r="M83" s="18" t="n">
        <v>0</v>
      </c>
      <c r="N83" s="20" t="n">
        <v>0</v>
      </c>
      <c r="O83" s="18" t="n">
        <v>0</v>
      </c>
      <c r="P83" s="20" t="n">
        <v>0</v>
      </c>
      <c r="Q83" s="18" t="n">
        <v>0.6100573</v>
      </c>
      <c r="R83" s="20" t="n">
        <v>0.63894558</v>
      </c>
    </row>
    <row r="84" spans="1:18">
      <c r="A84" s="23" t="s">
        <v>508</v>
      </c>
      <c r="B84" s="24" t="n">
        <v>1887</v>
      </c>
      <c r="C84" s="25">
        <f>(1665.0/B84*100)</f>
        <v/>
      </c>
      <c r="D84" s="19" t="n">
        <v>222</v>
      </c>
      <c r="E84" s="18" t="n">
        <v>23.54862967</v>
      </c>
      <c r="F84" s="20" t="n">
        <v>2.72349304</v>
      </c>
      <c r="G84" s="18" t="n">
        <v>75.96574944</v>
      </c>
      <c r="H84" s="20" t="n">
        <v>2.77648261</v>
      </c>
      <c r="I84" s="18" t="n">
        <v>0</v>
      </c>
      <c r="J84" s="20" t="n">
        <v>0</v>
      </c>
      <c r="K84" s="18" t="n">
        <v>0</v>
      </c>
      <c r="L84" s="20" t="n">
        <v>0</v>
      </c>
      <c r="M84" s="18" t="n">
        <v>0</v>
      </c>
      <c r="N84" s="20" t="n">
        <v>0</v>
      </c>
      <c r="O84" s="18" t="n">
        <v>0</v>
      </c>
      <c r="P84" s="20" t="n">
        <v>0</v>
      </c>
      <c r="Q84" s="18" t="n">
        <v>0.48562089</v>
      </c>
      <c r="R84" s="20" t="n">
        <v>0.48436499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(12790.0/B7*100)</f>
        <v/>
      </c>
      <c r="D7" s="19" t="n">
        <v>1740</v>
      </c>
      <c r="E7" s="18" t="n">
        <v>85.37632729000001</v>
      </c>
      <c r="F7" s="20" t="n">
        <v>1.10988594</v>
      </c>
      <c r="G7" s="18" t="n">
        <v>13.72900691</v>
      </c>
      <c r="H7" s="20" t="n">
        <v>1.07975411</v>
      </c>
      <c r="I7" s="18" t="n">
        <v>0</v>
      </c>
      <c r="J7" s="20" t="n">
        <v>0</v>
      </c>
      <c r="K7" s="18" t="n">
        <v>0.61190256</v>
      </c>
      <c r="L7" s="20" t="n">
        <v>0.2070098</v>
      </c>
      <c r="M7" s="18" t="n">
        <v>0</v>
      </c>
      <c r="N7" s="20" t="n">
        <v>0</v>
      </c>
      <c r="O7" s="18" t="n">
        <v>0</v>
      </c>
      <c r="P7" s="20" t="n">
        <v>0</v>
      </c>
      <c r="Q7" s="18" t="n">
        <v>0.28276324</v>
      </c>
      <c r="R7" s="20" t="n">
        <v>0.13028407</v>
      </c>
    </row>
    <row r="8" spans="1:18">
      <c r="A8" s="15" t="s">
        <v>430</v>
      </c>
      <c r="B8" s="17" t="n">
        <v>7007</v>
      </c>
      <c r="C8" s="18">
        <f>(6105.0/B8*100)</f>
        <v/>
      </c>
      <c r="D8" s="19" t="n">
        <v>902</v>
      </c>
      <c r="E8" s="18" t="n">
        <v>91.24397913999999</v>
      </c>
      <c r="F8" s="20" t="n">
        <v>1.12300638</v>
      </c>
      <c r="G8" s="18" t="n">
        <v>7.4369261</v>
      </c>
      <c r="H8" s="20" t="n">
        <v>0.9222166000000001</v>
      </c>
      <c r="I8" s="18" t="n">
        <v>0</v>
      </c>
      <c r="J8" s="20" t="n">
        <v>0</v>
      </c>
      <c r="K8" s="18" t="n">
        <v>0.22329986</v>
      </c>
      <c r="L8" s="20" t="n">
        <v>0.20363877</v>
      </c>
      <c r="M8" s="18" t="n">
        <v>0</v>
      </c>
      <c r="N8" s="20" t="n">
        <v>0</v>
      </c>
      <c r="O8" s="18" t="n">
        <v>0</v>
      </c>
      <c r="P8" s="20" t="n">
        <v>0</v>
      </c>
      <c r="Q8" s="18" t="n">
        <v>1.09579491</v>
      </c>
      <c r="R8" s="20" t="n">
        <v>0.39453453</v>
      </c>
    </row>
    <row r="9" spans="1:18">
      <c r="A9" s="15" t="s">
        <v>431</v>
      </c>
      <c r="B9" s="17" t="n">
        <v>9651</v>
      </c>
      <c r="C9" s="18">
        <f>(8515.0/B9*100)</f>
        <v/>
      </c>
      <c r="D9" s="19" t="n">
        <v>1136</v>
      </c>
      <c r="E9" s="18" t="n">
        <v>87.5092267</v>
      </c>
      <c r="F9" s="20" t="n">
        <v>1.12907502</v>
      </c>
      <c r="G9" s="18" t="n">
        <v>11.58662946</v>
      </c>
      <c r="H9" s="20" t="n">
        <v>1.07544217</v>
      </c>
      <c r="I9" s="18" t="n">
        <v>0</v>
      </c>
      <c r="J9" s="20" t="n">
        <v>0</v>
      </c>
      <c r="K9" s="18" t="n">
        <v>0.1358113</v>
      </c>
      <c r="L9" s="20" t="n">
        <v>0.09352394</v>
      </c>
      <c r="M9" s="18" t="n">
        <v>0</v>
      </c>
      <c r="N9" s="20" t="n">
        <v>0</v>
      </c>
      <c r="O9" s="18" t="n">
        <v>0</v>
      </c>
      <c r="P9" s="20" t="n">
        <v>0</v>
      </c>
      <c r="Q9" s="18" t="n">
        <v>0.76833253</v>
      </c>
      <c r="R9" s="20" t="n">
        <v>0.33228705</v>
      </c>
    </row>
    <row r="10" spans="1:18">
      <c r="A10" s="15" t="s">
        <v>432</v>
      </c>
      <c r="B10" s="17" t="n">
        <v>20058</v>
      </c>
      <c r="C10" s="18">
        <f>(17590.0/B10*100)</f>
        <v/>
      </c>
      <c r="D10" s="19" t="n">
        <v>2468</v>
      </c>
      <c r="E10" s="18" t="n">
        <v>85.45257384</v>
      </c>
      <c r="F10" s="20" t="n">
        <v>1.12987892</v>
      </c>
      <c r="G10" s="18" t="n">
        <v>13.72537066</v>
      </c>
      <c r="H10" s="20" t="n">
        <v>1.1004419</v>
      </c>
      <c r="I10" s="18" t="n">
        <v>0</v>
      </c>
      <c r="J10" s="20" t="n">
        <v>0</v>
      </c>
      <c r="K10" s="18" t="n">
        <v>0.49432518</v>
      </c>
      <c r="L10" s="20" t="n">
        <v>0.19656216</v>
      </c>
      <c r="M10" s="18" t="n">
        <v>0</v>
      </c>
      <c r="N10" s="20" t="n">
        <v>0</v>
      </c>
      <c r="O10" s="18" t="n">
        <v>0</v>
      </c>
      <c r="P10" s="20" t="n">
        <v>0</v>
      </c>
      <c r="Q10" s="18" t="n">
        <v>0.32773032</v>
      </c>
      <c r="R10" s="20" t="n">
        <v>0.15571348</v>
      </c>
    </row>
    <row r="11" spans="1:18">
      <c r="A11" s="15" t="s">
        <v>433</v>
      </c>
      <c r="B11" s="17" t="n">
        <v>7053</v>
      </c>
      <c r="C11" s="18">
        <f>(6223.0/B11*100)</f>
        <v/>
      </c>
      <c r="D11" s="19" t="n">
        <v>830</v>
      </c>
      <c r="E11" s="18" t="n">
        <v>91.35700214000001</v>
      </c>
      <c r="F11" s="20" t="n">
        <v>1.38733297</v>
      </c>
      <c r="G11" s="18" t="n">
        <v>5.7329215</v>
      </c>
      <c r="H11" s="20" t="n">
        <v>0.99767354</v>
      </c>
      <c r="I11" s="18" t="n">
        <v>0</v>
      </c>
      <c r="J11" s="20" t="n">
        <v>0</v>
      </c>
      <c r="K11" s="18" t="n">
        <v>1.38265554</v>
      </c>
      <c r="L11" s="20" t="n">
        <v>0.5583181</v>
      </c>
      <c r="M11" s="18" t="n">
        <v>0</v>
      </c>
      <c r="N11" s="20" t="n">
        <v>0</v>
      </c>
      <c r="O11" s="18" t="n">
        <v>0</v>
      </c>
      <c r="P11" s="20" t="n">
        <v>0</v>
      </c>
      <c r="Q11" s="18" t="n">
        <v>1.52742082</v>
      </c>
      <c r="R11" s="20" t="n">
        <v>0.71457449</v>
      </c>
    </row>
    <row r="12" spans="1:18">
      <c r="A12" s="15" t="s">
        <v>434</v>
      </c>
      <c r="B12" s="17" t="n">
        <v>6894</v>
      </c>
      <c r="C12" s="18">
        <f>(6071.0/B12*100)</f>
        <v/>
      </c>
      <c r="D12" s="19" t="n">
        <v>823</v>
      </c>
      <c r="E12" s="18" t="n">
        <v>86.92742127</v>
      </c>
      <c r="F12" s="20" t="n">
        <v>1.2090868</v>
      </c>
      <c r="G12" s="18" t="n">
        <v>10.57442423</v>
      </c>
      <c r="H12" s="20" t="n">
        <v>1.15742443</v>
      </c>
      <c r="I12" s="18" t="n">
        <v>0</v>
      </c>
      <c r="J12" s="20" t="n">
        <v>0</v>
      </c>
      <c r="K12" s="18" t="n">
        <v>0.25819113</v>
      </c>
      <c r="L12" s="20" t="n">
        <v>0.18540647</v>
      </c>
      <c r="M12" s="18" t="n">
        <v>0</v>
      </c>
      <c r="N12" s="20" t="n">
        <v>0</v>
      </c>
      <c r="O12" s="18" t="n">
        <v>0</v>
      </c>
      <c r="P12" s="20" t="n">
        <v>0</v>
      </c>
      <c r="Q12" s="18" t="n">
        <v>2.23996337</v>
      </c>
      <c r="R12" s="20" t="n">
        <v>0.5195767999999999</v>
      </c>
    </row>
    <row r="13" spans="1:18">
      <c r="A13" s="15" t="s">
        <v>435</v>
      </c>
      <c r="B13" s="17" t="n">
        <v>7161</v>
      </c>
      <c r="C13" s="18">
        <f>(6326.0/B13*100)</f>
        <v/>
      </c>
      <c r="D13" s="19" t="n">
        <v>835</v>
      </c>
      <c r="E13" s="18" t="n">
        <v>89.47851467</v>
      </c>
      <c r="F13" s="20" t="n">
        <v>1.46080379</v>
      </c>
      <c r="G13" s="18" t="n">
        <v>8.315539920000001</v>
      </c>
      <c r="H13" s="20" t="n">
        <v>1.34173658</v>
      </c>
      <c r="I13" s="18" t="n">
        <v>0</v>
      </c>
      <c r="J13" s="20" t="n">
        <v>0</v>
      </c>
      <c r="K13" s="18" t="n">
        <v>1.55582282</v>
      </c>
      <c r="L13" s="20" t="n">
        <v>0.57304641</v>
      </c>
      <c r="M13" s="18" t="n">
        <v>0</v>
      </c>
      <c r="N13" s="20" t="n">
        <v>0</v>
      </c>
      <c r="O13" s="18" t="n">
        <v>0</v>
      </c>
      <c r="P13" s="20" t="n">
        <v>0</v>
      </c>
      <c r="Q13" s="18" t="n">
        <v>0.65012258</v>
      </c>
      <c r="R13" s="20" t="n">
        <v>0.23518282</v>
      </c>
    </row>
    <row r="14" spans="1:18">
      <c r="A14" s="15" t="s">
        <v>436</v>
      </c>
      <c r="B14" s="17" t="n">
        <v>5587</v>
      </c>
      <c r="C14" s="18">
        <f>(4906.0/B14*100)</f>
        <v/>
      </c>
      <c r="D14" s="19" t="n">
        <v>681</v>
      </c>
      <c r="E14" s="18" t="n">
        <v>88.97796354</v>
      </c>
      <c r="F14" s="20" t="n">
        <v>1.34087223</v>
      </c>
      <c r="G14" s="18" t="n">
        <v>10.77111286</v>
      </c>
      <c r="H14" s="20" t="n">
        <v>1.32717263</v>
      </c>
      <c r="I14" s="18" t="n">
        <v>0</v>
      </c>
      <c r="J14" s="20" t="n">
        <v>0</v>
      </c>
      <c r="K14" s="18" t="n">
        <v>0.11303841</v>
      </c>
      <c r="L14" s="20" t="n">
        <v>0.11261894</v>
      </c>
      <c r="M14" s="18" t="n">
        <v>0</v>
      </c>
      <c r="N14" s="20" t="n">
        <v>0</v>
      </c>
      <c r="O14" s="18" t="n">
        <v>0</v>
      </c>
      <c r="P14" s="20" t="n">
        <v>0</v>
      </c>
      <c r="Q14" s="18" t="n">
        <v>0.1378852</v>
      </c>
      <c r="R14" s="20" t="n">
        <v>0.1374196</v>
      </c>
    </row>
    <row r="15" spans="1:18">
      <c r="A15" s="15" t="s">
        <v>437</v>
      </c>
      <c r="B15" s="17" t="n">
        <v>5882</v>
      </c>
      <c r="C15" s="18">
        <f>(5179.0/B15*100)</f>
        <v/>
      </c>
      <c r="D15" s="19" t="n">
        <v>703</v>
      </c>
      <c r="E15" s="18" t="n">
        <v>85.90848542000001</v>
      </c>
      <c r="F15" s="20" t="n">
        <v>1.24503114</v>
      </c>
      <c r="G15" s="18" t="n">
        <v>12.94918122</v>
      </c>
      <c r="H15" s="20" t="n">
        <v>1.11474557</v>
      </c>
      <c r="I15" s="18" t="n">
        <v>0</v>
      </c>
      <c r="J15" s="20" t="n">
        <v>0</v>
      </c>
      <c r="K15" s="18" t="n">
        <v>0.52319786</v>
      </c>
      <c r="L15" s="20" t="n">
        <v>0.31992732</v>
      </c>
      <c r="M15" s="18" t="n">
        <v>0</v>
      </c>
      <c r="N15" s="20" t="n">
        <v>0</v>
      </c>
      <c r="O15" s="18" t="n">
        <v>0</v>
      </c>
      <c r="P15" s="20" t="n">
        <v>0</v>
      </c>
      <c r="Q15" s="18" t="n">
        <v>0.61913551</v>
      </c>
      <c r="R15" s="20" t="n">
        <v>0.32702048</v>
      </c>
    </row>
    <row r="16" spans="1:18">
      <c r="A16" s="15" t="s">
        <v>438</v>
      </c>
      <c r="B16" s="17" t="n">
        <v>6108</v>
      </c>
      <c r="C16" s="18">
        <f>(5387.0/B16*100)</f>
        <v/>
      </c>
      <c r="D16" s="19" t="n">
        <v>721</v>
      </c>
      <c r="E16" s="18" t="n">
        <v>79.83418954</v>
      </c>
      <c r="F16" s="20" t="n">
        <v>1.56592632</v>
      </c>
      <c r="G16" s="18" t="n">
        <v>16.58565479</v>
      </c>
      <c r="H16" s="20" t="n">
        <v>1.46585246</v>
      </c>
      <c r="I16" s="18" t="n">
        <v>0</v>
      </c>
      <c r="J16" s="20" t="n">
        <v>0</v>
      </c>
      <c r="K16" s="18" t="n">
        <v>1.83786588</v>
      </c>
      <c r="L16" s="20" t="n">
        <v>0.60713186</v>
      </c>
      <c r="M16" s="18" t="n">
        <v>0</v>
      </c>
      <c r="N16" s="20" t="n">
        <v>0</v>
      </c>
      <c r="O16" s="18" t="n">
        <v>0</v>
      </c>
      <c r="P16" s="20" t="n">
        <v>0</v>
      </c>
      <c r="Q16" s="18" t="n">
        <v>1.74228978</v>
      </c>
      <c r="R16" s="20" t="n">
        <v>0.59056656</v>
      </c>
    </row>
    <row r="17" spans="1:18">
      <c r="A17" s="15" t="s">
        <v>439</v>
      </c>
      <c r="B17" s="17" t="n">
        <v>6504</v>
      </c>
      <c r="C17" s="18">
        <f>(5746.0/B17*100)</f>
        <v/>
      </c>
      <c r="D17" s="19" t="n">
        <v>758</v>
      </c>
      <c r="E17" s="18" t="n">
        <v>89.40341166</v>
      </c>
      <c r="F17" s="20" t="n">
        <v>1.14372573</v>
      </c>
      <c r="G17" s="18" t="n">
        <v>8.48750529</v>
      </c>
      <c r="H17" s="20" t="n">
        <v>1.10890621</v>
      </c>
      <c r="I17" s="18" t="n">
        <v>0</v>
      </c>
      <c r="J17" s="20" t="n">
        <v>0</v>
      </c>
      <c r="K17" s="18" t="n">
        <v>0.45289988</v>
      </c>
      <c r="L17" s="20" t="n">
        <v>0.23304579</v>
      </c>
      <c r="M17" s="18" t="n">
        <v>0</v>
      </c>
      <c r="N17" s="20" t="n">
        <v>0</v>
      </c>
      <c r="O17" s="18" t="n">
        <v>0</v>
      </c>
      <c r="P17" s="20" t="n">
        <v>0</v>
      </c>
      <c r="Q17" s="18" t="n">
        <v>1.65618316</v>
      </c>
      <c r="R17" s="20" t="n">
        <v>0.45866096</v>
      </c>
    </row>
    <row r="18" spans="1:18">
      <c r="A18" s="15" t="s">
        <v>440</v>
      </c>
      <c r="B18" s="17" t="n">
        <v>5532</v>
      </c>
      <c r="C18" s="18">
        <f>(4856.0/B18*100)</f>
        <v/>
      </c>
      <c r="D18" s="19" t="n">
        <v>676</v>
      </c>
      <c r="E18" s="18" t="n">
        <v>88.86743924</v>
      </c>
      <c r="F18" s="20" t="n">
        <v>1.20921718</v>
      </c>
      <c r="G18" s="18" t="n">
        <v>8.078126320000001</v>
      </c>
      <c r="H18" s="20" t="n">
        <v>0.96503797</v>
      </c>
      <c r="I18" s="18" t="n">
        <v>0</v>
      </c>
      <c r="J18" s="20" t="n">
        <v>0</v>
      </c>
      <c r="K18" s="18" t="n">
        <v>1.71307742</v>
      </c>
      <c r="L18" s="20" t="n">
        <v>0.66718532</v>
      </c>
      <c r="M18" s="18" t="n">
        <v>0</v>
      </c>
      <c r="N18" s="20" t="n">
        <v>0</v>
      </c>
      <c r="O18" s="18" t="n">
        <v>0</v>
      </c>
      <c r="P18" s="20" t="n">
        <v>0</v>
      </c>
      <c r="Q18" s="18" t="n">
        <v>1.34135702</v>
      </c>
      <c r="R18" s="20" t="n">
        <v>0.54101872</v>
      </c>
    </row>
    <row r="19" spans="1:18">
      <c r="A19" s="15" t="s">
        <v>441</v>
      </c>
      <c r="B19" s="17" t="n">
        <v>5658</v>
      </c>
      <c r="C19" s="18">
        <f>(4959.0/B19*100)</f>
        <v/>
      </c>
      <c r="D19" s="19" t="n">
        <v>699</v>
      </c>
      <c r="E19" s="18" t="n">
        <v>91.58630513</v>
      </c>
      <c r="F19" s="20" t="n">
        <v>0.91980372</v>
      </c>
      <c r="G19" s="18" t="n">
        <v>7.03055171</v>
      </c>
      <c r="H19" s="20" t="n">
        <v>0.83625641</v>
      </c>
      <c r="I19" s="18" t="n">
        <v>0</v>
      </c>
      <c r="J19" s="20" t="n">
        <v>0</v>
      </c>
      <c r="K19" s="18" t="n">
        <v>0.30159383</v>
      </c>
      <c r="L19" s="20" t="n">
        <v>0.32884281</v>
      </c>
      <c r="M19" s="18" t="n">
        <v>0</v>
      </c>
      <c r="N19" s="20" t="n">
        <v>0</v>
      </c>
      <c r="O19" s="18" t="n">
        <v>0</v>
      </c>
      <c r="P19" s="20" t="n">
        <v>0</v>
      </c>
      <c r="Q19" s="18" t="n">
        <v>1.08154933</v>
      </c>
      <c r="R19" s="20" t="n">
        <v>0.39221618</v>
      </c>
    </row>
    <row r="20" spans="1:18">
      <c r="A20" s="15" t="s">
        <v>442</v>
      </c>
      <c r="B20" s="17" t="n">
        <v>3371</v>
      </c>
      <c r="C20" s="18">
        <f>(2972.0/B20*100)</f>
        <v/>
      </c>
      <c r="D20" s="19" t="n">
        <v>399</v>
      </c>
      <c r="E20" s="18" t="n">
        <v>88.93272315999999</v>
      </c>
      <c r="F20" s="20" t="n">
        <v>1.81370434</v>
      </c>
      <c r="G20" s="18" t="n">
        <v>8.86243282</v>
      </c>
      <c r="H20" s="20" t="n">
        <v>1.5734556</v>
      </c>
      <c r="I20" s="18" t="n">
        <v>0</v>
      </c>
      <c r="J20" s="20" t="n">
        <v>0</v>
      </c>
      <c r="K20" s="18" t="n">
        <v>1.4691966</v>
      </c>
      <c r="L20" s="20" t="n">
        <v>0.64260846</v>
      </c>
      <c r="M20" s="18" t="n">
        <v>0</v>
      </c>
      <c r="N20" s="20" t="n">
        <v>0</v>
      </c>
      <c r="O20" s="18" t="n">
        <v>0</v>
      </c>
      <c r="P20" s="20" t="n">
        <v>0</v>
      </c>
      <c r="Q20" s="18" t="n">
        <v>0.7356474200000001</v>
      </c>
      <c r="R20" s="20" t="n">
        <v>0.41966201</v>
      </c>
    </row>
    <row r="21" spans="1:18">
      <c r="A21" s="15" t="s">
        <v>443</v>
      </c>
      <c r="B21" s="17" t="n">
        <v>5741</v>
      </c>
      <c r="C21" s="18">
        <f>(4790.0/B21*100)</f>
        <v/>
      </c>
      <c r="D21" s="19" t="n">
        <v>951</v>
      </c>
      <c r="E21" s="18" t="n">
        <v>85.69149489</v>
      </c>
      <c r="F21" s="20" t="n">
        <v>1.19920948</v>
      </c>
      <c r="G21" s="18" t="n">
        <v>13.94638473</v>
      </c>
      <c r="H21" s="20" t="n">
        <v>1.12818223</v>
      </c>
      <c r="I21" s="18" t="n">
        <v>0</v>
      </c>
      <c r="J21" s="20" t="n">
        <v>0</v>
      </c>
      <c r="K21" s="18" t="n">
        <v>0</v>
      </c>
      <c r="L21" s="20" t="n">
        <v>0</v>
      </c>
      <c r="M21" s="18" t="n">
        <v>0</v>
      </c>
      <c r="N21" s="20" t="n">
        <v>0</v>
      </c>
      <c r="O21" s="18" t="n">
        <v>0</v>
      </c>
      <c r="P21" s="20" t="n">
        <v>0</v>
      </c>
      <c r="Q21" s="18" t="n">
        <v>0.36212038</v>
      </c>
      <c r="R21" s="20" t="n">
        <v>0.23228303</v>
      </c>
    </row>
    <row r="22" spans="1:18">
      <c r="A22" s="15" t="s">
        <v>444</v>
      </c>
      <c r="B22" s="17" t="n">
        <v>6598</v>
      </c>
      <c r="C22" s="18">
        <f>(5868.0/B22*100)</f>
        <v/>
      </c>
      <c r="D22" s="19" t="n">
        <v>730</v>
      </c>
      <c r="E22" s="18" t="n">
        <v>85.44979508</v>
      </c>
      <c r="F22" s="20" t="n">
        <v>1.41719118</v>
      </c>
      <c r="G22" s="18" t="n">
        <v>11.53986177</v>
      </c>
      <c r="H22" s="20" t="n">
        <v>1.27265882</v>
      </c>
      <c r="I22" s="18" t="n">
        <v>0</v>
      </c>
      <c r="J22" s="20" t="n">
        <v>0</v>
      </c>
      <c r="K22" s="18" t="n">
        <v>1.91459724</v>
      </c>
      <c r="L22" s="20" t="n">
        <v>0.53131407</v>
      </c>
      <c r="M22" s="18" t="n">
        <v>0</v>
      </c>
      <c r="N22" s="20" t="n">
        <v>0</v>
      </c>
      <c r="O22" s="18" t="n">
        <v>0</v>
      </c>
      <c r="P22" s="20" t="n">
        <v>0</v>
      </c>
      <c r="Q22" s="18" t="n">
        <v>1.09574591</v>
      </c>
      <c r="R22" s="20" t="n">
        <v>0.39407036</v>
      </c>
    </row>
    <row r="23" spans="1:18">
      <c r="A23" s="15" t="s">
        <v>445</v>
      </c>
      <c r="B23" s="17" t="n">
        <v>11583</v>
      </c>
      <c r="C23" s="18">
        <f>(10144.0/B23*100)</f>
        <v/>
      </c>
      <c r="D23" s="19" t="n">
        <v>1439</v>
      </c>
      <c r="E23" s="18" t="n">
        <v>85.18373252000001</v>
      </c>
      <c r="F23" s="20" t="n">
        <v>1.36968049</v>
      </c>
      <c r="G23" s="18" t="n">
        <v>11.3630663</v>
      </c>
      <c r="H23" s="20" t="n">
        <v>1.11047542</v>
      </c>
      <c r="I23" s="18" t="n">
        <v>0</v>
      </c>
      <c r="J23" s="20" t="n">
        <v>0</v>
      </c>
      <c r="K23" s="18" t="n">
        <v>1.01706167</v>
      </c>
      <c r="L23" s="20" t="n">
        <v>0.3776949</v>
      </c>
      <c r="M23" s="18" t="n">
        <v>0</v>
      </c>
      <c r="N23" s="20" t="n">
        <v>0</v>
      </c>
      <c r="O23" s="18" t="n">
        <v>0</v>
      </c>
      <c r="P23" s="20" t="n">
        <v>0</v>
      </c>
      <c r="Q23" s="18" t="n">
        <v>2.43613951</v>
      </c>
      <c r="R23" s="20" t="n">
        <v>0.71716928</v>
      </c>
    </row>
    <row r="24" spans="1:18">
      <c r="A24" s="15" t="s">
        <v>446</v>
      </c>
      <c r="B24" s="17" t="n">
        <v>6647</v>
      </c>
      <c r="C24" s="18">
        <f>(5901.0/B24*100)</f>
        <v/>
      </c>
      <c r="D24" s="19" t="n">
        <v>746</v>
      </c>
      <c r="E24" s="18" t="n">
        <v>82.62198164</v>
      </c>
      <c r="F24" s="20" t="n">
        <v>1.39922373</v>
      </c>
      <c r="G24" s="18" t="n">
        <v>16.119373</v>
      </c>
      <c r="H24" s="20" t="n">
        <v>1.32157438</v>
      </c>
      <c r="I24" s="18" t="n">
        <v>0</v>
      </c>
      <c r="J24" s="20" t="n">
        <v>0</v>
      </c>
      <c r="K24" s="18" t="n">
        <v>0.67087938</v>
      </c>
      <c r="L24" s="20" t="n">
        <v>0.30274186</v>
      </c>
      <c r="M24" s="18" t="n">
        <v>0</v>
      </c>
      <c r="N24" s="20" t="n">
        <v>0</v>
      </c>
      <c r="O24" s="18" t="n">
        <v>0</v>
      </c>
      <c r="P24" s="20" t="n">
        <v>0</v>
      </c>
      <c r="Q24" s="18" t="n">
        <v>0.58776599</v>
      </c>
      <c r="R24" s="20" t="n">
        <v>0.28097789</v>
      </c>
    </row>
    <row r="25" spans="1:18">
      <c r="A25" s="15" t="s">
        <v>447</v>
      </c>
      <c r="B25" s="17" t="n">
        <v>5581</v>
      </c>
      <c r="C25" s="18">
        <f>(4891.0/B25*100)</f>
        <v/>
      </c>
      <c r="D25" s="19" t="n">
        <v>690</v>
      </c>
      <c r="E25" s="18" t="n">
        <v>93.42015003</v>
      </c>
      <c r="F25" s="20" t="n">
        <v>1.03769277</v>
      </c>
      <c r="G25" s="18" t="n">
        <v>5.33087223</v>
      </c>
      <c r="H25" s="20" t="n">
        <v>0.95553909</v>
      </c>
      <c r="I25" s="18" t="n">
        <v>0</v>
      </c>
      <c r="J25" s="20" t="n">
        <v>0</v>
      </c>
      <c r="K25" s="18" t="n">
        <v>0.69150238</v>
      </c>
      <c r="L25" s="20" t="n">
        <v>0.3177594</v>
      </c>
      <c r="M25" s="18" t="n">
        <v>0</v>
      </c>
      <c r="N25" s="20" t="n">
        <v>0</v>
      </c>
      <c r="O25" s="18" t="n">
        <v>0</v>
      </c>
      <c r="P25" s="20" t="n">
        <v>0</v>
      </c>
      <c r="Q25" s="18" t="n">
        <v>0.55747536</v>
      </c>
      <c r="R25" s="20" t="n">
        <v>0.28820482</v>
      </c>
    </row>
    <row r="26" spans="1:18">
      <c r="A26" s="15" t="s">
        <v>448</v>
      </c>
      <c r="B26" s="17" t="n">
        <v>4869</v>
      </c>
      <c r="C26" s="18">
        <f>(4273.0/B26*100)</f>
        <v/>
      </c>
      <c r="D26" s="19" t="n">
        <v>596</v>
      </c>
      <c r="E26" s="18" t="n">
        <v>93.21311527</v>
      </c>
      <c r="F26" s="20" t="n">
        <v>1.1613892</v>
      </c>
      <c r="G26" s="18" t="n">
        <v>6.1073004</v>
      </c>
      <c r="H26" s="20" t="n">
        <v>1.16186344</v>
      </c>
      <c r="I26" s="18" t="n">
        <v>0</v>
      </c>
      <c r="J26" s="20" t="n">
        <v>0</v>
      </c>
      <c r="K26" s="18" t="n">
        <v>0.15653632</v>
      </c>
      <c r="L26" s="20" t="n">
        <v>0.15485191</v>
      </c>
      <c r="M26" s="18" t="n">
        <v>0</v>
      </c>
      <c r="N26" s="20" t="n">
        <v>0</v>
      </c>
      <c r="O26" s="18" t="n">
        <v>0</v>
      </c>
      <c r="P26" s="20" t="n">
        <v>0</v>
      </c>
      <c r="Q26" s="18" t="n">
        <v>0.52304801</v>
      </c>
      <c r="R26" s="20" t="n">
        <v>0.26528317</v>
      </c>
    </row>
    <row r="27" spans="1:18">
      <c r="A27" s="15" t="s">
        <v>449</v>
      </c>
      <c r="B27" s="17" t="n">
        <v>5299</v>
      </c>
      <c r="C27" s="18">
        <f>(4651.0/B27*100)</f>
        <v/>
      </c>
      <c r="D27" s="19" t="n">
        <v>648</v>
      </c>
      <c r="E27" s="18" t="n">
        <v>87.18636988999999</v>
      </c>
      <c r="F27" s="20" t="n">
        <v>1.38014536</v>
      </c>
      <c r="G27" s="18" t="n">
        <v>10.30258493</v>
      </c>
      <c r="H27" s="20" t="n">
        <v>1.28723843</v>
      </c>
      <c r="I27" s="18" t="n">
        <v>0</v>
      </c>
      <c r="J27" s="20" t="n">
        <v>0</v>
      </c>
      <c r="K27" s="18" t="n">
        <v>1.10768877</v>
      </c>
      <c r="L27" s="20" t="n">
        <v>0.40499451</v>
      </c>
      <c r="M27" s="18" t="n">
        <v>0</v>
      </c>
      <c r="N27" s="20" t="n">
        <v>0</v>
      </c>
      <c r="O27" s="18" t="n">
        <v>0</v>
      </c>
      <c r="P27" s="20" t="n">
        <v>0</v>
      </c>
      <c r="Q27" s="18" t="n">
        <v>1.40335642</v>
      </c>
      <c r="R27" s="20" t="n">
        <v>0.40368309</v>
      </c>
    </row>
    <row r="28" spans="1:18">
      <c r="A28" s="15" t="s">
        <v>450</v>
      </c>
      <c r="B28" s="17" t="n">
        <v>7568</v>
      </c>
      <c r="C28" s="18">
        <f>(6716.0/B28*100)</f>
        <v/>
      </c>
      <c r="D28" s="19" t="n">
        <v>852</v>
      </c>
      <c r="E28" s="18" t="n">
        <v>95.68931037999999</v>
      </c>
      <c r="F28" s="20" t="n">
        <v>0.88175789</v>
      </c>
      <c r="G28" s="18" t="n">
        <v>2.44039466</v>
      </c>
      <c r="H28" s="20" t="n">
        <v>0.72208703</v>
      </c>
      <c r="I28" s="18" t="n">
        <v>0</v>
      </c>
      <c r="J28" s="20" t="n">
        <v>0</v>
      </c>
      <c r="K28" s="18" t="n">
        <v>0.7945371</v>
      </c>
      <c r="L28" s="20" t="n">
        <v>0.34118238</v>
      </c>
      <c r="M28" s="18" t="n">
        <v>0</v>
      </c>
      <c r="N28" s="20" t="n">
        <v>0</v>
      </c>
      <c r="O28" s="18" t="n">
        <v>0</v>
      </c>
      <c r="P28" s="20" t="n">
        <v>0</v>
      </c>
      <c r="Q28" s="18" t="n">
        <v>1.07575786</v>
      </c>
      <c r="R28" s="20" t="n">
        <v>0.53031926</v>
      </c>
    </row>
    <row r="29" spans="1:18">
      <c r="A29" s="15" t="s">
        <v>451</v>
      </c>
      <c r="B29" s="17" t="n">
        <v>5385</v>
      </c>
      <c r="C29" s="18">
        <f>(4748.0/B29*100)</f>
        <v/>
      </c>
      <c r="D29" s="19" t="n">
        <v>637</v>
      </c>
      <c r="E29" s="18" t="n">
        <v>90.69876504</v>
      </c>
      <c r="F29" s="20" t="n">
        <v>1.09688663</v>
      </c>
      <c r="G29" s="18" t="n">
        <v>8.769785799999999</v>
      </c>
      <c r="H29" s="20" t="n">
        <v>1.06228588</v>
      </c>
      <c r="I29" s="18" t="n">
        <v>0</v>
      </c>
      <c r="J29" s="20" t="n">
        <v>0</v>
      </c>
      <c r="K29" s="18" t="n">
        <v>0.2010417</v>
      </c>
      <c r="L29" s="20" t="n">
        <v>0.198841</v>
      </c>
      <c r="M29" s="18" t="n">
        <v>0</v>
      </c>
      <c r="N29" s="20" t="n">
        <v>0</v>
      </c>
      <c r="O29" s="18" t="n">
        <v>0</v>
      </c>
      <c r="P29" s="20" t="n">
        <v>0</v>
      </c>
      <c r="Q29" s="18" t="n">
        <v>0.33040745</v>
      </c>
      <c r="R29" s="20" t="n">
        <v>0.23268416</v>
      </c>
    </row>
    <row r="30" spans="1:18">
      <c r="A30" s="15" t="s">
        <v>452</v>
      </c>
      <c r="B30" s="17" t="n">
        <v>4520</v>
      </c>
      <c r="C30" s="18">
        <f>(4008.0/B30*100)</f>
        <v/>
      </c>
      <c r="D30" s="19" t="n">
        <v>512</v>
      </c>
      <c r="E30" s="18" t="n">
        <v>82.27165916</v>
      </c>
      <c r="F30" s="20" t="n">
        <v>1.843819</v>
      </c>
      <c r="G30" s="18" t="n">
        <v>15.88575472</v>
      </c>
      <c r="H30" s="20" t="n">
        <v>1.79994582</v>
      </c>
      <c r="I30" s="18" t="n">
        <v>0</v>
      </c>
      <c r="J30" s="20" t="n">
        <v>0</v>
      </c>
      <c r="K30" s="18" t="n">
        <v>0.35631543</v>
      </c>
      <c r="L30" s="20" t="n">
        <v>0.25524646</v>
      </c>
      <c r="M30" s="18" t="n">
        <v>0</v>
      </c>
      <c r="N30" s="20" t="n">
        <v>0</v>
      </c>
      <c r="O30" s="18" t="n">
        <v>0</v>
      </c>
      <c r="P30" s="20" t="n">
        <v>0</v>
      </c>
      <c r="Q30" s="18" t="n">
        <v>1.48627069</v>
      </c>
      <c r="R30" s="20" t="n">
        <v>0.5361644</v>
      </c>
    </row>
    <row r="31" spans="1:18">
      <c r="A31" s="15" t="s">
        <v>453</v>
      </c>
      <c r="B31" s="17" t="n">
        <v>5456</v>
      </c>
      <c r="C31" s="18">
        <f>(4803.0/B31*100)</f>
        <v/>
      </c>
      <c r="D31" s="19" t="n">
        <v>653</v>
      </c>
      <c r="E31" s="18" t="n">
        <v>83.85809934</v>
      </c>
      <c r="F31" s="20" t="n">
        <v>1.42849787</v>
      </c>
      <c r="G31" s="18" t="n">
        <v>13.6947488</v>
      </c>
      <c r="H31" s="20" t="n">
        <v>1.37170816</v>
      </c>
      <c r="I31" s="18" t="n">
        <v>0</v>
      </c>
      <c r="J31" s="20" t="n">
        <v>0</v>
      </c>
      <c r="K31" s="18" t="n">
        <v>1.55238449</v>
      </c>
      <c r="L31" s="20" t="n">
        <v>0.54535628</v>
      </c>
      <c r="M31" s="18" t="n">
        <v>0</v>
      </c>
      <c r="N31" s="20" t="n">
        <v>0</v>
      </c>
      <c r="O31" s="18" t="n">
        <v>0</v>
      </c>
      <c r="P31" s="20" t="n">
        <v>0</v>
      </c>
      <c r="Q31" s="18" t="n">
        <v>0.89476736</v>
      </c>
      <c r="R31" s="20" t="n">
        <v>0.35932586</v>
      </c>
    </row>
    <row r="32" spans="1:18">
      <c r="A32" s="15" t="s">
        <v>454</v>
      </c>
      <c r="B32" s="17" t="n">
        <v>4478</v>
      </c>
      <c r="C32" s="18">
        <f>(3737.0/B32*100)</f>
        <v/>
      </c>
      <c r="D32" s="19" t="n">
        <v>741</v>
      </c>
      <c r="E32" s="18" t="n">
        <v>94.03699861</v>
      </c>
      <c r="F32" s="20" t="n">
        <v>0.9875796100000001</v>
      </c>
      <c r="G32" s="18" t="n">
        <v>5.48372114</v>
      </c>
      <c r="H32" s="20" t="n">
        <v>0.97588439</v>
      </c>
      <c r="I32" s="18" t="n">
        <v>0</v>
      </c>
      <c r="J32" s="20" t="n">
        <v>0</v>
      </c>
      <c r="K32" s="18" t="n">
        <v>0.1302786</v>
      </c>
      <c r="L32" s="20" t="n">
        <v>0.12263181</v>
      </c>
      <c r="M32" s="18" t="n">
        <v>0</v>
      </c>
      <c r="N32" s="20" t="n">
        <v>0</v>
      </c>
      <c r="O32" s="18" t="n">
        <v>0</v>
      </c>
      <c r="P32" s="20" t="n">
        <v>0</v>
      </c>
      <c r="Q32" s="18" t="n">
        <v>0.34900166</v>
      </c>
      <c r="R32" s="20" t="n">
        <v>0.26054875</v>
      </c>
    </row>
    <row r="33" spans="1:18">
      <c r="A33" s="15" t="s">
        <v>455</v>
      </c>
      <c r="B33" s="17" t="n">
        <v>7325</v>
      </c>
      <c r="C33" s="18">
        <f>(6465.0/B33*100)</f>
        <v/>
      </c>
      <c r="D33" s="19" t="n">
        <v>860</v>
      </c>
      <c r="E33" s="18" t="n">
        <v>88.89237996</v>
      </c>
      <c r="F33" s="20" t="n">
        <v>1.17209108</v>
      </c>
      <c r="G33" s="18" t="n">
        <v>10.01991085</v>
      </c>
      <c r="H33" s="20" t="n">
        <v>1.09721007</v>
      </c>
      <c r="I33" s="18" t="n">
        <v>0</v>
      </c>
      <c r="J33" s="20" t="n">
        <v>0</v>
      </c>
      <c r="K33" s="18" t="n">
        <v>0.48870018</v>
      </c>
      <c r="L33" s="20" t="n">
        <v>0.23363417</v>
      </c>
      <c r="M33" s="18" t="n">
        <v>0</v>
      </c>
      <c r="N33" s="20" t="n">
        <v>0</v>
      </c>
      <c r="O33" s="18" t="n">
        <v>0</v>
      </c>
      <c r="P33" s="20" t="n">
        <v>0</v>
      </c>
      <c r="Q33" s="18" t="n">
        <v>0.59900901</v>
      </c>
      <c r="R33" s="20" t="n">
        <v>0.29035995</v>
      </c>
    </row>
    <row r="34" spans="1:18">
      <c r="A34" s="15" t="s">
        <v>456</v>
      </c>
      <c r="B34" s="17" t="n">
        <v>6350</v>
      </c>
      <c r="C34" s="18">
        <f>(5611.0/B34*100)</f>
        <v/>
      </c>
      <c r="D34" s="19" t="n">
        <v>739</v>
      </c>
      <c r="E34" s="18" t="n">
        <v>92.25956705</v>
      </c>
      <c r="F34" s="20" t="n">
        <v>0.98687402</v>
      </c>
      <c r="G34" s="18" t="n">
        <v>6.26904927</v>
      </c>
      <c r="H34" s="20" t="n">
        <v>0.8470672</v>
      </c>
      <c r="I34" s="18" t="n">
        <v>0</v>
      </c>
      <c r="J34" s="20" t="n">
        <v>0</v>
      </c>
      <c r="K34" s="18" t="n">
        <v>0.38452177</v>
      </c>
      <c r="L34" s="20" t="n">
        <v>0.30122673</v>
      </c>
      <c r="M34" s="18" t="n">
        <v>0</v>
      </c>
      <c r="N34" s="20" t="n">
        <v>0</v>
      </c>
      <c r="O34" s="18" t="n">
        <v>0</v>
      </c>
      <c r="P34" s="20" t="n">
        <v>0</v>
      </c>
      <c r="Q34" s="18" t="n">
        <v>1.08686191</v>
      </c>
      <c r="R34" s="20" t="n">
        <v>0.4415565</v>
      </c>
    </row>
    <row r="35" spans="1:18">
      <c r="A35" s="15" t="s">
        <v>457</v>
      </c>
      <c r="B35" s="17" t="n">
        <v>6406</v>
      </c>
      <c r="C35" s="18">
        <f>(5647.0/B35*100)</f>
        <v/>
      </c>
      <c r="D35" s="19" t="n">
        <v>759</v>
      </c>
      <c r="E35" s="18" t="n">
        <v>89.50462177</v>
      </c>
      <c r="F35" s="20" t="n">
        <v>1.71657876</v>
      </c>
      <c r="G35" s="18" t="n">
        <v>9.92380511</v>
      </c>
      <c r="H35" s="20" t="n">
        <v>1.72864676</v>
      </c>
      <c r="I35" s="18" t="n">
        <v>0</v>
      </c>
      <c r="J35" s="20" t="n">
        <v>0</v>
      </c>
      <c r="K35" s="18" t="n">
        <v>0.29879002</v>
      </c>
      <c r="L35" s="20" t="n">
        <v>0.15134493</v>
      </c>
      <c r="M35" s="18" t="n">
        <v>0</v>
      </c>
      <c r="N35" s="20" t="n">
        <v>0</v>
      </c>
      <c r="O35" s="18" t="n">
        <v>0</v>
      </c>
      <c r="P35" s="20" t="n">
        <v>0</v>
      </c>
      <c r="Q35" s="18" t="n">
        <v>0.2727831</v>
      </c>
      <c r="R35" s="20" t="n">
        <v>0.13743928</v>
      </c>
    </row>
    <row r="36" spans="1:18">
      <c r="A36" s="15" t="s">
        <v>458</v>
      </c>
      <c r="B36" s="17" t="n">
        <v>6736</v>
      </c>
      <c r="C36" s="18">
        <f>(5931.0/B36*100)</f>
        <v/>
      </c>
      <c r="D36" s="19" t="n">
        <v>805</v>
      </c>
      <c r="E36" s="18" t="n">
        <v>86.91426306</v>
      </c>
      <c r="F36" s="20" t="n">
        <v>1.13608723</v>
      </c>
      <c r="G36" s="18" t="n">
        <v>10.71795132</v>
      </c>
      <c r="H36" s="20" t="n">
        <v>1.05083261</v>
      </c>
      <c r="I36" s="18" t="n">
        <v>0</v>
      </c>
      <c r="J36" s="20" t="n">
        <v>0</v>
      </c>
      <c r="K36" s="18" t="n">
        <v>0.86367503</v>
      </c>
      <c r="L36" s="20" t="n">
        <v>0.29988533</v>
      </c>
      <c r="M36" s="18" t="n">
        <v>0</v>
      </c>
      <c r="N36" s="20" t="n">
        <v>0</v>
      </c>
      <c r="O36" s="18" t="n">
        <v>0</v>
      </c>
      <c r="P36" s="20" t="n">
        <v>0</v>
      </c>
      <c r="Q36" s="18" t="n">
        <v>1.50411058</v>
      </c>
      <c r="R36" s="20" t="n">
        <v>0.42261291</v>
      </c>
    </row>
    <row r="37" spans="1:18">
      <c r="A37" s="15" t="s">
        <v>459</v>
      </c>
      <c r="B37" s="17" t="n">
        <v>5458</v>
      </c>
      <c r="C37" s="18">
        <f>(4789.0/B37*100)</f>
        <v/>
      </c>
      <c r="D37" s="19" t="n">
        <v>669</v>
      </c>
      <c r="E37" s="18" t="n">
        <v>86.12605042</v>
      </c>
      <c r="F37" s="20" t="n">
        <v>1.54234693</v>
      </c>
      <c r="G37" s="18" t="n">
        <v>9.652549459999999</v>
      </c>
      <c r="H37" s="20" t="n">
        <v>1.26944215</v>
      </c>
      <c r="I37" s="18" t="n">
        <v>0</v>
      </c>
      <c r="J37" s="20" t="n">
        <v>0</v>
      </c>
      <c r="K37" s="18" t="n">
        <v>2.29732817</v>
      </c>
      <c r="L37" s="20" t="n">
        <v>0.52395498</v>
      </c>
      <c r="M37" s="18" t="n">
        <v>0</v>
      </c>
      <c r="N37" s="20" t="n">
        <v>0</v>
      </c>
      <c r="O37" s="18" t="n">
        <v>0</v>
      </c>
      <c r="P37" s="20" t="n">
        <v>0</v>
      </c>
      <c r="Q37" s="18" t="n">
        <v>1.92407195</v>
      </c>
      <c r="R37" s="20" t="n">
        <v>0.53269982</v>
      </c>
    </row>
    <row r="38" spans="1:18">
      <c r="A38" s="15" t="s">
        <v>460</v>
      </c>
      <c r="B38" s="17" t="n">
        <v>5860</v>
      </c>
      <c r="C38" s="18">
        <f>(4878.0/B38*100)</f>
        <v/>
      </c>
      <c r="D38" s="19" t="n">
        <v>982</v>
      </c>
      <c r="E38" s="18" t="n">
        <v>85.18009957</v>
      </c>
      <c r="F38" s="20" t="n">
        <v>1.29964781</v>
      </c>
      <c r="G38" s="18" t="n">
        <v>11.6277644</v>
      </c>
      <c r="H38" s="20" t="n">
        <v>1.1954162</v>
      </c>
      <c r="I38" s="18" t="n">
        <v>0</v>
      </c>
      <c r="J38" s="20" t="n">
        <v>0</v>
      </c>
      <c r="K38" s="18" t="n">
        <v>1.45021955</v>
      </c>
      <c r="L38" s="20" t="n">
        <v>0.49188252</v>
      </c>
      <c r="M38" s="18" t="n">
        <v>0</v>
      </c>
      <c r="N38" s="20" t="n">
        <v>0</v>
      </c>
      <c r="O38" s="18" t="n">
        <v>0</v>
      </c>
      <c r="P38" s="20" t="n">
        <v>0</v>
      </c>
      <c r="Q38" s="18" t="n">
        <v>1.74191648</v>
      </c>
      <c r="R38" s="20" t="n">
        <v>0.61292413</v>
      </c>
    </row>
    <row r="39" spans="1:18">
      <c r="A39" s="15" t="s">
        <v>461</v>
      </c>
      <c r="B39" s="17" t="n">
        <v>5895</v>
      </c>
      <c r="C39" s="18">
        <f>(5175.0/B39*100)</f>
        <v/>
      </c>
      <c r="D39" s="19" t="n">
        <v>720</v>
      </c>
      <c r="E39" s="18" t="n">
        <v>96.74083903</v>
      </c>
      <c r="F39" s="20" t="n">
        <v>0.78299737</v>
      </c>
      <c r="G39" s="18" t="n">
        <v>1.49421241</v>
      </c>
      <c r="H39" s="20" t="n">
        <v>0.53941722</v>
      </c>
      <c r="I39" s="18" t="n">
        <v>0</v>
      </c>
      <c r="J39" s="20" t="n">
        <v>0</v>
      </c>
      <c r="K39" s="18" t="n">
        <v>0.48954535</v>
      </c>
      <c r="L39" s="20" t="n">
        <v>0.27327804</v>
      </c>
      <c r="M39" s="18" t="n">
        <v>0</v>
      </c>
      <c r="N39" s="20" t="n">
        <v>0</v>
      </c>
      <c r="O39" s="18" t="n">
        <v>0</v>
      </c>
      <c r="P39" s="20" t="n">
        <v>0</v>
      </c>
      <c r="Q39" s="18" t="n">
        <v>1.27540321</v>
      </c>
      <c r="R39" s="20" t="n">
        <v>0.60472789</v>
      </c>
    </row>
    <row r="40" spans="1:18">
      <c r="A40" s="15" t="s">
        <v>462</v>
      </c>
      <c r="B40" s="17" t="n">
        <v>14157</v>
      </c>
      <c r="C40" s="18">
        <f>(12445.0/B40*100)</f>
        <v/>
      </c>
      <c r="D40" s="19" t="n">
        <v>1712</v>
      </c>
      <c r="E40" s="18" t="n">
        <v>86.14096157</v>
      </c>
      <c r="F40" s="20" t="n">
        <v>0.98608439</v>
      </c>
      <c r="G40" s="18" t="n">
        <v>13.04450499</v>
      </c>
      <c r="H40" s="20" t="n">
        <v>1.03085557</v>
      </c>
      <c r="I40" s="18" t="n">
        <v>0</v>
      </c>
      <c r="J40" s="20" t="n">
        <v>0</v>
      </c>
      <c r="K40" s="18" t="n">
        <v>0.55619163</v>
      </c>
      <c r="L40" s="20" t="n">
        <v>0.26578232</v>
      </c>
      <c r="M40" s="18" t="n">
        <v>0</v>
      </c>
      <c r="N40" s="20" t="n">
        <v>0</v>
      </c>
      <c r="O40" s="18" t="n">
        <v>0</v>
      </c>
      <c r="P40" s="20" t="n">
        <v>0</v>
      </c>
      <c r="Q40" s="18" t="n">
        <v>0.25834181</v>
      </c>
      <c r="R40" s="20" t="n">
        <v>0.18303926</v>
      </c>
    </row>
    <row r="41" spans="1:18">
      <c r="A41" s="15" t="s">
        <v>463</v>
      </c>
      <c r="B41" s="17" t="n">
        <v>5712</v>
      </c>
      <c r="C41" s="18">
        <f>(5017.0/B41*100)</f>
        <v/>
      </c>
      <c r="D41" s="19" t="n">
        <v>695</v>
      </c>
      <c r="E41" s="18" t="n">
        <v>89.38362053</v>
      </c>
      <c r="F41" s="20" t="n">
        <v>1.22939566</v>
      </c>
      <c r="G41" s="18" t="n">
        <v>9.54928267</v>
      </c>
      <c r="H41" s="20" t="n">
        <v>1.07281737</v>
      </c>
      <c r="I41" s="18" t="n">
        <v>0</v>
      </c>
      <c r="J41" s="20" t="n">
        <v>0</v>
      </c>
      <c r="K41" s="18" t="n">
        <v>0.59002902</v>
      </c>
      <c r="L41" s="20" t="n">
        <v>0.34040557</v>
      </c>
      <c r="M41" s="18" t="n">
        <v>0</v>
      </c>
      <c r="N41" s="20" t="n">
        <v>0</v>
      </c>
      <c r="O41" s="18" t="n">
        <v>0</v>
      </c>
      <c r="P41" s="20" t="n">
        <v>0</v>
      </c>
      <c r="Q41" s="18" t="n">
        <v>0.47706778</v>
      </c>
      <c r="R41" s="20" t="n">
        <v>0.22312209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(20906.0/B46*100)</f>
        <v/>
      </c>
      <c r="D46" s="19" t="n">
        <v>2235</v>
      </c>
      <c r="E46" s="18" t="n">
        <v>92.12956207000001</v>
      </c>
      <c r="F46" s="20" t="n">
        <v>0.71711034</v>
      </c>
      <c r="G46" s="18" t="n">
        <v>2.41275081</v>
      </c>
      <c r="H46" s="20" t="n">
        <v>0.43604942</v>
      </c>
      <c r="I46" s="18" t="n">
        <v>0</v>
      </c>
      <c r="J46" s="20" t="n">
        <v>0</v>
      </c>
      <c r="K46" s="18" t="n">
        <v>2.1382002</v>
      </c>
      <c r="L46" s="20" t="n">
        <v>0.38861027</v>
      </c>
      <c r="M46" s="18" t="n">
        <v>0</v>
      </c>
      <c r="N46" s="20" t="n">
        <v>0</v>
      </c>
      <c r="O46" s="18" t="n">
        <v>0</v>
      </c>
      <c r="P46" s="20" t="n">
        <v>0</v>
      </c>
      <c r="Q46" s="18" t="n">
        <v>3.31948692</v>
      </c>
      <c r="R46" s="20" t="n">
        <v>0.55046849</v>
      </c>
    </row>
    <row r="47" spans="1:18">
      <c r="A47" s="15" t="s">
        <v>470</v>
      </c>
      <c r="B47" s="17" t="n">
        <v>5928</v>
      </c>
      <c r="C47" s="18">
        <f>(5209.0/B47*100)</f>
        <v/>
      </c>
      <c r="D47" s="19" t="n">
        <v>719</v>
      </c>
      <c r="E47" s="18" t="n">
        <v>88.14095184999999</v>
      </c>
      <c r="F47" s="20" t="n">
        <v>1.19882157</v>
      </c>
      <c r="G47" s="18" t="n">
        <v>8.369230630000001</v>
      </c>
      <c r="H47" s="20" t="n">
        <v>0.95249456</v>
      </c>
      <c r="I47" s="18" t="n">
        <v>0</v>
      </c>
      <c r="J47" s="20" t="n">
        <v>0</v>
      </c>
      <c r="K47" s="18" t="n">
        <v>1.10750987</v>
      </c>
      <c r="L47" s="20" t="n">
        <v>0.37775419</v>
      </c>
      <c r="M47" s="18" t="n">
        <v>0</v>
      </c>
      <c r="N47" s="20" t="n">
        <v>0</v>
      </c>
      <c r="O47" s="18" t="n">
        <v>0</v>
      </c>
      <c r="P47" s="20" t="n">
        <v>0</v>
      </c>
      <c r="Q47" s="18" t="n">
        <v>2.38230765</v>
      </c>
      <c r="R47" s="20" t="n">
        <v>0.6290918</v>
      </c>
    </row>
    <row r="48" spans="1:18">
      <c r="A48" s="15" t="s">
        <v>471</v>
      </c>
      <c r="B48" s="17" t="n">
        <v>9841</v>
      </c>
      <c r="C48" s="18">
        <f>(8655.0/B48*100)</f>
        <v/>
      </c>
      <c r="D48" s="19" t="n">
        <v>1186</v>
      </c>
      <c r="E48" s="18" t="n">
        <v>93.42300487</v>
      </c>
      <c r="F48" s="20" t="n">
        <v>0.8864086</v>
      </c>
      <c r="G48" s="18" t="n">
        <v>5.0072798</v>
      </c>
      <c r="H48" s="20" t="n">
        <v>0.70731312</v>
      </c>
      <c r="I48" s="18" t="n">
        <v>0</v>
      </c>
      <c r="J48" s="20" t="n">
        <v>0</v>
      </c>
      <c r="K48" s="18" t="n">
        <v>1.41191241</v>
      </c>
      <c r="L48" s="20" t="n">
        <v>0.51133354</v>
      </c>
      <c r="M48" s="18" t="n">
        <v>0</v>
      </c>
      <c r="N48" s="20" t="n">
        <v>0</v>
      </c>
      <c r="O48" s="18" t="n">
        <v>0</v>
      </c>
      <c r="P48" s="20" t="n">
        <v>0</v>
      </c>
      <c r="Q48" s="18" t="n">
        <v>0.15780291</v>
      </c>
      <c r="R48" s="20" t="n">
        <v>0.12808897</v>
      </c>
    </row>
    <row r="49" spans="1:18">
      <c r="A49" s="15" t="s">
        <v>472</v>
      </c>
      <c r="B49" s="17" t="n">
        <v>11795</v>
      </c>
      <c r="C49" s="18">
        <f>(10393.0/B49*100)</f>
        <v/>
      </c>
      <c r="D49" s="19" t="n">
        <v>1402</v>
      </c>
      <c r="E49" s="18" t="n">
        <v>93.94692179</v>
      </c>
      <c r="F49" s="20" t="n">
        <v>0.9568793</v>
      </c>
      <c r="G49" s="18" t="n">
        <v>1.73036562</v>
      </c>
      <c r="H49" s="20" t="n">
        <v>0.38748544</v>
      </c>
      <c r="I49" s="18" t="n">
        <v>0</v>
      </c>
      <c r="J49" s="20" t="n">
        <v>0</v>
      </c>
      <c r="K49" s="18" t="n">
        <v>2.733706</v>
      </c>
      <c r="L49" s="20" t="n">
        <v>0.64612548</v>
      </c>
      <c r="M49" s="18" t="n">
        <v>0</v>
      </c>
      <c r="N49" s="20" t="n">
        <v>0</v>
      </c>
      <c r="O49" s="18" t="n">
        <v>0</v>
      </c>
      <c r="P49" s="20" t="n">
        <v>0</v>
      </c>
      <c r="Q49" s="18" t="n">
        <v>1.58900659</v>
      </c>
      <c r="R49" s="20" t="n">
        <v>0.67062546</v>
      </c>
    </row>
    <row r="50" spans="1:18">
      <c r="A50" s="15" t="s">
        <v>473</v>
      </c>
      <c r="B50" s="17" t="n">
        <v>6866</v>
      </c>
      <c r="C50" s="18">
        <f>(6146.0/B50*100)</f>
        <v/>
      </c>
      <c r="D50" s="19" t="n">
        <v>720</v>
      </c>
      <c r="E50" s="18" t="n">
        <v>94.39551513000001</v>
      </c>
      <c r="F50" s="20" t="n">
        <v>0.77748805</v>
      </c>
      <c r="G50" s="18" t="n">
        <v>3.05218676</v>
      </c>
      <c r="H50" s="20" t="n">
        <v>0.48777916</v>
      </c>
      <c r="I50" s="18" t="n">
        <v>0</v>
      </c>
      <c r="J50" s="20" t="n">
        <v>0</v>
      </c>
      <c r="K50" s="18" t="n">
        <v>1.33674248</v>
      </c>
      <c r="L50" s="20" t="n">
        <v>0.50040671</v>
      </c>
      <c r="M50" s="18" t="n">
        <v>0</v>
      </c>
      <c r="N50" s="20" t="n">
        <v>0</v>
      </c>
      <c r="O50" s="18" t="n">
        <v>0</v>
      </c>
      <c r="P50" s="20" t="n">
        <v>0</v>
      </c>
      <c r="Q50" s="18" t="n">
        <v>1.21555562</v>
      </c>
      <c r="R50" s="20" t="n">
        <v>0.34872505</v>
      </c>
    </row>
    <row r="51" spans="1:18">
      <c r="A51" s="15" t="s">
        <v>474</v>
      </c>
      <c r="B51" s="17" t="n">
        <v>5809</v>
      </c>
      <c r="C51" s="18">
        <f>(5108.0/B51*100)</f>
        <v/>
      </c>
      <c r="D51" s="19" t="n">
        <v>701</v>
      </c>
      <c r="E51" s="18" t="n">
        <v>90.68710584999999</v>
      </c>
      <c r="F51" s="20" t="n">
        <v>1.12210147</v>
      </c>
      <c r="G51" s="18" t="n">
        <v>7.22351397</v>
      </c>
      <c r="H51" s="20" t="n">
        <v>1.04054261</v>
      </c>
      <c r="I51" s="18" t="n">
        <v>0</v>
      </c>
      <c r="J51" s="20" t="n">
        <v>0</v>
      </c>
      <c r="K51" s="18" t="n">
        <v>0.66360184</v>
      </c>
      <c r="L51" s="20" t="n">
        <v>0.4575146</v>
      </c>
      <c r="M51" s="18" t="n">
        <v>0</v>
      </c>
      <c r="N51" s="20" t="n">
        <v>0</v>
      </c>
      <c r="O51" s="18" t="n">
        <v>0</v>
      </c>
      <c r="P51" s="20" t="n">
        <v>0</v>
      </c>
      <c r="Q51" s="18" t="n">
        <v>1.42577834</v>
      </c>
      <c r="R51" s="20" t="n">
        <v>0.45112868</v>
      </c>
    </row>
    <row r="52" spans="1:18">
      <c r="A52" s="15" t="s">
        <v>475</v>
      </c>
      <c r="B52" s="17" t="n">
        <v>5571</v>
      </c>
      <c r="C52" s="18">
        <f>(4915.0/B52*100)</f>
        <v/>
      </c>
      <c r="D52" s="19" t="n">
        <v>656</v>
      </c>
      <c r="E52" s="18" t="n">
        <v>93.94967307</v>
      </c>
      <c r="F52" s="20" t="n">
        <v>0.96285416</v>
      </c>
      <c r="G52" s="18" t="n">
        <v>4.55252989</v>
      </c>
      <c r="H52" s="20" t="n">
        <v>0.85883115</v>
      </c>
      <c r="I52" s="18" t="n">
        <v>0</v>
      </c>
      <c r="J52" s="20" t="n">
        <v>0</v>
      </c>
      <c r="K52" s="18" t="n">
        <v>0.7466873000000001</v>
      </c>
      <c r="L52" s="20" t="n">
        <v>0.33874737</v>
      </c>
      <c r="M52" s="18" t="n">
        <v>0</v>
      </c>
      <c r="N52" s="20" t="n">
        <v>0</v>
      </c>
      <c r="O52" s="18" t="n">
        <v>0</v>
      </c>
      <c r="P52" s="20" t="n">
        <v>0</v>
      </c>
      <c r="Q52" s="18" t="n">
        <v>0.75110973</v>
      </c>
      <c r="R52" s="20" t="n">
        <v>0.34970874</v>
      </c>
    </row>
    <row r="53" spans="1:18">
      <c r="A53" s="15" t="s">
        <v>476</v>
      </c>
      <c r="B53" s="17" t="n">
        <v>4740</v>
      </c>
      <c r="C53" s="18">
        <f>(3974.0/B53*100)</f>
        <v/>
      </c>
      <c r="D53" s="19" t="n">
        <v>766</v>
      </c>
      <c r="E53" s="18" t="n">
        <v>81.98203049999999</v>
      </c>
      <c r="F53" s="20" t="n">
        <v>1.47950995</v>
      </c>
      <c r="G53" s="18" t="n">
        <v>0.2501314</v>
      </c>
      <c r="H53" s="20" t="n">
        <v>0.18987326</v>
      </c>
      <c r="I53" s="18" t="n">
        <v>0</v>
      </c>
      <c r="J53" s="20" t="n">
        <v>0</v>
      </c>
      <c r="K53" s="18" t="n">
        <v>13.84976998</v>
      </c>
      <c r="L53" s="20" t="n">
        <v>1.21978593</v>
      </c>
      <c r="M53" s="18" t="n">
        <v>0</v>
      </c>
      <c r="N53" s="20" t="n">
        <v>0</v>
      </c>
      <c r="O53" s="18" t="n">
        <v>0</v>
      </c>
      <c r="P53" s="20" t="n">
        <v>0</v>
      </c>
      <c r="Q53" s="18" t="n">
        <v>3.91806812</v>
      </c>
      <c r="R53" s="20" t="n">
        <v>0.77726651</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(4703.0/B55*100)</f>
        <v/>
      </c>
      <c r="D55" s="19" t="n">
        <v>656</v>
      </c>
      <c r="E55" s="18" t="n">
        <v>89.89475659</v>
      </c>
      <c r="F55" s="20" t="n">
        <v>1.35486589</v>
      </c>
      <c r="G55" s="18" t="n">
        <v>9.17882528</v>
      </c>
      <c r="H55" s="20" t="n">
        <v>1.30954776</v>
      </c>
      <c r="I55" s="18" t="n">
        <v>0</v>
      </c>
      <c r="J55" s="20" t="n">
        <v>0</v>
      </c>
      <c r="K55" s="18" t="n">
        <v>0.92641813</v>
      </c>
      <c r="L55" s="20" t="n">
        <v>0.44219078</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(5737.0/B61*100)</f>
        <v/>
      </c>
      <c r="D61" s="19" t="n">
        <v>788</v>
      </c>
      <c r="E61" s="18" t="n">
        <v>91.96976878</v>
      </c>
      <c r="F61" s="20" t="n">
        <v>1.20106973</v>
      </c>
      <c r="G61" s="18" t="n">
        <v>5.53286503</v>
      </c>
      <c r="H61" s="20" t="n">
        <v>0.99745728</v>
      </c>
      <c r="I61" s="18" t="n">
        <v>0</v>
      </c>
      <c r="J61" s="20" t="n">
        <v>0</v>
      </c>
      <c r="K61" s="18" t="n">
        <v>0.98158458</v>
      </c>
      <c r="L61" s="20" t="n">
        <v>0.43578534</v>
      </c>
      <c r="M61" s="18" t="n">
        <v>0</v>
      </c>
      <c r="N61" s="20" t="n">
        <v>0</v>
      </c>
      <c r="O61" s="18" t="n">
        <v>0</v>
      </c>
      <c r="P61" s="20" t="n">
        <v>0</v>
      </c>
      <c r="Q61" s="18" t="n">
        <v>1.51578161</v>
      </c>
      <c r="R61" s="20" t="n">
        <v>0.51137328</v>
      </c>
    </row>
    <row r="62" spans="1:18">
      <c r="A62" s="15" t="s">
        <v>486</v>
      </c>
      <c r="B62" s="17" t="n">
        <v>4476</v>
      </c>
      <c r="C62" s="18">
        <f>(3930.0/B62*100)</f>
        <v/>
      </c>
      <c r="D62" s="19" t="n">
        <v>546</v>
      </c>
      <c r="E62" s="18" t="n">
        <v>91.01333262999999</v>
      </c>
      <c r="F62" s="20" t="n">
        <v>1.18215206</v>
      </c>
      <c r="G62" s="18" t="n">
        <v>8.802933749999999</v>
      </c>
      <c r="H62" s="20" t="n">
        <v>1.17404716</v>
      </c>
      <c r="I62" s="18" t="n">
        <v>0</v>
      </c>
      <c r="J62" s="20" t="n">
        <v>0</v>
      </c>
      <c r="K62" s="18" t="n">
        <v>0.18373362</v>
      </c>
      <c r="L62" s="20" t="n">
        <v>0.18340114</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(4987.0/B67*100)</f>
        <v/>
      </c>
      <c r="D67" s="19" t="n">
        <v>678</v>
      </c>
      <c r="E67" s="18" t="n">
        <v>91.80440193</v>
      </c>
      <c r="F67" s="20" t="n">
        <v>1.09918981</v>
      </c>
      <c r="G67" s="18" t="n">
        <v>2.32428132</v>
      </c>
      <c r="H67" s="20" t="n">
        <v>0.59287322</v>
      </c>
      <c r="I67" s="18" t="n">
        <v>0</v>
      </c>
      <c r="J67" s="20" t="n">
        <v>0</v>
      </c>
      <c r="K67" s="18" t="n">
        <v>2.6724323</v>
      </c>
      <c r="L67" s="20" t="n">
        <v>0.74308927</v>
      </c>
      <c r="M67" s="18" t="n">
        <v>0</v>
      </c>
      <c r="N67" s="20" t="n">
        <v>0</v>
      </c>
      <c r="O67" s="18" t="n">
        <v>0</v>
      </c>
      <c r="P67" s="20" t="n">
        <v>0</v>
      </c>
      <c r="Q67" s="18" t="n">
        <v>3.19888445</v>
      </c>
      <c r="R67" s="20" t="n">
        <v>0.73193009</v>
      </c>
    </row>
    <row r="68" spans="1:18">
      <c r="A68" s="15" t="s">
        <v>492</v>
      </c>
      <c r="B68" s="17" t="n">
        <v>6971</v>
      </c>
      <c r="C68" s="18">
        <f>(6247.0/B68*100)</f>
        <v/>
      </c>
      <c r="D68" s="19" t="n">
        <v>724</v>
      </c>
      <c r="E68" s="18" t="n">
        <v>96.63808519</v>
      </c>
      <c r="F68" s="20" t="n">
        <v>0.72050441</v>
      </c>
      <c r="G68" s="18" t="n">
        <v>2.45068361</v>
      </c>
      <c r="H68" s="20" t="n">
        <v>0.65955243</v>
      </c>
      <c r="I68" s="18" t="n">
        <v>0</v>
      </c>
      <c r="J68" s="20" t="n">
        <v>0</v>
      </c>
      <c r="K68" s="18" t="n">
        <v>0.1437701</v>
      </c>
      <c r="L68" s="20" t="n">
        <v>0.14400079</v>
      </c>
      <c r="M68" s="18" t="n">
        <v>0</v>
      </c>
      <c r="N68" s="20" t="n">
        <v>0</v>
      </c>
      <c r="O68" s="18" t="n">
        <v>0</v>
      </c>
      <c r="P68" s="20" t="n">
        <v>0</v>
      </c>
      <c r="Q68" s="18" t="n">
        <v>0.7674611099999999</v>
      </c>
      <c r="R68" s="20" t="n">
        <v>0.27852252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(10080.0/B70*100)</f>
        <v/>
      </c>
      <c r="D70" s="19" t="n">
        <v>2003</v>
      </c>
      <c r="E70" s="18" t="n">
        <v>90.15017632</v>
      </c>
      <c r="F70" s="20" t="n">
        <v>0.60090987</v>
      </c>
      <c r="G70" s="18" t="n">
        <v>4.33833485</v>
      </c>
      <c r="H70" s="20" t="n">
        <v>0.43206602</v>
      </c>
      <c r="I70" s="18" t="n">
        <v>0</v>
      </c>
      <c r="J70" s="20" t="n">
        <v>0</v>
      </c>
      <c r="K70" s="18" t="n">
        <v>3.64338912</v>
      </c>
      <c r="L70" s="20" t="n">
        <v>0.37982978</v>
      </c>
      <c r="M70" s="18" t="n">
        <v>0</v>
      </c>
      <c r="N70" s="20" t="n">
        <v>0</v>
      </c>
      <c r="O70" s="18" t="n">
        <v>0</v>
      </c>
      <c r="P70" s="20" t="n">
        <v>0</v>
      </c>
      <c r="Q70" s="18" t="n">
        <v>1.86809972</v>
      </c>
      <c r="R70" s="20" t="n">
        <v>0.3121976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(5333.0/B72*100)</f>
        <v/>
      </c>
      <c r="D72" s="19" t="n">
        <v>703</v>
      </c>
      <c r="E72" s="18" t="n">
        <v>94.15746935999999</v>
      </c>
      <c r="F72" s="20" t="n">
        <v>1.11115422</v>
      </c>
      <c r="G72" s="18" t="n">
        <v>4.05976123</v>
      </c>
      <c r="H72" s="20" t="n">
        <v>0.86110782</v>
      </c>
      <c r="I72" s="18" t="n">
        <v>0</v>
      </c>
      <c r="J72" s="20" t="n">
        <v>0</v>
      </c>
      <c r="K72" s="18" t="n">
        <v>1.13546959</v>
      </c>
      <c r="L72" s="20" t="n">
        <v>0.45870384</v>
      </c>
      <c r="M72" s="18" t="n">
        <v>0</v>
      </c>
      <c r="N72" s="20" t="n">
        <v>0</v>
      </c>
      <c r="O72" s="18" t="n">
        <v>0</v>
      </c>
      <c r="P72" s="20" t="n">
        <v>0</v>
      </c>
      <c r="Q72" s="18" t="n">
        <v>0.64729981</v>
      </c>
      <c r="R72" s="20" t="n">
        <v>0.27042243</v>
      </c>
    </row>
    <row r="73" spans="1:18">
      <c r="A73" s="15" t="s">
        <v>497</v>
      </c>
      <c r="B73" s="17" t="n">
        <v>6115</v>
      </c>
      <c r="C73" s="18">
        <f>(5364.0/B73*100)</f>
        <v/>
      </c>
      <c r="D73" s="19" t="n">
        <v>751</v>
      </c>
      <c r="E73" s="18" t="n">
        <v>84.4007988</v>
      </c>
      <c r="F73" s="20" t="n">
        <v>1.33304685</v>
      </c>
      <c r="G73" s="18" t="n">
        <v>15.23477</v>
      </c>
      <c r="H73" s="20" t="n">
        <v>1.31656157</v>
      </c>
      <c r="I73" s="18" t="n">
        <v>0</v>
      </c>
      <c r="J73" s="20" t="n">
        <v>0</v>
      </c>
      <c r="K73" s="18" t="n">
        <v>0.3644312</v>
      </c>
      <c r="L73" s="20" t="n">
        <v>0.21418069</v>
      </c>
      <c r="M73" s="18" t="n">
        <v>0</v>
      </c>
      <c r="N73" s="20" t="n">
        <v>0</v>
      </c>
      <c r="O73" s="18" t="n">
        <v>0</v>
      </c>
      <c r="P73" s="20" t="n">
        <v>0</v>
      </c>
      <c r="Q73" s="18" t="n">
        <v>0</v>
      </c>
      <c r="R73" s="20" t="n">
        <v>0</v>
      </c>
    </row>
    <row r="74" spans="1:18">
      <c r="A74" s="15" t="s">
        <v>498</v>
      </c>
      <c r="B74" s="17" t="n">
        <v>7708</v>
      </c>
      <c r="C74" s="18">
        <f>(6761.0/B74*100)</f>
        <v/>
      </c>
      <c r="D74" s="19" t="n">
        <v>947</v>
      </c>
      <c r="E74" s="18" t="n">
        <v>94.11816906</v>
      </c>
      <c r="F74" s="20" t="n">
        <v>0.89797678</v>
      </c>
      <c r="G74" s="18" t="n">
        <v>5.7428391</v>
      </c>
      <c r="H74" s="20" t="n">
        <v>0.89262781</v>
      </c>
      <c r="I74" s="18" t="n">
        <v>0</v>
      </c>
      <c r="J74" s="20" t="n">
        <v>0</v>
      </c>
      <c r="K74" s="18" t="n">
        <v>0.13899184</v>
      </c>
      <c r="L74" s="20" t="n">
        <v>0.09235931999999999</v>
      </c>
      <c r="M74" s="18" t="n">
        <v>0</v>
      </c>
      <c r="N74" s="20" t="n">
        <v>0</v>
      </c>
      <c r="O74" s="18" t="n">
        <v>0</v>
      </c>
      <c r="P74" s="20" t="n">
        <v>0</v>
      </c>
      <c r="Q74" s="18" t="n">
        <v>0</v>
      </c>
      <c r="R74" s="20" t="n">
        <v>0</v>
      </c>
    </row>
    <row r="75" spans="1:18">
      <c r="A75" s="15" t="s">
        <v>499</v>
      </c>
      <c r="B75" s="17" t="n">
        <v>8249</v>
      </c>
      <c r="C75" s="18">
        <f>(7306.0/B75*100)</f>
        <v/>
      </c>
      <c r="D75" s="19" t="n">
        <v>943</v>
      </c>
      <c r="E75" s="18" t="n">
        <v>97.90149345</v>
      </c>
      <c r="F75" s="20" t="n">
        <v>0.55712588</v>
      </c>
      <c r="G75" s="18" t="n">
        <v>1.43720464</v>
      </c>
      <c r="H75" s="20" t="n">
        <v>0.45674745</v>
      </c>
      <c r="I75" s="18" t="n">
        <v>0</v>
      </c>
      <c r="J75" s="20" t="n">
        <v>0</v>
      </c>
      <c r="K75" s="18" t="n">
        <v>0.26171079</v>
      </c>
      <c r="L75" s="20" t="n">
        <v>0.22112922</v>
      </c>
      <c r="M75" s="18" t="n">
        <v>0</v>
      </c>
      <c r="N75" s="20" t="n">
        <v>0</v>
      </c>
      <c r="O75" s="18" t="n">
        <v>0</v>
      </c>
      <c r="P75" s="20" t="n">
        <v>0</v>
      </c>
      <c r="Q75" s="18" t="n">
        <v>0.39959111</v>
      </c>
      <c r="R75" s="20" t="n">
        <v>0.23678112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(4795.0/B77*100)</f>
        <v/>
      </c>
      <c r="D77" s="19" t="n">
        <v>580</v>
      </c>
      <c r="E77" s="18" t="n">
        <v>92.61326115999999</v>
      </c>
      <c r="F77" s="20" t="n">
        <v>1.22249013</v>
      </c>
      <c r="G77" s="18" t="n">
        <v>0.31656502</v>
      </c>
      <c r="H77" s="20" t="n">
        <v>0.22606352</v>
      </c>
      <c r="I77" s="18" t="n">
        <v>0</v>
      </c>
      <c r="J77" s="20" t="n">
        <v>0</v>
      </c>
      <c r="K77" s="18" t="n">
        <v>4.79282599</v>
      </c>
      <c r="L77" s="20" t="n">
        <v>1.08634908</v>
      </c>
      <c r="M77" s="18" t="n">
        <v>0</v>
      </c>
      <c r="N77" s="20" t="n">
        <v>0</v>
      </c>
      <c r="O77" s="18" t="n">
        <v>0</v>
      </c>
      <c r="P77" s="20" t="n">
        <v>0</v>
      </c>
      <c r="Q77" s="18" t="n">
        <v>2.27734783</v>
      </c>
      <c r="R77" s="20" t="n">
        <v>0.70008138</v>
      </c>
    </row>
    <row r="78" spans="1:18">
      <c r="A78" s="15" t="s">
        <v>502</v>
      </c>
      <c r="B78" s="17" t="n">
        <v>14167</v>
      </c>
      <c r="C78" s="18">
        <f>(12412.0/B78*100)</f>
        <v/>
      </c>
      <c r="D78" s="19" t="n">
        <v>1755</v>
      </c>
      <c r="E78" s="18" t="n">
        <v>92.23308414</v>
      </c>
      <c r="F78" s="20" t="n">
        <v>0.82929883</v>
      </c>
      <c r="G78" s="18" t="n">
        <v>6.31314958</v>
      </c>
      <c r="H78" s="20" t="n">
        <v>0.73688843</v>
      </c>
      <c r="I78" s="18" t="n">
        <v>0</v>
      </c>
      <c r="J78" s="20" t="n">
        <v>0</v>
      </c>
      <c r="K78" s="18" t="n">
        <v>0.97006814</v>
      </c>
      <c r="L78" s="20" t="n">
        <v>0.26188795</v>
      </c>
      <c r="M78" s="18" t="n">
        <v>0</v>
      </c>
      <c r="N78" s="20" t="n">
        <v>0</v>
      </c>
      <c r="O78" s="18" t="n">
        <v>0</v>
      </c>
      <c r="P78" s="20" t="n">
        <v>0</v>
      </c>
      <c r="Q78" s="18" t="n">
        <v>0.48369815</v>
      </c>
      <c r="R78" s="20" t="n">
        <v>0.15001235</v>
      </c>
    </row>
    <row r="79" spans="1:18">
      <c r="A79" s="15" t="s">
        <v>503</v>
      </c>
      <c r="B79" s="17" t="n">
        <v>6062</v>
      </c>
      <c r="C79" s="18">
        <f>(5368.0/B79*100)</f>
        <v/>
      </c>
      <c r="D79" s="19" t="n">
        <v>694</v>
      </c>
      <c r="E79" s="18" t="n">
        <v>87.27656598</v>
      </c>
      <c r="F79" s="20" t="n">
        <v>1.0352526</v>
      </c>
      <c r="G79" s="18" t="n">
        <v>4.98127896</v>
      </c>
      <c r="H79" s="20" t="n">
        <v>0.77894699</v>
      </c>
      <c r="I79" s="18" t="n">
        <v>0</v>
      </c>
      <c r="J79" s="20" t="n">
        <v>0</v>
      </c>
      <c r="K79" s="18" t="n">
        <v>3.45149128</v>
      </c>
      <c r="L79" s="20" t="n">
        <v>0.76907238</v>
      </c>
      <c r="M79" s="18" t="n">
        <v>0</v>
      </c>
      <c r="N79" s="20" t="n">
        <v>0</v>
      </c>
      <c r="O79" s="18" t="n">
        <v>0</v>
      </c>
      <c r="P79" s="20" t="n">
        <v>0</v>
      </c>
      <c r="Q79" s="18" t="n">
        <v>4.29066378</v>
      </c>
      <c r="R79" s="20" t="n">
        <v>0.8009667700000001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(28451.0/B82*100)</f>
        <v/>
      </c>
      <c r="D82" s="19" t="n">
        <v>3879</v>
      </c>
      <c r="E82" s="18" t="n">
        <v>88.64563911</v>
      </c>
      <c r="F82" s="20" t="n">
        <v>0.73328894</v>
      </c>
      <c r="G82" s="18" t="n">
        <v>9.45489954</v>
      </c>
      <c r="H82" s="20" t="n">
        <v>0.6771943499999999</v>
      </c>
      <c r="I82" s="18" t="n">
        <v>0</v>
      </c>
      <c r="J82" s="20" t="n">
        <v>0</v>
      </c>
      <c r="K82" s="18" t="n">
        <v>0.58888428</v>
      </c>
      <c r="L82" s="20" t="n">
        <v>0.15430484</v>
      </c>
      <c r="M82" s="18" t="n">
        <v>0</v>
      </c>
      <c r="N82" s="20" t="n">
        <v>0</v>
      </c>
      <c r="O82" s="18" t="n">
        <v>0</v>
      </c>
      <c r="P82" s="20" t="n">
        <v>0</v>
      </c>
      <c r="Q82" s="18" t="n">
        <v>1.31057707</v>
      </c>
      <c r="R82" s="20" t="n">
        <v>0.27647987</v>
      </c>
    </row>
    <row r="83" spans="1:18">
      <c r="A83" s="15" t="s">
        <v>507</v>
      </c>
      <c r="B83" s="17" t="n">
        <v>1652</v>
      </c>
      <c r="C83" s="18">
        <f>(1465.0/B83*100)</f>
        <v/>
      </c>
      <c r="D83" s="19" t="n">
        <v>187</v>
      </c>
      <c r="E83" s="18" t="n">
        <v>83.66362716</v>
      </c>
      <c r="F83" s="20" t="n">
        <v>3.60254236</v>
      </c>
      <c r="G83" s="18" t="n">
        <v>15.16721781</v>
      </c>
      <c r="H83" s="20" t="n">
        <v>3.36619965</v>
      </c>
      <c r="I83" s="18" t="n">
        <v>0</v>
      </c>
      <c r="J83" s="20" t="n">
        <v>0</v>
      </c>
      <c r="K83" s="18" t="n">
        <v>0.55909772</v>
      </c>
      <c r="L83" s="20" t="n">
        <v>0.50696484</v>
      </c>
      <c r="M83" s="18" t="n">
        <v>0</v>
      </c>
      <c r="N83" s="20" t="n">
        <v>0</v>
      </c>
      <c r="O83" s="18" t="n">
        <v>0</v>
      </c>
      <c r="P83" s="20" t="n">
        <v>0</v>
      </c>
      <c r="Q83" s="18" t="n">
        <v>0.6100573</v>
      </c>
      <c r="R83" s="20" t="n">
        <v>0.63894558</v>
      </c>
    </row>
    <row r="84" spans="1:18">
      <c r="A84" s="23" t="s">
        <v>508</v>
      </c>
      <c r="B84" s="24" t="n">
        <v>1887</v>
      </c>
      <c r="C84" s="25">
        <f>(1665.0/B84*100)</f>
        <v/>
      </c>
      <c r="D84" s="19" t="n">
        <v>222</v>
      </c>
      <c r="E84" s="18" t="n">
        <v>87.00199363</v>
      </c>
      <c r="F84" s="20" t="n">
        <v>2.37077595</v>
      </c>
      <c r="G84" s="18" t="n">
        <v>12.99800637</v>
      </c>
      <c r="H84" s="20" t="n">
        <v>2.37077595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(12819.0/B7*100)</f>
        <v/>
      </c>
      <c r="D7" s="19" t="n">
        <v>1711</v>
      </c>
      <c r="E7" s="18" t="n">
        <v>24.99206998</v>
      </c>
      <c r="F7" s="20" t="n">
        <v>1.33215056</v>
      </c>
      <c r="G7" s="18" t="n">
        <v>66.82821333</v>
      </c>
      <c r="H7" s="20" t="n">
        <v>1.52093691</v>
      </c>
      <c r="I7" s="18" t="n">
        <v>0</v>
      </c>
      <c r="J7" s="20" t="n">
        <v>0</v>
      </c>
      <c r="K7" s="18" t="n">
        <v>1.37739223</v>
      </c>
      <c r="L7" s="20" t="n">
        <v>0.31234054</v>
      </c>
      <c r="M7" s="18" t="n">
        <v>0.04011672</v>
      </c>
      <c r="N7" s="20" t="n">
        <v>0.01999958</v>
      </c>
      <c r="O7" s="18" t="n">
        <v>0</v>
      </c>
      <c r="P7" s="20" t="n">
        <v>0</v>
      </c>
      <c r="Q7" s="18" t="n">
        <v>6.76220775</v>
      </c>
      <c r="R7" s="20" t="n">
        <v>0.70614243</v>
      </c>
    </row>
    <row r="8" spans="1:18">
      <c r="A8" s="15" t="s">
        <v>430</v>
      </c>
      <c r="B8" s="17" t="n">
        <v>7007</v>
      </c>
      <c r="C8" s="18">
        <f>(6115.0/B8*100)</f>
        <v/>
      </c>
      <c r="D8" s="19" t="n">
        <v>892</v>
      </c>
      <c r="E8" s="18" t="n">
        <v>29.80853011</v>
      </c>
      <c r="F8" s="20" t="n">
        <v>1.77771632</v>
      </c>
      <c r="G8" s="18" t="n">
        <v>62.0876459</v>
      </c>
      <c r="H8" s="20" t="n">
        <v>2.07934141</v>
      </c>
      <c r="I8" s="18" t="n">
        <v>0</v>
      </c>
      <c r="J8" s="20" t="n">
        <v>0</v>
      </c>
      <c r="K8" s="18" t="n">
        <v>1.16223233</v>
      </c>
      <c r="L8" s="20" t="n">
        <v>0.4268409</v>
      </c>
      <c r="M8" s="18" t="n">
        <v>0</v>
      </c>
      <c r="N8" s="20" t="n">
        <v>0</v>
      </c>
      <c r="O8" s="18" t="n">
        <v>0</v>
      </c>
      <c r="P8" s="20" t="n">
        <v>0</v>
      </c>
      <c r="Q8" s="18" t="n">
        <v>6.94159166</v>
      </c>
      <c r="R8" s="20" t="n">
        <v>0.83025923</v>
      </c>
    </row>
    <row r="9" spans="1:18">
      <c r="A9" s="15" t="s">
        <v>431</v>
      </c>
      <c r="B9" s="17" t="n">
        <v>9651</v>
      </c>
      <c r="C9" s="18">
        <f>(8535.0/B9*100)</f>
        <v/>
      </c>
      <c r="D9" s="19" t="n">
        <v>1116</v>
      </c>
      <c r="E9" s="18" t="n">
        <v>23.65788205</v>
      </c>
      <c r="F9" s="20" t="n">
        <v>1.34520433</v>
      </c>
      <c r="G9" s="18" t="n">
        <v>69.25318632</v>
      </c>
      <c r="H9" s="20" t="n">
        <v>1.50862105</v>
      </c>
      <c r="I9" s="18" t="n">
        <v>0</v>
      </c>
      <c r="J9" s="20" t="n">
        <v>0</v>
      </c>
      <c r="K9" s="18" t="n">
        <v>0.78563471</v>
      </c>
      <c r="L9" s="20" t="n">
        <v>0.28458061</v>
      </c>
      <c r="M9" s="18" t="n">
        <v>0.27391669</v>
      </c>
      <c r="N9" s="20" t="n">
        <v>0.09189099000000001</v>
      </c>
      <c r="O9" s="18" t="n">
        <v>0</v>
      </c>
      <c r="P9" s="20" t="n">
        <v>0</v>
      </c>
      <c r="Q9" s="18" t="n">
        <v>6.02938023</v>
      </c>
      <c r="R9" s="20" t="n">
        <v>1.08443799</v>
      </c>
    </row>
    <row r="10" spans="1:18">
      <c r="A10" s="15" t="s">
        <v>432</v>
      </c>
      <c r="B10" s="17" t="n">
        <v>20058</v>
      </c>
      <c r="C10" s="18">
        <f>(17612.0/B10*100)</f>
        <v/>
      </c>
      <c r="D10" s="19" t="n">
        <v>2446</v>
      </c>
      <c r="E10" s="18" t="n">
        <v>21.25041958</v>
      </c>
      <c r="F10" s="20" t="n">
        <v>1.00435943</v>
      </c>
      <c r="G10" s="18" t="n">
        <v>74.53542664</v>
      </c>
      <c r="H10" s="20" t="n">
        <v>1.19869765</v>
      </c>
      <c r="I10" s="18" t="n">
        <v>0</v>
      </c>
      <c r="J10" s="20" t="n">
        <v>0</v>
      </c>
      <c r="K10" s="18" t="n">
        <v>0.8976129900000001</v>
      </c>
      <c r="L10" s="20" t="n">
        <v>0.25558465</v>
      </c>
      <c r="M10" s="18" t="n">
        <v>0</v>
      </c>
      <c r="N10" s="20" t="n">
        <v>0</v>
      </c>
      <c r="O10" s="18" t="n">
        <v>0</v>
      </c>
      <c r="P10" s="20" t="n">
        <v>0</v>
      </c>
      <c r="Q10" s="18" t="n">
        <v>3.31654079</v>
      </c>
      <c r="R10" s="20" t="n">
        <v>0.6869620400000001</v>
      </c>
    </row>
    <row r="11" spans="1:18">
      <c r="A11" s="15" t="s">
        <v>433</v>
      </c>
      <c r="B11" s="17" t="n">
        <v>7053</v>
      </c>
      <c r="C11" s="18">
        <f>(6241.0/B11*100)</f>
        <v/>
      </c>
      <c r="D11" s="19" t="n">
        <v>812</v>
      </c>
      <c r="E11" s="18" t="n">
        <v>32.08773224</v>
      </c>
      <c r="F11" s="20" t="n">
        <v>1.77592777</v>
      </c>
      <c r="G11" s="18" t="n">
        <v>55.45459509</v>
      </c>
      <c r="H11" s="20" t="n">
        <v>1.79610388</v>
      </c>
      <c r="I11" s="18" t="n">
        <v>0</v>
      </c>
      <c r="J11" s="20" t="n">
        <v>0</v>
      </c>
      <c r="K11" s="18" t="n">
        <v>2.77479405</v>
      </c>
      <c r="L11" s="20" t="n">
        <v>0.7019045900000001</v>
      </c>
      <c r="M11" s="18" t="n">
        <v>0</v>
      </c>
      <c r="N11" s="20" t="n">
        <v>0</v>
      </c>
      <c r="O11" s="18" t="n">
        <v>0</v>
      </c>
      <c r="P11" s="20" t="n">
        <v>0</v>
      </c>
      <c r="Q11" s="18" t="n">
        <v>9.68287862</v>
      </c>
      <c r="R11" s="20" t="n">
        <v>0.99238517</v>
      </c>
    </row>
    <row r="12" spans="1:18">
      <c r="A12" s="15" t="s">
        <v>434</v>
      </c>
      <c r="B12" s="17" t="n">
        <v>6894</v>
      </c>
      <c r="C12" s="18">
        <f>(6088.0/B12*100)</f>
        <v/>
      </c>
      <c r="D12" s="19" t="n">
        <v>806</v>
      </c>
      <c r="E12" s="18" t="n">
        <v>30.47906432</v>
      </c>
      <c r="F12" s="20" t="n">
        <v>1.70902312</v>
      </c>
      <c r="G12" s="18" t="n">
        <v>60.21117714</v>
      </c>
      <c r="H12" s="20" t="n">
        <v>1.84887785</v>
      </c>
      <c r="I12" s="18" t="n">
        <v>0</v>
      </c>
      <c r="J12" s="20" t="n">
        <v>0</v>
      </c>
      <c r="K12" s="18" t="n">
        <v>0.89733449</v>
      </c>
      <c r="L12" s="20" t="n">
        <v>0.21139263</v>
      </c>
      <c r="M12" s="18" t="n">
        <v>0.09541998</v>
      </c>
      <c r="N12" s="20" t="n">
        <v>0.09260474</v>
      </c>
      <c r="O12" s="18" t="n">
        <v>0</v>
      </c>
      <c r="P12" s="20" t="n">
        <v>0</v>
      </c>
      <c r="Q12" s="18" t="n">
        <v>8.317004069999999</v>
      </c>
      <c r="R12" s="20" t="n">
        <v>1.0018581</v>
      </c>
    </row>
    <row r="13" spans="1:18">
      <c r="A13" s="15" t="s">
        <v>435</v>
      </c>
      <c r="B13" s="17" t="n">
        <v>7161</v>
      </c>
      <c r="C13" s="18">
        <f>(6334.0/B13*100)</f>
        <v/>
      </c>
      <c r="D13" s="19" t="n">
        <v>827</v>
      </c>
      <c r="E13" s="18" t="n">
        <v>22.44981728</v>
      </c>
      <c r="F13" s="20" t="n">
        <v>1.94768996</v>
      </c>
      <c r="G13" s="18" t="n">
        <v>70.07349261</v>
      </c>
      <c r="H13" s="20" t="n">
        <v>2.06539504</v>
      </c>
      <c r="I13" s="18" t="n">
        <v>0</v>
      </c>
      <c r="J13" s="20" t="n">
        <v>0</v>
      </c>
      <c r="K13" s="18" t="n">
        <v>2.36839669</v>
      </c>
      <c r="L13" s="20" t="n">
        <v>0.70173364</v>
      </c>
      <c r="M13" s="18" t="n">
        <v>0</v>
      </c>
      <c r="N13" s="20" t="n">
        <v>0</v>
      </c>
      <c r="O13" s="18" t="n">
        <v>0</v>
      </c>
      <c r="P13" s="20" t="n">
        <v>0</v>
      </c>
      <c r="Q13" s="18" t="n">
        <v>5.10829342</v>
      </c>
      <c r="R13" s="20" t="n">
        <v>0.75860227</v>
      </c>
    </row>
    <row r="14" spans="1:18">
      <c r="A14" s="15" t="s">
        <v>436</v>
      </c>
      <c r="B14" s="17" t="n">
        <v>5587</v>
      </c>
      <c r="C14" s="18">
        <f>(4912.0/B14*100)</f>
        <v/>
      </c>
      <c r="D14" s="19" t="n">
        <v>675</v>
      </c>
      <c r="E14" s="18" t="n">
        <v>43.59014819</v>
      </c>
      <c r="F14" s="20" t="n">
        <v>2.00566409</v>
      </c>
      <c r="G14" s="18" t="n">
        <v>53.27642705</v>
      </c>
      <c r="H14" s="20" t="n">
        <v>1.98513451</v>
      </c>
      <c r="I14" s="18" t="n">
        <v>0</v>
      </c>
      <c r="J14" s="20" t="n">
        <v>0</v>
      </c>
      <c r="K14" s="18" t="n">
        <v>0.37944196</v>
      </c>
      <c r="L14" s="20" t="n">
        <v>0.22588762</v>
      </c>
      <c r="M14" s="18" t="n">
        <v>0</v>
      </c>
      <c r="N14" s="20" t="n">
        <v>0</v>
      </c>
      <c r="O14" s="18" t="n">
        <v>0</v>
      </c>
      <c r="P14" s="20" t="n">
        <v>0</v>
      </c>
      <c r="Q14" s="18" t="n">
        <v>2.7539828</v>
      </c>
      <c r="R14" s="20" t="n">
        <v>0.75080175</v>
      </c>
    </row>
    <row r="15" spans="1:18">
      <c r="A15" s="15" t="s">
        <v>437</v>
      </c>
      <c r="B15" s="17" t="n">
        <v>5882</v>
      </c>
      <c r="C15" s="18">
        <f>(5184.0/B15*100)</f>
        <v/>
      </c>
      <c r="D15" s="19" t="n">
        <v>698</v>
      </c>
      <c r="E15" s="18" t="n">
        <v>16.19378942</v>
      </c>
      <c r="F15" s="20" t="n">
        <v>1.51146132</v>
      </c>
      <c r="G15" s="18" t="n">
        <v>80.76230104</v>
      </c>
      <c r="H15" s="20" t="n">
        <v>1.59503141</v>
      </c>
      <c r="I15" s="18" t="n">
        <v>0</v>
      </c>
      <c r="J15" s="20" t="n">
        <v>0</v>
      </c>
      <c r="K15" s="18" t="n">
        <v>0.5269905499999999</v>
      </c>
      <c r="L15" s="20" t="n">
        <v>0.32224357</v>
      </c>
      <c r="M15" s="18" t="n">
        <v>0</v>
      </c>
      <c r="N15" s="20" t="n">
        <v>0</v>
      </c>
      <c r="O15" s="18" t="n">
        <v>0</v>
      </c>
      <c r="P15" s="20" t="n">
        <v>0</v>
      </c>
      <c r="Q15" s="18" t="n">
        <v>2.516919</v>
      </c>
      <c r="R15" s="20" t="n">
        <v>0.71934088</v>
      </c>
    </row>
    <row r="16" spans="1:18">
      <c r="A16" s="15" t="s">
        <v>438</v>
      </c>
      <c r="B16" s="17" t="n">
        <v>6108</v>
      </c>
      <c r="C16" s="18">
        <f>(5400.0/B16*100)</f>
        <v/>
      </c>
      <c r="D16" s="19" t="n">
        <v>708</v>
      </c>
      <c r="E16" s="18" t="n">
        <v>26.03604635</v>
      </c>
      <c r="F16" s="20" t="n">
        <v>1.64890199</v>
      </c>
      <c r="G16" s="18" t="n">
        <v>59.61725043</v>
      </c>
      <c r="H16" s="20" t="n">
        <v>1.88805639</v>
      </c>
      <c r="I16" s="18" t="n">
        <v>0</v>
      </c>
      <c r="J16" s="20" t="n">
        <v>0</v>
      </c>
      <c r="K16" s="18" t="n">
        <v>3.49037882</v>
      </c>
      <c r="L16" s="20" t="n">
        <v>0.85227267</v>
      </c>
      <c r="M16" s="18" t="n">
        <v>0</v>
      </c>
      <c r="N16" s="20" t="n">
        <v>0</v>
      </c>
      <c r="O16" s="18" t="n">
        <v>0</v>
      </c>
      <c r="P16" s="20" t="n">
        <v>0</v>
      </c>
      <c r="Q16" s="18" t="n">
        <v>10.85632439</v>
      </c>
      <c r="R16" s="20" t="n">
        <v>1.22536261</v>
      </c>
    </row>
    <row r="17" spans="1:18">
      <c r="A17" s="15" t="s">
        <v>439</v>
      </c>
      <c r="B17" s="17" t="n">
        <v>6504</v>
      </c>
      <c r="C17" s="18">
        <f>(5753.0/B17*100)</f>
        <v/>
      </c>
      <c r="D17" s="19" t="n">
        <v>751</v>
      </c>
      <c r="E17" s="18" t="n">
        <v>28.23065662</v>
      </c>
      <c r="F17" s="20" t="n">
        <v>1.64158508</v>
      </c>
      <c r="G17" s="18" t="n">
        <v>66.50911768</v>
      </c>
      <c r="H17" s="20" t="n">
        <v>1.69582676</v>
      </c>
      <c r="I17" s="18" t="n">
        <v>0</v>
      </c>
      <c r="J17" s="20" t="n">
        <v>0</v>
      </c>
      <c r="K17" s="18" t="n">
        <v>0.57333361</v>
      </c>
      <c r="L17" s="20" t="n">
        <v>0.26157282</v>
      </c>
      <c r="M17" s="18" t="n">
        <v>0</v>
      </c>
      <c r="N17" s="20" t="n">
        <v>0</v>
      </c>
      <c r="O17" s="18" t="n">
        <v>0</v>
      </c>
      <c r="P17" s="20" t="n">
        <v>0</v>
      </c>
      <c r="Q17" s="18" t="n">
        <v>4.68689208</v>
      </c>
      <c r="R17" s="20" t="n">
        <v>0.84070358</v>
      </c>
    </row>
    <row r="18" spans="1:18">
      <c r="A18" s="15" t="s">
        <v>440</v>
      </c>
      <c r="B18" s="17" t="n">
        <v>5532</v>
      </c>
      <c r="C18" s="18">
        <f>(4864.0/B18*100)</f>
        <v/>
      </c>
      <c r="D18" s="19" t="n">
        <v>668</v>
      </c>
      <c r="E18" s="18" t="n">
        <v>29.56320098</v>
      </c>
      <c r="F18" s="20" t="n">
        <v>1.75680883</v>
      </c>
      <c r="G18" s="18" t="n">
        <v>56.06136485</v>
      </c>
      <c r="H18" s="20" t="n">
        <v>2.07157961</v>
      </c>
      <c r="I18" s="18" t="n">
        <v>0</v>
      </c>
      <c r="J18" s="20" t="n">
        <v>0</v>
      </c>
      <c r="K18" s="18" t="n">
        <v>2.71672471</v>
      </c>
      <c r="L18" s="20" t="n">
        <v>0.76867967</v>
      </c>
      <c r="M18" s="18" t="n">
        <v>0</v>
      </c>
      <c r="N18" s="20" t="n">
        <v>0</v>
      </c>
      <c r="O18" s="18" t="n">
        <v>0</v>
      </c>
      <c r="P18" s="20" t="n">
        <v>0</v>
      </c>
      <c r="Q18" s="18" t="n">
        <v>11.65870946</v>
      </c>
      <c r="R18" s="20" t="n">
        <v>1.29826613</v>
      </c>
    </row>
    <row r="19" spans="1:18">
      <c r="A19" s="15" t="s">
        <v>441</v>
      </c>
      <c r="B19" s="17" t="n">
        <v>5658</v>
      </c>
      <c r="C19" s="18">
        <f>(4973.0/B19*100)</f>
        <v/>
      </c>
      <c r="D19" s="19" t="n">
        <v>685</v>
      </c>
      <c r="E19" s="18" t="n">
        <v>27.01548058</v>
      </c>
      <c r="F19" s="20" t="n">
        <v>2.03206607</v>
      </c>
      <c r="G19" s="18" t="n">
        <v>64.11763018000001</v>
      </c>
      <c r="H19" s="20" t="n">
        <v>2.25929866</v>
      </c>
      <c r="I19" s="18" t="n">
        <v>0</v>
      </c>
      <c r="J19" s="20" t="n">
        <v>0</v>
      </c>
      <c r="K19" s="18" t="n">
        <v>0.78523414</v>
      </c>
      <c r="L19" s="20" t="n">
        <v>0.48157498</v>
      </c>
      <c r="M19" s="18" t="n">
        <v>0</v>
      </c>
      <c r="N19" s="20" t="n">
        <v>0</v>
      </c>
      <c r="O19" s="18" t="n">
        <v>0</v>
      </c>
      <c r="P19" s="20" t="n">
        <v>0</v>
      </c>
      <c r="Q19" s="18" t="n">
        <v>8.081655100000001</v>
      </c>
      <c r="R19" s="20" t="n">
        <v>1.10000162</v>
      </c>
    </row>
    <row r="20" spans="1:18">
      <c r="A20" s="15" t="s">
        <v>442</v>
      </c>
      <c r="B20" s="17" t="n">
        <v>3371</v>
      </c>
      <c r="C20" s="18">
        <f>(2988.0/B20*100)</f>
        <v/>
      </c>
      <c r="D20" s="19" t="n">
        <v>383</v>
      </c>
      <c r="E20" s="18" t="n">
        <v>26.63980095</v>
      </c>
      <c r="F20" s="20" t="n">
        <v>2.51754709</v>
      </c>
      <c r="G20" s="18" t="n">
        <v>65.45643364999999</v>
      </c>
      <c r="H20" s="20" t="n">
        <v>2.73391392</v>
      </c>
      <c r="I20" s="18" t="n">
        <v>0</v>
      </c>
      <c r="J20" s="20" t="n">
        <v>0</v>
      </c>
      <c r="K20" s="18" t="n">
        <v>1.79249022</v>
      </c>
      <c r="L20" s="20" t="n">
        <v>0.71142333</v>
      </c>
      <c r="M20" s="18" t="n">
        <v>0.40448356</v>
      </c>
      <c r="N20" s="20" t="n">
        <v>0.29246319</v>
      </c>
      <c r="O20" s="18" t="n">
        <v>0</v>
      </c>
      <c r="P20" s="20" t="n">
        <v>0</v>
      </c>
      <c r="Q20" s="18" t="n">
        <v>5.70679162</v>
      </c>
      <c r="R20" s="20" t="n">
        <v>1.2197819</v>
      </c>
    </row>
    <row r="21" spans="1:18">
      <c r="A21" s="15" t="s">
        <v>443</v>
      </c>
      <c r="B21" s="17" t="n">
        <v>5741</v>
      </c>
      <c r="C21" s="18">
        <f>(4794.0/B21*100)</f>
        <v/>
      </c>
      <c r="D21" s="19" t="n">
        <v>947</v>
      </c>
      <c r="E21" s="18" t="n">
        <v>16.43829982</v>
      </c>
      <c r="F21" s="20" t="n">
        <v>1.11952575</v>
      </c>
      <c r="G21" s="18" t="n">
        <v>79.94381285999999</v>
      </c>
      <c r="H21" s="20" t="n">
        <v>1.21898878</v>
      </c>
      <c r="I21" s="18" t="n">
        <v>0</v>
      </c>
      <c r="J21" s="20" t="n">
        <v>0</v>
      </c>
      <c r="K21" s="18" t="n">
        <v>0.2084482</v>
      </c>
      <c r="L21" s="20" t="n">
        <v>0.14737151</v>
      </c>
      <c r="M21" s="18" t="n">
        <v>0</v>
      </c>
      <c r="N21" s="20" t="n">
        <v>0</v>
      </c>
      <c r="O21" s="18" t="n">
        <v>0</v>
      </c>
      <c r="P21" s="20" t="n">
        <v>0</v>
      </c>
      <c r="Q21" s="18" t="n">
        <v>3.40943912</v>
      </c>
      <c r="R21" s="20" t="n">
        <v>0.65031156</v>
      </c>
    </row>
    <row r="22" spans="1:18">
      <c r="A22" s="15" t="s">
        <v>444</v>
      </c>
      <c r="B22" s="17" t="n">
        <v>6598</v>
      </c>
      <c r="C22" s="18">
        <f>(5875.0/B22*100)</f>
        <v/>
      </c>
      <c r="D22" s="19" t="n">
        <v>723</v>
      </c>
      <c r="E22" s="18" t="n">
        <v>27.32833506</v>
      </c>
      <c r="F22" s="20" t="n">
        <v>2.00964674</v>
      </c>
      <c r="G22" s="18" t="n">
        <v>60.01710091</v>
      </c>
      <c r="H22" s="20" t="n">
        <v>2.02787664</v>
      </c>
      <c r="I22" s="18" t="n">
        <v>0</v>
      </c>
      <c r="J22" s="20" t="n">
        <v>0</v>
      </c>
      <c r="K22" s="18" t="n">
        <v>3.42492533</v>
      </c>
      <c r="L22" s="20" t="n">
        <v>0.7276650099999999</v>
      </c>
      <c r="M22" s="18" t="n">
        <v>0</v>
      </c>
      <c r="N22" s="20" t="n">
        <v>0</v>
      </c>
      <c r="O22" s="18" t="n">
        <v>0</v>
      </c>
      <c r="P22" s="20" t="n">
        <v>0</v>
      </c>
      <c r="Q22" s="18" t="n">
        <v>9.229638700000001</v>
      </c>
      <c r="R22" s="20" t="n">
        <v>1.18895025</v>
      </c>
    </row>
    <row r="23" spans="1:18">
      <c r="A23" s="15" t="s">
        <v>445</v>
      </c>
      <c r="B23" s="17" t="n">
        <v>11583</v>
      </c>
      <c r="C23" s="18">
        <f>(10170.0/B23*100)</f>
        <v/>
      </c>
      <c r="D23" s="19" t="n">
        <v>1413</v>
      </c>
      <c r="E23" s="18" t="n">
        <v>28.02459865</v>
      </c>
      <c r="F23" s="20" t="n">
        <v>1.49898725</v>
      </c>
      <c r="G23" s="18" t="n">
        <v>57.28254852</v>
      </c>
      <c r="H23" s="20" t="n">
        <v>1.6906909</v>
      </c>
      <c r="I23" s="18" t="n">
        <v>0</v>
      </c>
      <c r="J23" s="20" t="n">
        <v>0</v>
      </c>
      <c r="K23" s="18" t="n">
        <v>1.58627418</v>
      </c>
      <c r="L23" s="20" t="n">
        <v>0.48962345</v>
      </c>
      <c r="M23" s="18" t="n">
        <v>0.34209177</v>
      </c>
      <c r="N23" s="20" t="n">
        <v>0.18404627</v>
      </c>
      <c r="O23" s="18" t="n">
        <v>0</v>
      </c>
      <c r="P23" s="20" t="n">
        <v>0</v>
      </c>
      <c r="Q23" s="18" t="n">
        <v>12.76448689</v>
      </c>
      <c r="R23" s="20" t="n">
        <v>1.31168949</v>
      </c>
    </row>
    <row r="24" spans="1:18">
      <c r="A24" s="15" t="s">
        <v>446</v>
      </c>
      <c r="B24" s="17" t="n">
        <v>6647</v>
      </c>
      <c r="C24" s="18">
        <f>(5913.0/B24*100)</f>
        <v/>
      </c>
      <c r="D24" s="19" t="n">
        <v>734</v>
      </c>
      <c r="E24" s="18" t="n">
        <v>12.9202748</v>
      </c>
      <c r="F24" s="20" t="n">
        <v>1.33146928</v>
      </c>
      <c r="G24" s="18" t="n">
        <v>80.30153018</v>
      </c>
      <c r="H24" s="20" t="n">
        <v>1.76632273</v>
      </c>
      <c r="I24" s="18" t="n">
        <v>0</v>
      </c>
      <c r="J24" s="20" t="n">
        <v>0</v>
      </c>
      <c r="K24" s="18" t="n">
        <v>1.45871951</v>
      </c>
      <c r="L24" s="20" t="n">
        <v>0.44774226</v>
      </c>
      <c r="M24" s="18" t="n">
        <v>0</v>
      </c>
      <c r="N24" s="20" t="n">
        <v>0</v>
      </c>
      <c r="O24" s="18" t="n">
        <v>0</v>
      </c>
      <c r="P24" s="20" t="n">
        <v>0</v>
      </c>
      <c r="Q24" s="18" t="n">
        <v>5.31947551</v>
      </c>
      <c r="R24" s="20" t="n">
        <v>0.8544097899999999</v>
      </c>
    </row>
    <row r="25" spans="1:18">
      <c r="A25" s="15" t="s">
        <v>447</v>
      </c>
      <c r="B25" s="17" t="n">
        <v>5581</v>
      </c>
      <c r="C25" s="18">
        <f>(4891.0/B25*100)</f>
        <v/>
      </c>
      <c r="D25" s="19" t="n">
        <v>690</v>
      </c>
      <c r="E25" s="18" t="n">
        <v>7.65212103</v>
      </c>
      <c r="F25" s="20" t="n">
        <v>1.13260342</v>
      </c>
      <c r="G25" s="18" t="n">
        <v>87.48189748</v>
      </c>
      <c r="H25" s="20" t="n">
        <v>1.3532017</v>
      </c>
      <c r="I25" s="18" t="n">
        <v>0</v>
      </c>
      <c r="J25" s="20" t="n">
        <v>0</v>
      </c>
      <c r="K25" s="18" t="n">
        <v>0.9451283</v>
      </c>
      <c r="L25" s="20" t="n">
        <v>0.37171061</v>
      </c>
      <c r="M25" s="18" t="n">
        <v>0</v>
      </c>
      <c r="N25" s="20" t="n">
        <v>0</v>
      </c>
      <c r="O25" s="18" t="n">
        <v>0</v>
      </c>
      <c r="P25" s="20" t="n">
        <v>0</v>
      </c>
      <c r="Q25" s="18" t="n">
        <v>3.92085319</v>
      </c>
      <c r="R25" s="20" t="n">
        <v>0.81527752</v>
      </c>
    </row>
    <row r="26" spans="1:18">
      <c r="A26" s="15" t="s">
        <v>448</v>
      </c>
      <c r="B26" s="17" t="n">
        <v>4869</v>
      </c>
      <c r="C26" s="18">
        <f>(4275.0/B26*100)</f>
        <v/>
      </c>
      <c r="D26" s="19" t="n">
        <v>594</v>
      </c>
      <c r="E26" s="18" t="n">
        <v>32.85702164</v>
      </c>
      <c r="F26" s="20" t="n">
        <v>1.94679848</v>
      </c>
      <c r="G26" s="18" t="n">
        <v>63.06477157</v>
      </c>
      <c r="H26" s="20" t="n">
        <v>2.12471948</v>
      </c>
      <c r="I26" s="18" t="n">
        <v>0</v>
      </c>
      <c r="J26" s="20" t="n">
        <v>0</v>
      </c>
      <c r="K26" s="18" t="n">
        <v>0.27381385</v>
      </c>
      <c r="L26" s="20" t="n">
        <v>0.19552997</v>
      </c>
      <c r="M26" s="18" t="n">
        <v>0.11655914</v>
      </c>
      <c r="N26" s="20" t="n">
        <v>0.11680838</v>
      </c>
      <c r="O26" s="18" t="n">
        <v>0</v>
      </c>
      <c r="P26" s="20" t="n">
        <v>0</v>
      </c>
      <c r="Q26" s="18" t="n">
        <v>3.6878338</v>
      </c>
      <c r="R26" s="20" t="n">
        <v>0.87206616</v>
      </c>
    </row>
    <row r="27" spans="1:18">
      <c r="A27" s="15" t="s">
        <v>449</v>
      </c>
      <c r="B27" s="17" t="n">
        <v>5299</v>
      </c>
      <c r="C27" s="18">
        <f>(4671.0/B27*100)</f>
        <v/>
      </c>
      <c r="D27" s="19" t="n">
        <v>628</v>
      </c>
      <c r="E27" s="18" t="n">
        <v>25.86963111</v>
      </c>
      <c r="F27" s="20" t="n">
        <v>1.78380031</v>
      </c>
      <c r="G27" s="18" t="n">
        <v>62.26931479</v>
      </c>
      <c r="H27" s="20" t="n">
        <v>1.88158773</v>
      </c>
      <c r="I27" s="18" t="n">
        <v>0</v>
      </c>
      <c r="J27" s="20" t="n">
        <v>0</v>
      </c>
      <c r="K27" s="18" t="n">
        <v>2.32033209</v>
      </c>
      <c r="L27" s="20" t="n">
        <v>0.68899865</v>
      </c>
      <c r="M27" s="18" t="n">
        <v>0</v>
      </c>
      <c r="N27" s="20" t="n">
        <v>0</v>
      </c>
      <c r="O27" s="18" t="n">
        <v>0</v>
      </c>
      <c r="P27" s="20" t="n">
        <v>0</v>
      </c>
      <c r="Q27" s="18" t="n">
        <v>9.54072202</v>
      </c>
      <c r="R27" s="20" t="n">
        <v>1.06551759</v>
      </c>
    </row>
    <row r="28" spans="1:18">
      <c r="A28" s="15" t="s">
        <v>450</v>
      </c>
      <c r="B28" s="17" t="n">
        <v>7568</v>
      </c>
      <c r="C28" s="18">
        <f>(6750.0/B28*100)</f>
        <v/>
      </c>
      <c r="D28" s="19" t="n">
        <v>818</v>
      </c>
      <c r="E28" s="18" t="n">
        <v>46.76187415</v>
      </c>
      <c r="F28" s="20" t="n">
        <v>1.67829062</v>
      </c>
      <c r="G28" s="18" t="n">
        <v>48.71318897</v>
      </c>
      <c r="H28" s="20" t="n">
        <v>1.71701162</v>
      </c>
      <c r="I28" s="18" t="n">
        <v>0</v>
      </c>
      <c r="J28" s="20" t="n">
        <v>0</v>
      </c>
      <c r="K28" s="18" t="n">
        <v>1.25772145</v>
      </c>
      <c r="L28" s="20" t="n">
        <v>0.4370868</v>
      </c>
      <c r="M28" s="18" t="n">
        <v>0.10044589</v>
      </c>
      <c r="N28" s="20" t="n">
        <v>0.10004234</v>
      </c>
      <c r="O28" s="18" t="n">
        <v>0</v>
      </c>
      <c r="P28" s="20" t="n">
        <v>0</v>
      </c>
      <c r="Q28" s="18" t="n">
        <v>3.16676954</v>
      </c>
      <c r="R28" s="20" t="n">
        <v>0.59035677</v>
      </c>
    </row>
    <row r="29" spans="1:18">
      <c r="A29" s="15" t="s">
        <v>451</v>
      </c>
      <c r="B29" s="17" t="n">
        <v>5385</v>
      </c>
      <c r="C29" s="18">
        <f>(4748.0/B29*100)</f>
        <v/>
      </c>
      <c r="D29" s="19" t="n">
        <v>637</v>
      </c>
      <c r="E29" s="18" t="n">
        <v>23.20651947</v>
      </c>
      <c r="F29" s="20" t="n">
        <v>1.52855078</v>
      </c>
      <c r="G29" s="18" t="n">
        <v>75.30419006</v>
      </c>
      <c r="H29" s="20" t="n">
        <v>1.60683339</v>
      </c>
      <c r="I29" s="18" t="n">
        <v>0</v>
      </c>
      <c r="J29" s="20" t="n">
        <v>0</v>
      </c>
      <c r="K29" s="18" t="n">
        <v>0.4443607</v>
      </c>
      <c r="L29" s="20" t="n">
        <v>0.26611328</v>
      </c>
      <c r="M29" s="18" t="n">
        <v>0</v>
      </c>
      <c r="N29" s="20" t="n">
        <v>0</v>
      </c>
      <c r="O29" s="18" t="n">
        <v>0</v>
      </c>
      <c r="P29" s="20" t="n">
        <v>0</v>
      </c>
      <c r="Q29" s="18" t="n">
        <v>1.04492977</v>
      </c>
      <c r="R29" s="20" t="n">
        <v>0.34971963</v>
      </c>
    </row>
    <row r="30" spans="1:18">
      <c r="A30" s="15" t="s">
        <v>452</v>
      </c>
      <c r="B30" s="17" t="n">
        <v>4520</v>
      </c>
      <c r="C30" s="18">
        <f>(4015.0/B30*100)</f>
        <v/>
      </c>
      <c r="D30" s="19" t="n">
        <v>505</v>
      </c>
      <c r="E30" s="18" t="n">
        <v>23.1189675</v>
      </c>
      <c r="F30" s="20" t="n">
        <v>1.99975834</v>
      </c>
      <c r="G30" s="18" t="n">
        <v>68.87369031999999</v>
      </c>
      <c r="H30" s="20" t="n">
        <v>2.00891339</v>
      </c>
      <c r="I30" s="18" t="n">
        <v>0</v>
      </c>
      <c r="J30" s="20" t="n">
        <v>0</v>
      </c>
      <c r="K30" s="18" t="n">
        <v>1.120764</v>
      </c>
      <c r="L30" s="20" t="n">
        <v>0.46456087</v>
      </c>
      <c r="M30" s="18" t="n">
        <v>0</v>
      </c>
      <c r="N30" s="20" t="n">
        <v>0</v>
      </c>
      <c r="O30" s="18" t="n">
        <v>0</v>
      </c>
      <c r="P30" s="20" t="n">
        <v>0</v>
      </c>
      <c r="Q30" s="18" t="n">
        <v>6.88657818</v>
      </c>
      <c r="R30" s="20" t="n">
        <v>1.20184747</v>
      </c>
    </row>
    <row r="31" spans="1:18">
      <c r="A31" s="15" t="s">
        <v>453</v>
      </c>
      <c r="B31" s="17" t="n">
        <v>5456</v>
      </c>
      <c r="C31" s="18">
        <f>(4808.0/B31*100)</f>
        <v/>
      </c>
      <c r="D31" s="19" t="n">
        <v>648</v>
      </c>
      <c r="E31" s="18" t="n">
        <v>20.90397858</v>
      </c>
      <c r="F31" s="20" t="n">
        <v>1.49842802</v>
      </c>
      <c r="G31" s="18" t="n">
        <v>71.07724949</v>
      </c>
      <c r="H31" s="20" t="n">
        <v>1.62505953</v>
      </c>
      <c r="I31" s="18" t="n">
        <v>0</v>
      </c>
      <c r="J31" s="20" t="n">
        <v>0</v>
      </c>
      <c r="K31" s="18" t="n">
        <v>2.64694513</v>
      </c>
      <c r="L31" s="20" t="n">
        <v>0.64228445</v>
      </c>
      <c r="M31" s="18" t="n">
        <v>0</v>
      </c>
      <c r="N31" s="20" t="n">
        <v>0</v>
      </c>
      <c r="O31" s="18" t="n">
        <v>0</v>
      </c>
      <c r="P31" s="20" t="n">
        <v>0</v>
      </c>
      <c r="Q31" s="18" t="n">
        <v>5.37182681</v>
      </c>
      <c r="R31" s="20" t="n">
        <v>0.9180706</v>
      </c>
    </row>
    <row r="32" spans="1:18">
      <c r="A32" s="15" t="s">
        <v>454</v>
      </c>
      <c r="B32" s="17" t="n">
        <v>4478</v>
      </c>
      <c r="C32" s="18">
        <f>(3744.0/B32*100)</f>
        <v/>
      </c>
      <c r="D32" s="19" t="n">
        <v>734</v>
      </c>
      <c r="E32" s="18" t="n">
        <v>26.87984418</v>
      </c>
      <c r="F32" s="20" t="n">
        <v>1.4482414</v>
      </c>
      <c r="G32" s="18" t="n">
        <v>66.01457455000001</v>
      </c>
      <c r="H32" s="20" t="n">
        <v>1.55209905</v>
      </c>
      <c r="I32" s="18" t="n">
        <v>0</v>
      </c>
      <c r="J32" s="20" t="n">
        <v>0</v>
      </c>
      <c r="K32" s="18" t="n">
        <v>0.76249826</v>
      </c>
      <c r="L32" s="20" t="n">
        <v>0.29770885</v>
      </c>
      <c r="M32" s="18" t="n">
        <v>0.12821801</v>
      </c>
      <c r="N32" s="20" t="n">
        <v>0.12804331</v>
      </c>
      <c r="O32" s="18" t="n">
        <v>0</v>
      </c>
      <c r="P32" s="20" t="n">
        <v>0</v>
      </c>
      <c r="Q32" s="18" t="n">
        <v>6.214865</v>
      </c>
      <c r="R32" s="20" t="n">
        <v>0.90807254</v>
      </c>
    </row>
    <row r="33" spans="1:18">
      <c r="A33" s="15" t="s">
        <v>455</v>
      </c>
      <c r="B33" s="17" t="n">
        <v>7325</v>
      </c>
      <c r="C33" s="18">
        <f>(6499.0/B33*100)</f>
        <v/>
      </c>
      <c r="D33" s="19" t="n">
        <v>826</v>
      </c>
      <c r="E33" s="18" t="n">
        <v>25.57470596</v>
      </c>
      <c r="F33" s="20" t="n">
        <v>1.63746991</v>
      </c>
      <c r="G33" s="18" t="n">
        <v>64.36879991000001</v>
      </c>
      <c r="H33" s="20" t="n">
        <v>1.73383413</v>
      </c>
      <c r="I33" s="18" t="n">
        <v>0</v>
      </c>
      <c r="J33" s="20" t="n">
        <v>0</v>
      </c>
      <c r="K33" s="18" t="n">
        <v>0.51145426</v>
      </c>
      <c r="L33" s="20" t="n">
        <v>0.24468425</v>
      </c>
      <c r="M33" s="18" t="n">
        <v>0</v>
      </c>
      <c r="N33" s="20" t="n">
        <v>0</v>
      </c>
      <c r="O33" s="18" t="n">
        <v>0</v>
      </c>
      <c r="P33" s="20" t="n">
        <v>0</v>
      </c>
      <c r="Q33" s="18" t="n">
        <v>9.54503987</v>
      </c>
      <c r="R33" s="20" t="n">
        <v>1.21411923</v>
      </c>
    </row>
    <row r="34" spans="1:18">
      <c r="A34" s="15" t="s">
        <v>456</v>
      </c>
      <c r="B34" s="17" t="n">
        <v>6350</v>
      </c>
      <c r="C34" s="18">
        <f>(5623.0/B34*100)</f>
        <v/>
      </c>
      <c r="D34" s="19" t="n">
        <v>727</v>
      </c>
      <c r="E34" s="18" t="n">
        <v>29.34543263</v>
      </c>
      <c r="F34" s="20" t="n">
        <v>1.73514806</v>
      </c>
      <c r="G34" s="18" t="n">
        <v>58.75370364</v>
      </c>
      <c r="H34" s="20" t="n">
        <v>1.69694017</v>
      </c>
      <c r="I34" s="18" t="n">
        <v>0</v>
      </c>
      <c r="J34" s="20" t="n">
        <v>0</v>
      </c>
      <c r="K34" s="18" t="n">
        <v>0.6524516299999999</v>
      </c>
      <c r="L34" s="20" t="n">
        <v>0.34476615</v>
      </c>
      <c r="M34" s="18" t="n">
        <v>0</v>
      </c>
      <c r="N34" s="20" t="n">
        <v>0</v>
      </c>
      <c r="O34" s="18" t="n">
        <v>0</v>
      </c>
      <c r="P34" s="20" t="n">
        <v>0</v>
      </c>
      <c r="Q34" s="18" t="n">
        <v>11.24841211</v>
      </c>
      <c r="R34" s="20" t="n">
        <v>1.1412556</v>
      </c>
    </row>
    <row r="35" spans="1:18">
      <c r="A35" s="15" t="s">
        <v>457</v>
      </c>
      <c r="B35" s="17" t="n">
        <v>6406</v>
      </c>
      <c r="C35" s="18">
        <f>(5647.0/B35*100)</f>
        <v/>
      </c>
      <c r="D35" s="19" t="n">
        <v>759</v>
      </c>
      <c r="E35" s="18" t="n">
        <v>29.26071667</v>
      </c>
      <c r="F35" s="20" t="n">
        <v>2.11597942</v>
      </c>
      <c r="G35" s="18" t="n">
        <v>64.82310336</v>
      </c>
      <c r="H35" s="20" t="n">
        <v>2.15373548</v>
      </c>
      <c r="I35" s="18" t="n">
        <v>0</v>
      </c>
      <c r="J35" s="20" t="n">
        <v>0</v>
      </c>
      <c r="K35" s="18" t="n">
        <v>0.5242096000000001</v>
      </c>
      <c r="L35" s="20" t="n">
        <v>0.1974658</v>
      </c>
      <c r="M35" s="18" t="n">
        <v>0.2287293</v>
      </c>
      <c r="N35" s="20" t="n">
        <v>0.22771874</v>
      </c>
      <c r="O35" s="18" t="n">
        <v>0</v>
      </c>
      <c r="P35" s="20" t="n">
        <v>0</v>
      </c>
      <c r="Q35" s="18" t="n">
        <v>5.16324108</v>
      </c>
      <c r="R35" s="20" t="n">
        <v>1.02487387</v>
      </c>
    </row>
    <row r="36" spans="1:18">
      <c r="A36" s="15" t="s">
        <v>458</v>
      </c>
      <c r="B36" s="17" t="n">
        <v>6736</v>
      </c>
      <c r="C36" s="18">
        <f>(5952.0/B36*100)</f>
        <v/>
      </c>
      <c r="D36" s="19" t="n">
        <v>784</v>
      </c>
      <c r="E36" s="18" t="n">
        <v>32.54130333</v>
      </c>
      <c r="F36" s="20" t="n">
        <v>1.8674719</v>
      </c>
      <c r="G36" s="18" t="n">
        <v>59.28568997</v>
      </c>
      <c r="H36" s="20" t="n">
        <v>1.90535573</v>
      </c>
      <c r="I36" s="18" t="n">
        <v>0</v>
      </c>
      <c r="J36" s="20" t="n">
        <v>0</v>
      </c>
      <c r="K36" s="18" t="n">
        <v>1.41551193</v>
      </c>
      <c r="L36" s="20" t="n">
        <v>0.41050946</v>
      </c>
      <c r="M36" s="18" t="n">
        <v>0</v>
      </c>
      <c r="N36" s="20" t="n">
        <v>0</v>
      </c>
      <c r="O36" s="18" t="n">
        <v>0</v>
      </c>
      <c r="P36" s="20" t="n">
        <v>0</v>
      </c>
      <c r="Q36" s="18" t="n">
        <v>6.75749477</v>
      </c>
      <c r="R36" s="20" t="n">
        <v>1.04358809</v>
      </c>
    </row>
    <row r="37" spans="1:18">
      <c r="A37" s="15" t="s">
        <v>459</v>
      </c>
      <c r="B37" s="17" t="n">
        <v>5458</v>
      </c>
      <c r="C37" s="18">
        <f>(4799.0/B37*100)</f>
        <v/>
      </c>
      <c r="D37" s="19" t="n">
        <v>659</v>
      </c>
      <c r="E37" s="18" t="n">
        <v>23.71529191</v>
      </c>
      <c r="F37" s="20" t="n">
        <v>1.85156817</v>
      </c>
      <c r="G37" s="18" t="n">
        <v>64.18829531</v>
      </c>
      <c r="H37" s="20" t="n">
        <v>1.91221876</v>
      </c>
      <c r="I37" s="18" t="n">
        <v>0</v>
      </c>
      <c r="J37" s="20" t="n">
        <v>0</v>
      </c>
      <c r="K37" s="18" t="n">
        <v>4.57037481</v>
      </c>
      <c r="L37" s="20" t="n">
        <v>0.65463585</v>
      </c>
      <c r="M37" s="18" t="n">
        <v>0</v>
      </c>
      <c r="N37" s="20" t="n">
        <v>0</v>
      </c>
      <c r="O37" s="18" t="n">
        <v>0</v>
      </c>
      <c r="P37" s="20" t="n">
        <v>0</v>
      </c>
      <c r="Q37" s="18" t="n">
        <v>7.52603798</v>
      </c>
      <c r="R37" s="20" t="n">
        <v>1.0396407</v>
      </c>
    </row>
    <row r="38" spans="1:18">
      <c r="A38" s="15" t="s">
        <v>460</v>
      </c>
      <c r="B38" s="17" t="n">
        <v>5860</v>
      </c>
      <c r="C38" s="18">
        <f>(4889.0/B38*100)</f>
        <v/>
      </c>
      <c r="D38" s="19" t="n">
        <v>971</v>
      </c>
      <c r="E38" s="18" t="n">
        <v>28.95023185</v>
      </c>
      <c r="F38" s="20" t="n">
        <v>1.58348007</v>
      </c>
      <c r="G38" s="18" t="n">
        <v>62.99968354</v>
      </c>
      <c r="H38" s="20" t="n">
        <v>1.51304513</v>
      </c>
      <c r="I38" s="18" t="n">
        <v>0</v>
      </c>
      <c r="J38" s="20" t="n">
        <v>0</v>
      </c>
      <c r="K38" s="18" t="n">
        <v>2.1098771</v>
      </c>
      <c r="L38" s="20" t="n">
        <v>0.58365996</v>
      </c>
      <c r="M38" s="18" t="n">
        <v>0</v>
      </c>
      <c r="N38" s="20" t="n">
        <v>0</v>
      </c>
      <c r="O38" s="18" t="n">
        <v>0</v>
      </c>
      <c r="P38" s="20" t="n">
        <v>0</v>
      </c>
      <c r="Q38" s="18" t="n">
        <v>5.94020751</v>
      </c>
      <c r="R38" s="20" t="n">
        <v>0.8850556000000001</v>
      </c>
    </row>
    <row r="39" spans="1:18">
      <c r="A39" s="15" t="s">
        <v>461</v>
      </c>
      <c r="B39" s="17" t="n">
        <v>5895</v>
      </c>
      <c r="C39" s="18">
        <f>(5175.0/B39*100)</f>
        <v/>
      </c>
      <c r="D39" s="19" t="n">
        <v>720</v>
      </c>
      <c r="E39" s="18" t="n">
        <v>43.1675013</v>
      </c>
      <c r="F39" s="20" t="n">
        <v>2.18869391</v>
      </c>
      <c r="G39" s="18" t="n">
        <v>42.78098246</v>
      </c>
      <c r="H39" s="20" t="n">
        <v>2.43398673</v>
      </c>
      <c r="I39" s="18" t="n">
        <v>0</v>
      </c>
      <c r="J39" s="20" t="n">
        <v>0</v>
      </c>
      <c r="K39" s="18" t="n">
        <v>0.92312275</v>
      </c>
      <c r="L39" s="20" t="n">
        <v>0.2912246</v>
      </c>
      <c r="M39" s="18" t="n">
        <v>0.06182573</v>
      </c>
      <c r="N39" s="20" t="n">
        <v>0.04423659</v>
      </c>
      <c r="O39" s="18" t="n">
        <v>0</v>
      </c>
      <c r="P39" s="20" t="n">
        <v>0</v>
      </c>
      <c r="Q39" s="18" t="n">
        <v>13.06656777</v>
      </c>
      <c r="R39" s="20" t="n">
        <v>1.36781642</v>
      </c>
    </row>
    <row r="40" spans="1:18">
      <c r="A40" s="15" t="s">
        <v>462</v>
      </c>
      <c r="B40" s="17" t="n">
        <v>14157</v>
      </c>
      <c r="C40" s="18">
        <f>(12458.0/B40*100)</f>
        <v/>
      </c>
      <c r="D40" s="19" t="n">
        <v>1699</v>
      </c>
      <c r="E40" s="18" t="n">
        <v>25.71662962</v>
      </c>
      <c r="F40" s="20" t="n">
        <v>1.6025549</v>
      </c>
      <c r="G40" s="18" t="n">
        <v>67.10864263000001</v>
      </c>
      <c r="H40" s="20" t="n">
        <v>1.61045903</v>
      </c>
      <c r="I40" s="18" t="n">
        <v>0</v>
      </c>
      <c r="J40" s="20" t="n">
        <v>0</v>
      </c>
      <c r="K40" s="18" t="n">
        <v>0.83096542</v>
      </c>
      <c r="L40" s="20" t="n">
        <v>0.31625455</v>
      </c>
      <c r="M40" s="18" t="n">
        <v>0.29411499</v>
      </c>
      <c r="N40" s="20" t="n">
        <v>0.2239628</v>
      </c>
      <c r="O40" s="18" t="n">
        <v>0</v>
      </c>
      <c r="P40" s="20" t="n">
        <v>0</v>
      </c>
      <c r="Q40" s="18" t="n">
        <v>6.04964733</v>
      </c>
      <c r="R40" s="20" t="n">
        <v>0.77546824</v>
      </c>
    </row>
    <row r="41" spans="1:18">
      <c r="A41" s="15" t="s">
        <v>463</v>
      </c>
      <c r="B41" s="17" t="n">
        <v>5712</v>
      </c>
      <c r="C41" s="18">
        <f>(5027.0/B41*100)</f>
        <v/>
      </c>
      <c r="D41" s="19" t="n">
        <v>685</v>
      </c>
      <c r="E41" s="18" t="n">
        <v>30.44518936</v>
      </c>
      <c r="F41" s="20" t="n">
        <v>1.79450358</v>
      </c>
      <c r="G41" s="18" t="n">
        <v>65.62887195</v>
      </c>
      <c r="H41" s="20" t="n">
        <v>1.92689034</v>
      </c>
      <c r="I41" s="18" t="n">
        <v>0</v>
      </c>
      <c r="J41" s="20" t="n">
        <v>0</v>
      </c>
      <c r="K41" s="18" t="n">
        <v>1.4114773</v>
      </c>
      <c r="L41" s="20" t="n">
        <v>0.43031312</v>
      </c>
      <c r="M41" s="18" t="n">
        <v>0</v>
      </c>
      <c r="N41" s="20" t="n">
        <v>0</v>
      </c>
      <c r="O41" s="18" t="n">
        <v>0</v>
      </c>
      <c r="P41" s="20" t="n">
        <v>0</v>
      </c>
      <c r="Q41" s="18" t="n">
        <v>2.51446139</v>
      </c>
      <c r="R41" s="20" t="n">
        <v>0.59244167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(21087.0/B46*100)</f>
        <v/>
      </c>
      <c r="D46" s="19" t="n">
        <v>2054</v>
      </c>
      <c r="E46" s="18" t="n">
        <v>30.62424698</v>
      </c>
      <c r="F46" s="20" t="n">
        <v>1.36983242</v>
      </c>
      <c r="G46" s="18" t="n">
        <v>49.93888189</v>
      </c>
      <c r="H46" s="20" t="n">
        <v>1.44638322</v>
      </c>
      <c r="I46" s="18" t="n">
        <v>0</v>
      </c>
      <c r="J46" s="20" t="n">
        <v>0</v>
      </c>
      <c r="K46" s="18" t="n">
        <v>3.24074781</v>
      </c>
      <c r="L46" s="20" t="n">
        <v>0.48627237</v>
      </c>
      <c r="M46" s="18" t="n">
        <v>0.20051246</v>
      </c>
      <c r="N46" s="20" t="n">
        <v>0.10312688</v>
      </c>
      <c r="O46" s="18" t="n">
        <v>0</v>
      </c>
      <c r="P46" s="20" t="n">
        <v>0</v>
      </c>
      <c r="Q46" s="18" t="n">
        <v>15.99561086</v>
      </c>
      <c r="R46" s="20" t="n">
        <v>1.00568411</v>
      </c>
    </row>
    <row r="47" spans="1:18">
      <c r="A47" s="15" t="s">
        <v>470</v>
      </c>
      <c r="B47" s="17" t="n">
        <v>5928</v>
      </c>
      <c r="C47" s="18">
        <f>(5220.0/B47*100)</f>
        <v/>
      </c>
      <c r="D47" s="19" t="n">
        <v>708</v>
      </c>
      <c r="E47" s="18" t="n">
        <v>29.207966</v>
      </c>
      <c r="F47" s="20" t="n">
        <v>1.97328675</v>
      </c>
      <c r="G47" s="18" t="n">
        <v>49.67144815</v>
      </c>
      <c r="H47" s="20" t="n">
        <v>2.35836827</v>
      </c>
      <c r="I47" s="18" t="n">
        <v>0</v>
      </c>
      <c r="J47" s="20" t="n">
        <v>0</v>
      </c>
      <c r="K47" s="18" t="n">
        <v>1.66194634</v>
      </c>
      <c r="L47" s="20" t="n">
        <v>0.46709136</v>
      </c>
      <c r="M47" s="18" t="n">
        <v>0</v>
      </c>
      <c r="N47" s="20" t="n">
        <v>0</v>
      </c>
      <c r="O47" s="18" t="n">
        <v>0</v>
      </c>
      <c r="P47" s="20" t="n">
        <v>0</v>
      </c>
      <c r="Q47" s="18" t="n">
        <v>19.45863951</v>
      </c>
      <c r="R47" s="20" t="n">
        <v>1.77650261</v>
      </c>
    </row>
    <row r="48" spans="1:18">
      <c r="A48" s="15" t="s">
        <v>471</v>
      </c>
      <c r="B48" s="17" t="n">
        <v>9841</v>
      </c>
      <c r="C48" s="18">
        <f>(8664.0/B48*100)</f>
        <v/>
      </c>
      <c r="D48" s="19" t="n">
        <v>1177</v>
      </c>
      <c r="E48" s="18" t="n">
        <v>15.25591883</v>
      </c>
      <c r="F48" s="20" t="n">
        <v>1.50081967</v>
      </c>
      <c r="G48" s="18" t="n">
        <v>76.02317561</v>
      </c>
      <c r="H48" s="20" t="n">
        <v>1.89519701</v>
      </c>
      <c r="I48" s="18" t="n">
        <v>0</v>
      </c>
      <c r="J48" s="20" t="n">
        <v>0</v>
      </c>
      <c r="K48" s="18" t="n">
        <v>2.22787885</v>
      </c>
      <c r="L48" s="20" t="n">
        <v>0.72600549</v>
      </c>
      <c r="M48" s="18" t="n">
        <v>0</v>
      </c>
      <c r="N48" s="20" t="n">
        <v>0</v>
      </c>
      <c r="O48" s="18" t="n">
        <v>0</v>
      </c>
      <c r="P48" s="20" t="n">
        <v>0</v>
      </c>
      <c r="Q48" s="18" t="n">
        <v>6.49302671</v>
      </c>
      <c r="R48" s="20" t="n">
        <v>1.02166748</v>
      </c>
    </row>
    <row r="49" spans="1:18">
      <c r="A49" s="15" t="s">
        <v>472</v>
      </c>
      <c r="B49" s="17" t="n">
        <v>11795</v>
      </c>
      <c r="C49" s="18">
        <f>(10430.0/B49*100)</f>
        <v/>
      </c>
      <c r="D49" s="19" t="n">
        <v>1365</v>
      </c>
      <c r="E49" s="18" t="n">
        <v>45.27550492</v>
      </c>
      <c r="F49" s="20" t="n">
        <v>1.99080251</v>
      </c>
      <c r="G49" s="18" t="n">
        <v>44.33347929</v>
      </c>
      <c r="H49" s="20" t="n">
        <v>2.00560104</v>
      </c>
      <c r="I49" s="18" t="n">
        <v>0</v>
      </c>
      <c r="J49" s="20" t="n">
        <v>0</v>
      </c>
      <c r="K49" s="18" t="n">
        <v>3.75415849</v>
      </c>
      <c r="L49" s="20" t="n">
        <v>0.72765708</v>
      </c>
      <c r="M49" s="18" t="n">
        <v>0.07619565</v>
      </c>
      <c r="N49" s="20" t="n">
        <v>0.05367766</v>
      </c>
      <c r="O49" s="18" t="n">
        <v>0</v>
      </c>
      <c r="P49" s="20" t="n">
        <v>0</v>
      </c>
      <c r="Q49" s="18" t="n">
        <v>6.56066164</v>
      </c>
      <c r="R49" s="20" t="n">
        <v>1.04750756</v>
      </c>
    </row>
    <row r="50" spans="1:18">
      <c r="A50" s="15" t="s">
        <v>473</v>
      </c>
      <c r="B50" s="17" t="n">
        <v>6866</v>
      </c>
      <c r="C50" s="18">
        <f>(6174.0/B50*100)</f>
        <v/>
      </c>
      <c r="D50" s="19" t="n">
        <v>692</v>
      </c>
      <c r="E50" s="18" t="n">
        <v>40.8479651</v>
      </c>
      <c r="F50" s="20" t="n">
        <v>2.15236609</v>
      </c>
      <c r="G50" s="18" t="n">
        <v>50.75844543</v>
      </c>
      <c r="H50" s="20" t="n">
        <v>2.26900239</v>
      </c>
      <c r="I50" s="18" t="n">
        <v>0</v>
      </c>
      <c r="J50" s="20" t="n">
        <v>0</v>
      </c>
      <c r="K50" s="18" t="n">
        <v>2.22085038</v>
      </c>
      <c r="L50" s="20" t="n">
        <v>0.60287195</v>
      </c>
      <c r="M50" s="18" t="n">
        <v>0</v>
      </c>
      <c r="N50" s="20" t="n">
        <v>0</v>
      </c>
      <c r="O50" s="18" t="n">
        <v>0</v>
      </c>
      <c r="P50" s="20" t="n">
        <v>0</v>
      </c>
      <c r="Q50" s="18" t="n">
        <v>6.17273908</v>
      </c>
      <c r="R50" s="20" t="n">
        <v>0.99371542</v>
      </c>
    </row>
    <row r="51" spans="1:18">
      <c r="A51" s="15" t="s">
        <v>474</v>
      </c>
      <c r="B51" s="17" t="n">
        <v>5809</v>
      </c>
      <c r="C51" s="18">
        <f>(5114.0/B51*100)</f>
        <v/>
      </c>
      <c r="D51" s="19" t="n">
        <v>695</v>
      </c>
      <c r="E51" s="18" t="n">
        <v>27.68266502</v>
      </c>
      <c r="F51" s="20" t="n">
        <v>1.68762935</v>
      </c>
      <c r="G51" s="18" t="n">
        <v>62.85806596</v>
      </c>
      <c r="H51" s="20" t="n">
        <v>1.74948362</v>
      </c>
      <c r="I51" s="18" t="n">
        <v>0</v>
      </c>
      <c r="J51" s="20" t="n">
        <v>0</v>
      </c>
      <c r="K51" s="18" t="n">
        <v>0.97315683</v>
      </c>
      <c r="L51" s="20" t="n">
        <v>0.49944365</v>
      </c>
      <c r="M51" s="18" t="n">
        <v>0</v>
      </c>
      <c r="N51" s="20" t="n">
        <v>0</v>
      </c>
      <c r="O51" s="18" t="n">
        <v>0</v>
      </c>
      <c r="P51" s="20" t="n">
        <v>0</v>
      </c>
      <c r="Q51" s="18" t="n">
        <v>8.48611219</v>
      </c>
      <c r="R51" s="20" t="n">
        <v>0.87610537</v>
      </c>
    </row>
    <row r="52" spans="1:18">
      <c r="A52" s="15" t="s">
        <v>475</v>
      </c>
      <c r="B52" s="17" t="n">
        <v>5571</v>
      </c>
      <c r="C52" s="18">
        <f>(4921.0/B52*100)</f>
        <v/>
      </c>
      <c r="D52" s="19" t="n">
        <v>650</v>
      </c>
      <c r="E52" s="18" t="n">
        <v>23.48407328</v>
      </c>
      <c r="F52" s="20" t="n">
        <v>1.73757656</v>
      </c>
      <c r="G52" s="18" t="n">
        <v>54.30527948</v>
      </c>
      <c r="H52" s="20" t="n">
        <v>1.99579859</v>
      </c>
      <c r="I52" s="18" t="n">
        <v>0</v>
      </c>
      <c r="J52" s="20" t="n">
        <v>0</v>
      </c>
      <c r="K52" s="18" t="n">
        <v>2.71395273</v>
      </c>
      <c r="L52" s="20" t="n">
        <v>0.56632636</v>
      </c>
      <c r="M52" s="18" t="n">
        <v>0</v>
      </c>
      <c r="N52" s="20" t="n">
        <v>0</v>
      </c>
      <c r="O52" s="18" t="n">
        <v>0</v>
      </c>
      <c r="P52" s="20" t="n">
        <v>0</v>
      </c>
      <c r="Q52" s="18" t="n">
        <v>19.49669451</v>
      </c>
      <c r="R52" s="20" t="n">
        <v>1.61726416</v>
      </c>
    </row>
    <row r="53" spans="1:18">
      <c r="A53" s="15" t="s">
        <v>476</v>
      </c>
      <c r="B53" s="17" t="n">
        <v>4740</v>
      </c>
      <c r="C53" s="18">
        <f>(3980.0/B53*100)</f>
        <v/>
      </c>
      <c r="D53" s="19" t="n">
        <v>760</v>
      </c>
      <c r="E53" s="18" t="n">
        <v>40.04951103</v>
      </c>
      <c r="F53" s="20" t="n">
        <v>1.76343601</v>
      </c>
      <c r="G53" s="18" t="n">
        <v>24.99113116</v>
      </c>
      <c r="H53" s="20" t="n">
        <v>1.84545205</v>
      </c>
      <c r="I53" s="18" t="n">
        <v>0</v>
      </c>
      <c r="J53" s="20" t="n">
        <v>0</v>
      </c>
      <c r="K53" s="18" t="n">
        <v>18.39595968</v>
      </c>
      <c r="L53" s="20" t="n">
        <v>1.36439493</v>
      </c>
      <c r="M53" s="18" t="n">
        <v>1.061734</v>
      </c>
      <c r="N53" s="20" t="n">
        <v>0.8106719999999999</v>
      </c>
      <c r="O53" s="18" t="n">
        <v>0</v>
      </c>
      <c r="P53" s="20" t="n">
        <v>0</v>
      </c>
      <c r="Q53" s="18" t="n">
        <v>15.50166413</v>
      </c>
      <c r="R53" s="20" t="n">
        <v>1.54049488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(4706.0/B55*100)</f>
        <v/>
      </c>
      <c r="D55" s="19" t="n">
        <v>653</v>
      </c>
      <c r="E55" s="18" t="n">
        <v>10.37944866</v>
      </c>
      <c r="F55" s="20" t="n">
        <v>1.35868305</v>
      </c>
      <c r="G55" s="18" t="n">
        <v>86.54506175</v>
      </c>
      <c r="H55" s="20" t="n">
        <v>1.48410737</v>
      </c>
      <c r="I55" s="18" t="n">
        <v>0</v>
      </c>
      <c r="J55" s="20" t="n">
        <v>0</v>
      </c>
      <c r="K55" s="18" t="n">
        <v>1.29306328</v>
      </c>
      <c r="L55" s="20" t="n">
        <v>0.38558923</v>
      </c>
      <c r="M55" s="18" t="n">
        <v>0</v>
      </c>
      <c r="N55" s="20" t="n">
        <v>0</v>
      </c>
      <c r="O55" s="18" t="n">
        <v>0</v>
      </c>
      <c r="P55" s="20" t="n">
        <v>0</v>
      </c>
      <c r="Q55" s="18" t="n">
        <v>1.78242631</v>
      </c>
      <c r="R55" s="20" t="n">
        <v>0.48527999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(5746.0/B61*100)</f>
        <v/>
      </c>
      <c r="D61" s="19" t="n">
        <v>779</v>
      </c>
      <c r="E61" s="18" t="n">
        <v>29.73506387</v>
      </c>
      <c r="F61" s="20" t="n">
        <v>1.61824482</v>
      </c>
      <c r="G61" s="18" t="n">
        <v>62.01310426</v>
      </c>
      <c r="H61" s="20" t="n">
        <v>1.97720359</v>
      </c>
      <c r="I61" s="18" t="n">
        <v>0</v>
      </c>
      <c r="J61" s="20" t="n">
        <v>0</v>
      </c>
      <c r="K61" s="18" t="n">
        <v>1.25068102</v>
      </c>
      <c r="L61" s="20" t="n">
        <v>0.45865224</v>
      </c>
      <c r="M61" s="18" t="n">
        <v>0</v>
      </c>
      <c r="N61" s="20" t="n">
        <v>0</v>
      </c>
      <c r="O61" s="18" t="n">
        <v>0</v>
      </c>
      <c r="P61" s="20" t="n">
        <v>0</v>
      </c>
      <c r="Q61" s="18" t="n">
        <v>7.00115085</v>
      </c>
      <c r="R61" s="20" t="n">
        <v>1.05141967</v>
      </c>
    </row>
    <row r="62" spans="1:18">
      <c r="A62" s="15" t="s">
        <v>486</v>
      </c>
      <c r="B62" s="17" t="n">
        <v>4476</v>
      </c>
      <c r="C62" s="18">
        <f>(3946.0/B62*100)</f>
        <v/>
      </c>
      <c r="D62" s="19" t="n">
        <v>530</v>
      </c>
      <c r="E62" s="18" t="n">
        <v>10.95825417</v>
      </c>
      <c r="F62" s="20" t="n">
        <v>1.15050827</v>
      </c>
      <c r="G62" s="18" t="n">
        <v>86.95681161</v>
      </c>
      <c r="H62" s="20" t="n">
        <v>1.28450454</v>
      </c>
      <c r="I62" s="18" t="n">
        <v>0</v>
      </c>
      <c r="J62" s="20" t="n">
        <v>0</v>
      </c>
      <c r="K62" s="18" t="n">
        <v>0.37676152</v>
      </c>
      <c r="L62" s="20" t="n">
        <v>0.26566532</v>
      </c>
      <c r="M62" s="18" t="n">
        <v>0.5641454</v>
      </c>
      <c r="N62" s="20" t="n">
        <v>0.32919907</v>
      </c>
      <c r="O62" s="18" t="n">
        <v>0</v>
      </c>
      <c r="P62" s="20" t="n">
        <v>0</v>
      </c>
      <c r="Q62" s="18" t="n">
        <v>1.1440273</v>
      </c>
      <c r="R62" s="20" t="n">
        <v>0.46779084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(5000.0/B67*100)</f>
        <v/>
      </c>
      <c r="D67" s="19" t="n">
        <v>665</v>
      </c>
      <c r="E67" s="18" t="n">
        <v>22.65841792</v>
      </c>
      <c r="F67" s="20" t="n">
        <v>1.52774229</v>
      </c>
      <c r="G67" s="18" t="n">
        <v>48.23945816</v>
      </c>
      <c r="H67" s="20" t="n">
        <v>2.14048363</v>
      </c>
      <c r="I67" s="18" t="n">
        <v>0</v>
      </c>
      <c r="J67" s="20" t="n">
        <v>0</v>
      </c>
      <c r="K67" s="18" t="n">
        <v>5.15838158</v>
      </c>
      <c r="L67" s="20" t="n">
        <v>0.9421512399999999</v>
      </c>
      <c r="M67" s="18" t="n">
        <v>0.38137123</v>
      </c>
      <c r="N67" s="20" t="n">
        <v>0.28172946</v>
      </c>
      <c r="O67" s="18" t="n">
        <v>0</v>
      </c>
      <c r="P67" s="20" t="n">
        <v>0</v>
      </c>
      <c r="Q67" s="18" t="n">
        <v>23.5623711</v>
      </c>
      <c r="R67" s="20" t="n">
        <v>1.61942966</v>
      </c>
    </row>
    <row r="68" spans="1:18">
      <c r="A68" s="15" t="s">
        <v>492</v>
      </c>
      <c r="B68" s="17" t="n">
        <v>6971</v>
      </c>
      <c r="C68" s="18">
        <f>(6305.0/B68*100)</f>
        <v/>
      </c>
      <c r="D68" s="19" t="n">
        <v>666</v>
      </c>
      <c r="E68" s="18" t="n">
        <v>45.80485634</v>
      </c>
      <c r="F68" s="20" t="n">
        <v>1.87287073</v>
      </c>
      <c r="G68" s="18" t="n">
        <v>45.6710725</v>
      </c>
      <c r="H68" s="20" t="n">
        <v>2.02980218</v>
      </c>
      <c r="I68" s="18" t="n">
        <v>0</v>
      </c>
      <c r="J68" s="20" t="n">
        <v>0</v>
      </c>
      <c r="K68" s="18" t="n">
        <v>0.8518121400000001</v>
      </c>
      <c r="L68" s="20" t="n">
        <v>0.34905368</v>
      </c>
      <c r="M68" s="18" t="n">
        <v>0</v>
      </c>
      <c r="N68" s="20" t="n">
        <v>0</v>
      </c>
      <c r="O68" s="18" t="n">
        <v>0</v>
      </c>
      <c r="P68" s="20" t="n">
        <v>0</v>
      </c>
      <c r="Q68" s="18" t="n">
        <v>7.67225902</v>
      </c>
      <c r="R68" s="20" t="n">
        <v>1.02752984</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(10080.0/B70*100)</f>
        <v/>
      </c>
      <c r="D70" s="19" t="n">
        <v>2003</v>
      </c>
      <c r="E70" s="18" t="n">
        <v>30.68289529</v>
      </c>
      <c r="F70" s="20" t="n">
        <v>0.9607597</v>
      </c>
      <c r="G70" s="18" t="n">
        <v>52.3767098</v>
      </c>
      <c r="H70" s="20" t="n">
        <v>1.08727185</v>
      </c>
      <c r="I70" s="18" t="n">
        <v>0</v>
      </c>
      <c r="J70" s="20" t="n">
        <v>0</v>
      </c>
      <c r="K70" s="18" t="n">
        <v>5.37283449</v>
      </c>
      <c r="L70" s="20" t="n">
        <v>0.5088843</v>
      </c>
      <c r="M70" s="18" t="n">
        <v>0</v>
      </c>
      <c r="N70" s="20" t="n">
        <v>0</v>
      </c>
      <c r="O70" s="18" t="n">
        <v>0</v>
      </c>
      <c r="P70" s="20" t="n">
        <v>0</v>
      </c>
      <c r="Q70" s="18" t="n">
        <v>11.56756043</v>
      </c>
      <c r="R70" s="20" t="n">
        <v>0.68465986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(5360.0/B72*100)</f>
        <v/>
      </c>
      <c r="D72" s="19" t="n">
        <v>676</v>
      </c>
      <c r="E72" s="18" t="n">
        <v>24.58197041</v>
      </c>
      <c r="F72" s="20" t="n">
        <v>1.46548521</v>
      </c>
      <c r="G72" s="18" t="n">
        <v>69.69061975</v>
      </c>
      <c r="H72" s="20" t="n">
        <v>1.67583418</v>
      </c>
      <c r="I72" s="18" t="n">
        <v>0</v>
      </c>
      <c r="J72" s="20" t="n">
        <v>0</v>
      </c>
      <c r="K72" s="18" t="n">
        <v>1.38806491</v>
      </c>
      <c r="L72" s="20" t="n">
        <v>0.51962542</v>
      </c>
      <c r="M72" s="18" t="n">
        <v>0</v>
      </c>
      <c r="N72" s="20" t="n">
        <v>0</v>
      </c>
      <c r="O72" s="18" t="n">
        <v>0</v>
      </c>
      <c r="P72" s="20" t="n">
        <v>0</v>
      </c>
      <c r="Q72" s="18" t="n">
        <v>4.33934493</v>
      </c>
      <c r="R72" s="20" t="n">
        <v>0.88157618</v>
      </c>
    </row>
    <row r="73" spans="1:18">
      <c r="A73" s="15" t="s">
        <v>497</v>
      </c>
      <c r="B73" s="17" t="n">
        <v>6115</v>
      </c>
      <c r="C73" s="18">
        <f>(5371.0/B73*100)</f>
        <v/>
      </c>
      <c r="D73" s="19" t="n">
        <v>744</v>
      </c>
      <c r="E73" s="18" t="n">
        <v>13.62749482</v>
      </c>
      <c r="F73" s="20" t="n">
        <v>1.40089493</v>
      </c>
      <c r="G73" s="18" t="n">
        <v>82.69641747999999</v>
      </c>
      <c r="H73" s="20" t="n">
        <v>1.57112157</v>
      </c>
      <c r="I73" s="18" t="n">
        <v>0</v>
      </c>
      <c r="J73" s="20" t="n">
        <v>0</v>
      </c>
      <c r="K73" s="18" t="n">
        <v>0.85946091</v>
      </c>
      <c r="L73" s="20" t="n">
        <v>0.32425087</v>
      </c>
      <c r="M73" s="18" t="n">
        <v>0</v>
      </c>
      <c r="N73" s="20" t="n">
        <v>0</v>
      </c>
      <c r="O73" s="18" t="n">
        <v>0</v>
      </c>
      <c r="P73" s="20" t="n">
        <v>0</v>
      </c>
      <c r="Q73" s="18" t="n">
        <v>2.81662679</v>
      </c>
      <c r="R73" s="20" t="n">
        <v>0.57176835</v>
      </c>
    </row>
    <row r="74" spans="1:18">
      <c r="A74" s="15" t="s">
        <v>498</v>
      </c>
      <c r="B74" s="17" t="n">
        <v>7708</v>
      </c>
      <c r="C74" s="18">
        <f>(6763.0/B74*100)</f>
        <v/>
      </c>
      <c r="D74" s="19" t="n">
        <v>945</v>
      </c>
      <c r="E74" s="18" t="n">
        <v>13.99425211</v>
      </c>
      <c r="F74" s="20" t="n">
        <v>1.08677547</v>
      </c>
      <c r="G74" s="18" t="n">
        <v>82.16662134000001</v>
      </c>
      <c r="H74" s="20" t="n">
        <v>1.21105101</v>
      </c>
      <c r="I74" s="18" t="n">
        <v>0</v>
      </c>
      <c r="J74" s="20" t="n">
        <v>0</v>
      </c>
      <c r="K74" s="18" t="n">
        <v>0.13916867</v>
      </c>
      <c r="L74" s="20" t="n">
        <v>0.09247935</v>
      </c>
      <c r="M74" s="18" t="n">
        <v>0</v>
      </c>
      <c r="N74" s="20" t="n">
        <v>0</v>
      </c>
      <c r="O74" s="18" t="n">
        <v>0</v>
      </c>
      <c r="P74" s="20" t="n">
        <v>0</v>
      </c>
      <c r="Q74" s="18" t="n">
        <v>3.69995788</v>
      </c>
      <c r="R74" s="20" t="n">
        <v>0.60660769</v>
      </c>
    </row>
    <row r="75" spans="1:18">
      <c r="A75" s="15" t="s">
        <v>499</v>
      </c>
      <c r="B75" s="17" t="n">
        <v>8249</v>
      </c>
      <c r="C75" s="18">
        <f>(7331.0/B75*100)</f>
        <v/>
      </c>
      <c r="D75" s="19" t="n">
        <v>918</v>
      </c>
      <c r="E75" s="18" t="n">
        <v>41.13265659</v>
      </c>
      <c r="F75" s="20" t="n">
        <v>1.77709468</v>
      </c>
      <c r="G75" s="18" t="n">
        <v>56.27310567</v>
      </c>
      <c r="H75" s="20" t="n">
        <v>1.91292087</v>
      </c>
      <c r="I75" s="18" t="n">
        <v>0</v>
      </c>
      <c r="J75" s="20" t="n">
        <v>0</v>
      </c>
      <c r="K75" s="18" t="n">
        <v>0.28202225</v>
      </c>
      <c r="L75" s="20" t="n">
        <v>0.22777682</v>
      </c>
      <c r="M75" s="18" t="n">
        <v>0.28719739</v>
      </c>
      <c r="N75" s="20" t="n">
        <v>0.26346539</v>
      </c>
      <c r="O75" s="18" t="n">
        <v>0</v>
      </c>
      <c r="P75" s="20" t="n">
        <v>0</v>
      </c>
      <c r="Q75" s="18" t="n">
        <v>2.0250181</v>
      </c>
      <c r="R75" s="20" t="n">
        <v>0.50780329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(4809.0/B77*100)</f>
        <v/>
      </c>
      <c r="D77" s="19" t="n">
        <v>566</v>
      </c>
      <c r="E77" s="18" t="n">
        <v>29.30709169</v>
      </c>
      <c r="F77" s="20" t="n">
        <v>1.8582283</v>
      </c>
      <c r="G77" s="18" t="n">
        <v>40.31478026</v>
      </c>
      <c r="H77" s="20" t="n">
        <v>2.63654229</v>
      </c>
      <c r="I77" s="18" t="n">
        <v>0</v>
      </c>
      <c r="J77" s="20" t="n">
        <v>0</v>
      </c>
      <c r="K77" s="18" t="n">
        <v>7.16199292</v>
      </c>
      <c r="L77" s="20" t="n">
        <v>1.20466983</v>
      </c>
      <c r="M77" s="18" t="n">
        <v>0</v>
      </c>
      <c r="N77" s="20" t="n">
        <v>0</v>
      </c>
      <c r="O77" s="18" t="n">
        <v>0</v>
      </c>
      <c r="P77" s="20" t="n">
        <v>0</v>
      </c>
      <c r="Q77" s="18" t="n">
        <v>23.21613513</v>
      </c>
      <c r="R77" s="20" t="n">
        <v>1.98550307</v>
      </c>
    </row>
    <row r="78" spans="1:18">
      <c r="A78" s="15" t="s">
        <v>502</v>
      </c>
      <c r="B78" s="17" t="n">
        <v>14167</v>
      </c>
      <c r="C78" s="18">
        <f>(12415.0/B78*100)</f>
        <v/>
      </c>
      <c r="D78" s="19" t="n">
        <v>1752</v>
      </c>
      <c r="E78" s="18" t="n">
        <v>35.68570327</v>
      </c>
      <c r="F78" s="20" t="n">
        <v>1.43888413</v>
      </c>
      <c r="G78" s="18" t="n">
        <v>56.30095249</v>
      </c>
      <c r="H78" s="20" t="n">
        <v>1.44466923</v>
      </c>
      <c r="I78" s="18" t="n">
        <v>0</v>
      </c>
      <c r="J78" s="20" t="n">
        <v>0</v>
      </c>
      <c r="K78" s="18" t="n">
        <v>1.41229701</v>
      </c>
      <c r="L78" s="20" t="n">
        <v>0.32316865</v>
      </c>
      <c r="M78" s="18" t="n">
        <v>0.26929933</v>
      </c>
      <c r="N78" s="20" t="n">
        <v>0.17174251</v>
      </c>
      <c r="O78" s="18" t="n">
        <v>0</v>
      </c>
      <c r="P78" s="20" t="n">
        <v>0</v>
      </c>
      <c r="Q78" s="18" t="n">
        <v>6.33174789</v>
      </c>
      <c r="R78" s="20" t="n">
        <v>0.68902716</v>
      </c>
    </row>
    <row r="79" spans="1:18">
      <c r="A79" s="15" t="s">
        <v>503</v>
      </c>
      <c r="B79" s="17" t="n">
        <v>6062</v>
      </c>
      <c r="C79" s="18">
        <f>(5390.0/B79*100)</f>
        <v/>
      </c>
      <c r="D79" s="19" t="n">
        <v>672</v>
      </c>
      <c r="E79" s="18" t="n">
        <v>24.23298486</v>
      </c>
      <c r="F79" s="20" t="n">
        <v>1.83335684</v>
      </c>
      <c r="G79" s="18" t="n">
        <v>51.79816056</v>
      </c>
      <c r="H79" s="20" t="n">
        <v>2.0700512</v>
      </c>
      <c r="I79" s="18" t="n">
        <v>0</v>
      </c>
      <c r="J79" s="20" t="n">
        <v>0</v>
      </c>
      <c r="K79" s="18" t="n">
        <v>7.49968563</v>
      </c>
      <c r="L79" s="20" t="n">
        <v>1.05462119</v>
      </c>
      <c r="M79" s="18" t="n">
        <v>0.2886708</v>
      </c>
      <c r="N79" s="20" t="n">
        <v>0.18574625</v>
      </c>
      <c r="O79" s="18" t="n">
        <v>0</v>
      </c>
      <c r="P79" s="20" t="n">
        <v>0</v>
      </c>
      <c r="Q79" s="18" t="n">
        <v>16.18049815</v>
      </c>
      <c r="R79" s="20" t="n">
        <v>1.28698159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(28534.0/B82*100)</f>
        <v/>
      </c>
      <c r="D82" s="19" t="n">
        <v>3796</v>
      </c>
      <c r="E82" s="18" t="n">
        <v>32.53786116</v>
      </c>
      <c r="F82" s="20" t="n">
        <v>1.24788961</v>
      </c>
      <c r="G82" s="18" t="n">
        <v>60.02880451</v>
      </c>
      <c r="H82" s="20" t="n">
        <v>1.17764233</v>
      </c>
      <c r="I82" s="18" t="n">
        <v>0</v>
      </c>
      <c r="J82" s="20" t="n">
        <v>0</v>
      </c>
      <c r="K82" s="18" t="n">
        <v>1.0346784</v>
      </c>
      <c r="L82" s="20" t="n">
        <v>0.20616349</v>
      </c>
      <c r="M82" s="18" t="n">
        <v>0.04874408</v>
      </c>
      <c r="N82" s="20" t="n">
        <v>0.04873706</v>
      </c>
      <c r="O82" s="18" t="n">
        <v>0</v>
      </c>
      <c r="P82" s="20" t="n">
        <v>0</v>
      </c>
      <c r="Q82" s="18" t="n">
        <v>6.34991184</v>
      </c>
      <c r="R82" s="20" t="n">
        <v>0.55061983</v>
      </c>
    </row>
    <row r="83" spans="1:18">
      <c r="A83" s="15" t="s">
        <v>507</v>
      </c>
      <c r="B83" s="17" t="n">
        <v>1652</v>
      </c>
      <c r="C83" s="18">
        <f>(1469.0/B83*100)</f>
        <v/>
      </c>
      <c r="D83" s="19" t="n">
        <v>183</v>
      </c>
      <c r="E83" s="18" t="n">
        <v>27.77556915</v>
      </c>
      <c r="F83" s="20" t="n">
        <v>3.1959337</v>
      </c>
      <c r="G83" s="18" t="n">
        <v>69.61448109</v>
      </c>
      <c r="H83" s="20" t="n">
        <v>3.15641341</v>
      </c>
      <c r="I83" s="18" t="n">
        <v>0</v>
      </c>
      <c r="J83" s="20" t="n">
        <v>0</v>
      </c>
      <c r="K83" s="18" t="n">
        <v>1.00352285</v>
      </c>
      <c r="L83" s="20" t="n">
        <v>0.66952923</v>
      </c>
      <c r="M83" s="18" t="n">
        <v>0</v>
      </c>
      <c r="N83" s="20" t="n">
        <v>0</v>
      </c>
      <c r="O83" s="18" t="n">
        <v>0</v>
      </c>
      <c r="P83" s="20" t="n">
        <v>0</v>
      </c>
      <c r="Q83" s="18" t="n">
        <v>1.60642692</v>
      </c>
      <c r="R83" s="20" t="n">
        <v>0.92518377</v>
      </c>
    </row>
    <row r="84" spans="1:18">
      <c r="A84" s="23" t="s">
        <v>508</v>
      </c>
      <c r="B84" s="24" t="n">
        <v>1887</v>
      </c>
      <c r="C84" s="25">
        <f>(1669.0/B84*100)</f>
        <v/>
      </c>
      <c r="D84" s="19" t="n">
        <v>218</v>
      </c>
      <c r="E84" s="18" t="n">
        <v>30.91086646</v>
      </c>
      <c r="F84" s="20" t="n">
        <v>3.42945169</v>
      </c>
      <c r="G84" s="18" t="n">
        <v>66.37373633</v>
      </c>
      <c r="H84" s="20" t="n">
        <v>3.75888117</v>
      </c>
      <c r="I84" s="18" t="n">
        <v>0</v>
      </c>
      <c r="J84" s="20" t="n">
        <v>0</v>
      </c>
      <c r="K84" s="18" t="n">
        <v>0.4510907</v>
      </c>
      <c r="L84" s="20" t="n">
        <v>0.45765863</v>
      </c>
      <c r="M84" s="18" t="n">
        <v>0</v>
      </c>
      <c r="N84" s="20" t="n">
        <v>0</v>
      </c>
      <c r="O84" s="18" t="n">
        <v>0</v>
      </c>
      <c r="P84" s="20" t="n">
        <v>0</v>
      </c>
      <c r="Q84" s="18" t="n">
        <v>2.26430652</v>
      </c>
      <c r="R84" s="20" t="n">
        <v>1.21643573</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(12816.0/B7*100)</f>
        <v/>
      </c>
      <c r="D7" s="19" t="n">
        <v>1714</v>
      </c>
      <c r="E7" s="18" t="n">
        <v>16.76337512</v>
      </c>
      <c r="F7" s="20" t="n">
        <v>1.07138311</v>
      </c>
      <c r="G7" s="18" t="n">
        <v>80.85354257</v>
      </c>
      <c r="H7" s="20" t="n">
        <v>1.17214345</v>
      </c>
      <c r="I7" s="18" t="n">
        <v>0</v>
      </c>
      <c r="J7" s="20" t="n">
        <v>0</v>
      </c>
      <c r="K7" s="18" t="n">
        <v>1.61252815</v>
      </c>
      <c r="L7" s="20" t="n">
        <v>0.34281659</v>
      </c>
      <c r="M7" s="18" t="n">
        <v>0</v>
      </c>
      <c r="N7" s="20" t="n">
        <v>0</v>
      </c>
      <c r="O7" s="18" t="n">
        <v>0</v>
      </c>
      <c r="P7" s="20" t="n">
        <v>0</v>
      </c>
      <c r="Q7" s="18" t="n">
        <v>0.77055415</v>
      </c>
      <c r="R7" s="20" t="n">
        <v>0.26909135</v>
      </c>
    </row>
    <row r="8" spans="1:18">
      <c r="A8" s="15" t="s">
        <v>430</v>
      </c>
      <c r="B8" s="17" t="n">
        <v>7007</v>
      </c>
      <c r="C8" s="18">
        <f>(6113.0/B8*100)</f>
        <v/>
      </c>
      <c r="D8" s="19" t="n">
        <v>894</v>
      </c>
      <c r="E8" s="18" t="n">
        <v>18.95903998</v>
      </c>
      <c r="F8" s="20" t="n">
        <v>1.65334357</v>
      </c>
      <c r="G8" s="18" t="n">
        <v>78.93747911</v>
      </c>
      <c r="H8" s="20" t="n">
        <v>1.69606209</v>
      </c>
      <c r="I8" s="18" t="n">
        <v>0</v>
      </c>
      <c r="J8" s="20" t="n">
        <v>0</v>
      </c>
      <c r="K8" s="18" t="n">
        <v>1.39535119</v>
      </c>
      <c r="L8" s="20" t="n">
        <v>0.55436073</v>
      </c>
      <c r="M8" s="18" t="n">
        <v>0</v>
      </c>
      <c r="N8" s="20" t="n">
        <v>0</v>
      </c>
      <c r="O8" s="18" t="n">
        <v>0</v>
      </c>
      <c r="P8" s="20" t="n">
        <v>0</v>
      </c>
      <c r="Q8" s="18" t="n">
        <v>0.70812972</v>
      </c>
      <c r="R8" s="20" t="n">
        <v>0.29065261</v>
      </c>
    </row>
    <row r="9" spans="1:18">
      <c r="A9" s="15" t="s">
        <v>431</v>
      </c>
      <c r="B9" s="17" t="n">
        <v>9651</v>
      </c>
      <c r="C9" s="18">
        <f>(8531.0/B9*100)</f>
        <v/>
      </c>
      <c r="D9" s="19" t="n">
        <v>1120</v>
      </c>
      <c r="E9" s="18" t="n">
        <v>14.59011813</v>
      </c>
      <c r="F9" s="20" t="n">
        <v>0.93369873</v>
      </c>
      <c r="G9" s="18" t="n">
        <v>83.63643763</v>
      </c>
      <c r="H9" s="20" t="n">
        <v>1.06273412</v>
      </c>
      <c r="I9" s="18" t="n">
        <v>0</v>
      </c>
      <c r="J9" s="20" t="n">
        <v>0</v>
      </c>
      <c r="K9" s="18" t="n">
        <v>1.10231131</v>
      </c>
      <c r="L9" s="20" t="n">
        <v>0.31499427</v>
      </c>
      <c r="M9" s="18" t="n">
        <v>0</v>
      </c>
      <c r="N9" s="20" t="n">
        <v>0</v>
      </c>
      <c r="O9" s="18" t="n">
        <v>0</v>
      </c>
      <c r="P9" s="20" t="n">
        <v>0</v>
      </c>
      <c r="Q9" s="18" t="n">
        <v>0.67113293</v>
      </c>
      <c r="R9" s="20" t="n">
        <v>0.22465568</v>
      </c>
    </row>
    <row r="10" spans="1:18">
      <c r="A10" s="15" t="s">
        <v>432</v>
      </c>
      <c r="B10" s="17" t="n">
        <v>20058</v>
      </c>
      <c r="C10" s="18">
        <f>(17608.0/B10*100)</f>
        <v/>
      </c>
      <c r="D10" s="19" t="n">
        <v>2450</v>
      </c>
      <c r="E10" s="18" t="n">
        <v>11.02715812</v>
      </c>
      <c r="F10" s="20" t="n">
        <v>0.84683337</v>
      </c>
      <c r="G10" s="18" t="n">
        <v>87.86484217</v>
      </c>
      <c r="H10" s="20" t="n">
        <v>0.8381005500000001</v>
      </c>
      <c r="I10" s="18" t="n">
        <v>0</v>
      </c>
      <c r="J10" s="20" t="n">
        <v>0</v>
      </c>
      <c r="K10" s="18" t="n">
        <v>1.0268536</v>
      </c>
      <c r="L10" s="20" t="n">
        <v>0.2645102</v>
      </c>
      <c r="M10" s="18" t="n">
        <v>0</v>
      </c>
      <c r="N10" s="20" t="n">
        <v>0</v>
      </c>
      <c r="O10" s="18" t="n">
        <v>0</v>
      </c>
      <c r="P10" s="20" t="n">
        <v>0</v>
      </c>
      <c r="Q10" s="18" t="n">
        <v>0.08114610999999999</v>
      </c>
      <c r="R10" s="20" t="n">
        <v>0.05007303</v>
      </c>
    </row>
    <row r="11" spans="1:18">
      <c r="A11" s="15" t="s">
        <v>433</v>
      </c>
      <c r="B11" s="17" t="n">
        <v>7053</v>
      </c>
      <c r="C11" s="18">
        <f>(6238.0/B11*100)</f>
        <v/>
      </c>
      <c r="D11" s="19" t="n">
        <v>815</v>
      </c>
      <c r="E11" s="18" t="n">
        <v>23.73247479</v>
      </c>
      <c r="F11" s="20" t="n">
        <v>1.76865471</v>
      </c>
      <c r="G11" s="18" t="n">
        <v>72.29216828</v>
      </c>
      <c r="H11" s="20" t="n">
        <v>1.91417415</v>
      </c>
      <c r="I11" s="18" t="n">
        <v>0</v>
      </c>
      <c r="J11" s="20" t="n">
        <v>0</v>
      </c>
      <c r="K11" s="18" t="n">
        <v>3.28368908</v>
      </c>
      <c r="L11" s="20" t="n">
        <v>0.7615845</v>
      </c>
      <c r="M11" s="18" t="n">
        <v>0</v>
      </c>
      <c r="N11" s="20" t="n">
        <v>0</v>
      </c>
      <c r="O11" s="18" t="n">
        <v>0</v>
      </c>
      <c r="P11" s="20" t="n">
        <v>0</v>
      </c>
      <c r="Q11" s="18" t="n">
        <v>0.69166785</v>
      </c>
      <c r="R11" s="20" t="n">
        <v>0.37611279</v>
      </c>
    </row>
    <row r="12" spans="1:18">
      <c r="A12" s="15" t="s">
        <v>434</v>
      </c>
      <c r="B12" s="17" t="n">
        <v>6894</v>
      </c>
      <c r="C12" s="18">
        <f>(6083.0/B12*100)</f>
        <v/>
      </c>
      <c r="D12" s="19" t="n">
        <v>811</v>
      </c>
      <c r="E12" s="18" t="n">
        <v>20.84393186</v>
      </c>
      <c r="F12" s="20" t="n">
        <v>1.86800272</v>
      </c>
      <c r="G12" s="18" t="n">
        <v>77.0005391</v>
      </c>
      <c r="H12" s="20" t="n">
        <v>1.96313292</v>
      </c>
      <c r="I12" s="18" t="n">
        <v>0</v>
      </c>
      <c r="J12" s="20" t="n">
        <v>0</v>
      </c>
      <c r="K12" s="18" t="n">
        <v>1.32844998</v>
      </c>
      <c r="L12" s="20" t="n">
        <v>0.3772843</v>
      </c>
      <c r="M12" s="18" t="n">
        <v>0</v>
      </c>
      <c r="N12" s="20" t="n">
        <v>0</v>
      </c>
      <c r="O12" s="18" t="n">
        <v>0</v>
      </c>
      <c r="P12" s="20" t="n">
        <v>0</v>
      </c>
      <c r="Q12" s="18" t="n">
        <v>0.82707907</v>
      </c>
      <c r="R12" s="20" t="n">
        <v>0.30505876</v>
      </c>
    </row>
    <row r="13" spans="1:18">
      <c r="A13" s="15" t="s">
        <v>435</v>
      </c>
      <c r="B13" s="17" t="n">
        <v>7161</v>
      </c>
      <c r="C13" s="18">
        <f>(6334.0/B13*100)</f>
        <v/>
      </c>
      <c r="D13" s="19" t="n">
        <v>827</v>
      </c>
      <c r="E13" s="18" t="n">
        <v>17.91790267</v>
      </c>
      <c r="F13" s="20" t="n">
        <v>1.47881627</v>
      </c>
      <c r="G13" s="18" t="n">
        <v>79.12958999999999</v>
      </c>
      <c r="H13" s="20" t="n">
        <v>1.41270317</v>
      </c>
      <c r="I13" s="18" t="n">
        <v>0</v>
      </c>
      <c r="J13" s="20" t="n">
        <v>0</v>
      </c>
      <c r="K13" s="18" t="n">
        <v>2.64662513</v>
      </c>
      <c r="L13" s="20" t="n">
        <v>0.73118838</v>
      </c>
      <c r="M13" s="18" t="n">
        <v>0</v>
      </c>
      <c r="N13" s="20" t="n">
        <v>0</v>
      </c>
      <c r="O13" s="18" t="n">
        <v>0</v>
      </c>
      <c r="P13" s="20" t="n">
        <v>0</v>
      </c>
      <c r="Q13" s="18" t="n">
        <v>0.30588221</v>
      </c>
      <c r="R13" s="20" t="n">
        <v>0.17198978</v>
      </c>
    </row>
    <row r="14" spans="1:18">
      <c r="A14" s="15" t="s">
        <v>436</v>
      </c>
      <c r="B14" s="17" t="n">
        <v>5587</v>
      </c>
      <c r="C14" s="18">
        <f>(4911.0/B14*100)</f>
        <v/>
      </c>
      <c r="D14" s="19" t="n">
        <v>676</v>
      </c>
      <c r="E14" s="18" t="n">
        <v>10.87520835</v>
      </c>
      <c r="F14" s="20" t="n">
        <v>1.42887402</v>
      </c>
      <c r="G14" s="18" t="n">
        <v>87.56818454</v>
      </c>
      <c r="H14" s="20" t="n">
        <v>1.47306426</v>
      </c>
      <c r="I14" s="18" t="n">
        <v>0</v>
      </c>
      <c r="J14" s="20" t="n">
        <v>0</v>
      </c>
      <c r="K14" s="18" t="n">
        <v>0.74059212</v>
      </c>
      <c r="L14" s="20" t="n">
        <v>0.30382258</v>
      </c>
      <c r="M14" s="18" t="n">
        <v>0</v>
      </c>
      <c r="N14" s="20" t="n">
        <v>0</v>
      </c>
      <c r="O14" s="18" t="n">
        <v>0</v>
      </c>
      <c r="P14" s="20" t="n">
        <v>0</v>
      </c>
      <c r="Q14" s="18" t="n">
        <v>0.81601499</v>
      </c>
      <c r="R14" s="20" t="n">
        <v>0.35325824</v>
      </c>
    </row>
    <row r="15" spans="1:18">
      <c r="A15" s="15" t="s">
        <v>437</v>
      </c>
      <c r="B15" s="17" t="n">
        <v>5882</v>
      </c>
      <c r="C15" s="18">
        <f>(5181.0/B15*100)</f>
        <v/>
      </c>
      <c r="D15" s="19" t="n">
        <v>701</v>
      </c>
      <c r="E15" s="18" t="n">
        <v>11.53394177</v>
      </c>
      <c r="F15" s="20" t="n">
        <v>1.22736525</v>
      </c>
      <c r="G15" s="18" t="n">
        <v>87.17929595</v>
      </c>
      <c r="H15" s="20" t="n">
        <v>1.2013928</v>
      </c>
      <c r="I15" s="18" t="n">
        <v>0</v>
      </c>
      <c r="J15" s="20" t="n">
        <v>0</v>
      </c>
      <c r="K15" s="18" t="n">
        <v>0.82717312</v>
      </c>
      <c r="L15" s="20" t="n">
        <v>0.39064088</v>
      </c>
      <c r="M15" s="18" t="n">
        <v>0</v>
      </c>
      <c r="N15" s="20" t="n">
        <v>0</v>
      </c>
      <c r="O15" s="18" t="n">
        <v>0</v>
      </c>
      <c r="P15" s="20" t="n">
        <v>0</v>
      </c>
      <c r="Q15" s="18" t="n">
        <v>0.45958917</v>
      </c>
      <c r="R15" s="20" t="n">
        <v>0.27501231</v>
      </c>
    </row>
    <row r="16" spans="1:18">
      <c r="A16" s="15" t="s">
        <v>438</v>
      </c>
      <c r="B16" s="17" t="n">
        <v>6108</v>
      </c>
      <c r="C16" s="18">
        <f>(5397.0/B16*100)</f>
        <v/>
      </c>
      <c r="D16" s="19" t="n">
        <v>711</v>
      </c>
      <c r="E16" s="18" t="n">
        <v>17.24059806</v>
      </c>
      <c r="F16" s="20" t="n">
        <v>1.54645179</v>
      </c>
      <c r="G16" s="18" t="n">
        <v>77.40536831999999</v>
      </c>
      <c r="H16" s="20" t="n">
        <v>1.72377024</v>
      </c>
      <c r="I16" s="18" t="n">
        <v>0</v>
      </c>
      <c r="J16" s="20" t="n">
        <v>0</v>
      </c>
      <c r="K16" s="18" t="n">
        <v>4.42626224</v>
      </c>
      <c r="L16" s="20" t="n">
        <v>0.96132826</v>
      </c>
      <c r="M16" s="18" t="n">
        <v>0</v>
      </c>
      <c r="N16" s="20" t="n">
        <v>0</v>
      </c>
      <c r="O16" s="18" t="n">
        <v>0</v>
      </c>
      <c r="P16" s="20" t="n">
        <v>0</v>
      </c>
      <c r="Q16" s="18" t="n">
        <v>0.92777137</v>
      </c>
      <c r="R16" s="20" t="n">
        <v>0.35354383</v>
      </c>
    </row>
    <row r="17" spans="1:18">
      <c r="A17" s="15" t="s">
        <v>439</v>
      </c>
      <c r="B17" s="17" t="n">
        <v>6504</v>
      </c>
      <c r="C17" s="18">
        <f>(5750.0/B17*100)</f>
        <v/>
      </c>
      <c r="D17" s="19" t="n">
        <v>754</v>
      </c>
      <c r="E17" s="18" t="n">
        <v>12.08789756</v>
      </c>
      <c r="F17" s="20" t="n">
        <v>1.44180662</v>
      </c>
      <c r="G17" s="18" t="n">
        <v>86.33806217999999</v>
      </c>
      <c r="H17" s="20" t="n">
        <v>1.4613322</v>
      </c>
      <c r="I17" s="18" t="n">
        <v>0</v>
      </c>
      <c r="J17" s="20" t="n">
        <v>0</v>
      </c>
      <c r="K17" s="18" t="n">
        <v>0.6744748</v>
      </c>
      <c r="L17" s="20" t="n">
        <v>0.27592695</v>
      </c>
      <c r="M17" s="18" t="n">
        <v>0</v>
      </c>
      <c r="N17" s="20" t="n">
        <v>0</v>
      </c>
      <c r="O17" s="18" t="n">
        <v>0</v>
      </c>
      <c r="P17" s="20" t="n">
        <v>0</v>
      </c>
      <c r="Q17" s="18" t="n">
        <v>0.89956547</v>
      </c>
      <c r="R17" s="20" t="n">
        <v>0.30837065</v>
      </c>
    </row>
    <row r="18" spans="1:18">
      <c r="A18" s="15" t="s">
        <v>440</v>
      </c>
      <c r="B18" s="17" t="n">
        <v>5532</v>
      </c>
      <c r="C18" s="18">
        <f>(4863.0/B18*100)</f>
        <v/>
      </c>
      <c r="D18" s="19" t="n">
        <v>669</v>
      </c>
      <c r="E18" s="18" t="n">
        <v>26.41087612</v>
      </c>
      <c r="F18" s="20" t="n">
        <v>2.0554735</v>
      </c>
      <c r="G18" s="18" t="n">
        <v>69.63513492</v>
      </c>
      <c r="H18" s="20" t="n">
        <v>1.88599625</v>
      </c>
      <c r="I18" s="18" t="n">
        <v>0</v>
      </c>
      <c r="J18" s="20" t="n">
        <v>0</v>
      </c>
      <c r="K18" s="18" t="n">
        <v>3.15164437</v>
      </c>
      <c r="L18" s="20" t="n">
        <v>0.8137360300000001</v>
      </c>
      <c r="M18" s="18" t="n">
        <v>0</v>
      </c>
      <c r="N18" s="20" t="n">
        <v>0</v>
      </c>
      <c r="O18" s="18" t="n">
        <v>0</v>
      </c>
      <c r="P18" s="20" t="n">
        <v>0</v>
      </c>
      <c r="Q18" s="18" t="n">
        <v>0.8023446</v>
      </c>
      <c r="R18" s="20" t="n">
        <v>0.43105785</v>
      </c>
    </row>
    <row r="19" spans="1:18">
      <c r="A19" s="15" t="s">
        <v>441</v>
      </c>
      <c r="B19" s="17" t="n">
        <v>5658</v>
      </c>
      <c r="C19" s="18">
        <f>(4968.0/B19*100)</f>
        <v/>
      </c>
      <c r="D19" s="19" t="n">
        <v>690</v>
      </c>
      <c r="E19" s="18" t="n">
        <v>21.93784056</v>
      </c>
      <c r="F19" s="20" t="n">
        <v>1.57031243</v>
      </c>
      <c r="G19" s="18" t="n">
        <v>76.68877023</v>
      </c>
      <c r="H19" s="20" t="n">
        <v>1.69877504</v>
      </c>
      <c r="I19" s="18" t="n">
        <v>0</v>
      </c>
      <c r="J19" s="20" t="n">
        <v>0</v>
      </c>
      <c r="K19" s="18" t="n">
        <v>1.01930765</v>
      </c>
      <c r="L19" s="20" t="n">
        <v>0.50786971</v>
      </c>
      <c r="M19" s="18" t="n">
        <v>0</v>
      </c>
      <c r="N19" s="20" t="n">
        <v>0</v>
      </c>
      <c r="O19" s="18" t="n">
        <v>0</v>
      </c>
      <c r="P19" s="20" t="n">
        <v>0</v>
      </c>
      <c r="Q19" s="18" t="n">
        <v>0.35408155</v>
      </c>
      <c r="R19" s="20" t="n">
        <v>0.32958467</v>
      </c>
    </row>
    <row r="20" spans="1:18">
      <c r="A20" s="15" t="s">
        <v>442</v>
      </c>
      <c r="B20" s="17" t="n">
        <v>3371</v>
      </c>
      <c r="C20" s="18">
        <f>(2984.0/B20*100)</f>
        <v/>
      </c>
      <c r="D20" s="19" t="n">
        <v>387</v>
      </c>
      <c r="E20" s="18" t="n">
        <v>19.62562938</v>
      </c>
      <c r="F20" s="20" t="n">
        <v>2.25827241</v>
      </c>
      <c r="G20" s="18" t="n">
        <v>77.19415286</v>
      </c>
      <c r="H20" s="20" t="n">
        <v>2.38841314</v>
      </c>
      <c r="I20" s="18" t="n">
        <v>0</v>
      </c>
      <c r="J20" s="20" t="n">
        <v>0</v>
      </c>
      <c r="K20" s="18" t="n">
        <v>2.24199705</v>
      </c>
      <c r="L20" s="20" t="n">
        <v>0.7662383699999999</v>
      </c>
      <c r="M20" s="18" t="n">
        <v>0</v>
      </c>
      <c r="N20" s="20" t="n">
        <v>0</v>
      </c>
      <c r="O20" s="18" t="n">
        <v>0</v>
      </c>
      <c r="P20" s="20" t="n">
        <v>0</v>
      </c>
      <c r="Q20" s="18" t="n">
        <v>0.9382207</v>
      </c>
      <c r="R20" s="20" t="n">
        <v>0.47376845</v>
      </c>
    </row>
    <row r="21" spans="1:18">
      <c r="A21" s="15" t="s">
        <v>443</v>
      </c>
      <c r="B21" s="17" t="n">
        <v>5741</v>
      </c>
      <c r="C21" s="18">
        <f>(4795.0/B21*100)</f>
        <v/>
      </c>
      <c r="D21" s="19" t="n">
        <v>946</v>
      </c>
      <c r="E21" s="18" t="n">
        <v>11.05124545</v>
      </c>
      <c r="F21" s="20" t="n">
        <v>1.04956306</v>
      </c>
      <c r="G21" s="18" t="n">
        <v>88.06140822</v>
      </c>
      <c r="H21" s="20" t="n">
        <v>1.13014522</v>
      </c>
      <c r="I21" s="18" t="n">
        <v>0</v>
      </c>
      <c r="J21" s="20" t="n">
        <v>0</v>
      </c>
      <c r="K21" s="18" t="n">
        <v>0.2087004</v>
      </c>
      <c r="L21" s="20" t="n">
        <v>0.14755023</v>
      </c>
      <c r="M21" s="18" t="n">
        <v>0</v>
      </c>
      <c r="N21" s="20" t="n">
        <v>0</v>
      </c>
      <c r="O21" s="18" t="n">
        <v>0</v>
      </c>
      <c r="P21" s="20" t="n">
        <v>0</v>
      </c>
      <c r="Q21" s="18" t="n">
        <v>0.67864593</v>
      </c>
      <c r="R21" s="20" t="n">
        <v>0.27587059</v>
      </c>
    </row>
    <row r="22" spans="1:18">
      <c r="A22" s="15" t="s">
        <v>444</v>
      </c>
      <c r="B22" s="17" t="n">
        <v>6598</v>
      </c>
      <c r="C22" s="18">
        <f>(5874.0/B22*100)</f>
        <v/>
      </c>
      <c r="D22" s="19" t="n">
        <v>724</v>
      </c>
      <c r="E22" s="18" t="n">
        <v>29.10030752</v>
      </c>
      <c r="F22" s="20" t="n">
        <v>2.04745216</v>
      </c>
      <c r="G22" s="18" t="n">
        <v>66.47722686</v>
      </c>
      <c r="H22" s="20" t="n">
        <v>2.03688835</v>
      </c>
      <c r="I22" s="18" t="n">
        <v>0</v>
      </c>
      <c r="J22" s="20" t="n">
        <v>0</v>
      </c>
      <c r="K22" s="18" t="n">
        <v>3.66888208</v>
      </c>
      <c r="L22" s="20" t="n">
        <v>0.75639662</v>
      </c>
      <c r="M22" s="18" t="n">
        <v>0</v>
      </c>
      <c r="N22" s="20" t="n">
        <v>0</v>
      </c>
      <c r="O22" s="18" t="n">
        <v>0</v>
      </c>
      <c r="P22" s="20" t="n">
        <v>0</v>
      </c>
      <c r="Q22" s="18" t="n">
        <v>0.7535835400000001</v>
      </c>
      <c r="R22" s="20" t="n">
        <v>0.3080621</v>
      </c>
    </row>
    <row r="23" spans="1:18">
      <c r="A23" s="15" t="s">
        <v>445</v>
      </c>
      <c r="B23" s="17" t="n">
        <v>11583</v>
      </c>
      <c r="C23" s="18">
        <f>(10161.0/B23*100)</f>
        <v/>
      </c>
      <c r="D23" s="19" t="n">
        <v>1422</v>
      </c>
      <c r="E23" s="18" t="n">
        <v>19.15607475</v>
      </c>
      <c r="F23" s="20" t="n">
        <v>1.94198567</v>
      </c>
      <c r="G23" s="18" t="n">
        <v>78.57653869000001</v>
      </c>
      <c r="H23" s="20" t="n">
        <v>1.97846368</v>
      </c>
      <c r="I23" s="18" t="n">
        <v>0</v>
      </c>
      <c r="J23" s="20" t="n">
        <v>0</v>
      </c>
      <c r="K23" s="18" t="n">
        <v>1.94135834</v>
      </c>
      <c r="L23" s="20" t="n">
        <v>0.5320565900000001</v>
      </c>
      <c r="M23" s="18" t="n">
        <v>0</v>
      </c>
      <c r="N23" s="20" t="n">
        <v>0</v>
      </c>
      <c r="O23" s="18" t="n">
        <v>0</v>
      </c>
      <c r="P23" s="20" t="n">
        <v>0</v>
      </c>
      <c r="Q23" s="18" t="n">
        <v>0.32602821</v>
      </c>
      <c r="R23" s="20" t="n">
        <v>0.17225122</v>
      </c>
    </row>
    <row r="24" spans="1:18">
      <c r="A24" s="15" t="s">
        <v>446</v>
      </c>
      <c r="B24" s="17" t="n">
        <v>6647</v>
      </c>
      <c r="C24" s="18">
        <f>(5909.0/B24*100)</f>
        <v/>
      </c>
      <c r="D24" s="19" t="n">
        <v>738</v>
      </c>
      <c r="E24" s="18" t="n">
        <v>13.39225252</v>
      </c>
      <c r="F24" s="20" t="n">
        <v>1.36624164</v>
      </c>
      <c r="G24" s="18" t="n">
        <v>84.60560431</v>
      </c>
      <c r="H24" s="20" t="n">
        <v>1.40120361</v>
      </c>
      <c r="I24" s="18" t="n">
        <v>0</v>
      </c>
      <c r="J24" s="20" t="n">
        <v>0</v>
      </c>
      <c r="K24" s="18" t="n">
        <v>1.86747641</v>
      </c>
      <c r="L24" s="20" t="n">
        <v>0.47356408</v>
      </c>
      <c r="M24" s="18" t="n">
        <v>0</v>
      </c>
      <c r="N24" s="20" t="n">
        <v>0</v>
      </c>
      <c r="O24" s="18" t="n">
        <v>0</v>
      </c>
      <c r="P24" s="20" t="n">
        <v>0</v>
      </c>
      <c r="Q24" s="18" t="n">
        <v>0.13466676</v>
      </c>
      <c r="R24" s="20" t="n">
        <v>0.13243661</v>
      </c>
    </row>
    <row r="25" spans="1:18">
      <c r="A25" s="15" t="s">
        <v>447</v>
      </c>
      <c r="B25" s="17" t="n">
        <v>5581</v>
      </c>
      <c r="C25" s="18">
        <f>(4891.0/B25*100)</f>
        <v/>
      </c>
      <c r="D25" s="19" t="n">
        <v>690</v>
      </c>
      <c r="E25" s="18" t="n">
        <v>7.72405783</v>
      </c>
      <c r="F25" s="20" t="n">
        <v>1.05855932</v>
      </c>
      <c r="G25" s="18" t="n">
        <v>91.19753301999999</v>
      </c>
      <c r="H25" s="20" t="n">
        <v>1.15342586</v>
      </c>
      <c r="I25" s="18" t="n">
        <v>0</v>
      </c>
      <c r="J25" s="20" t="n">
        <v>0</v>
      </c>
      <c r="K25" s="18" t="n">
        <v>0.9451283</v>
      </c>
      <c r="L25" s="20" t="n">
        <v>0.37171061</v>
      </c>
      <c r="M25" s="18" t="n">
        <v>0</v>
      </c>
      <c r="N25" s="20" t="n">
        <v>0</v>
      </c>
      <c r="O25" s="18" t="n">
        <v>0</v>
      </c>
      <c r="P25" s="20" t="n">
        <v>0</v>
      </c>
      <c r="Q25" s="18" t="n">
        <v>0.13328085</v>
      </c>
      <c r="R25" s="20" t="n">
        <v>0.1330701</v>
      </c>
    </row>
    <row r="26" spans="1:18">
      <c r="A26" s="15" t="s">
        <v>448</v>
      </c>
      <c r="B26" s="17" t="n">
        <v>4869</v>
      </c>
      <c r="C26" s="18">
        <f>(4275.0/B26*100)</f>
        <v/>
      </c>
      <c r="D26" s="19" t="n">
        <v>594</v>
      </c>
      <c r="E26" s="18" t="n">
        <v>15.60149058</v>
      </c>
      <c r="F26" s="20" t="n">
        <v>1.72404876</v>
      </c>
      <c r="G26" s="18" t="n">
        <v>83.09421630999999</v>
      </c>
      <c r="H26" s="20" t="n">
        <v>1.71812134</v>
      </c>
      <c r="I26" s="18" t="n">
        <v>0</v>
      </c>
      <c r="J26" s="20" t="n">
        <v>0</v>
      </c>
      <c r="K26" s="18" t="n">
        <v>0.27381385</v>
      </c>
      <c r="L26" s="20" t="n">
        <v>0.19552997</v>
      </c>
      <c r="M26" s="18" t="n">
        <v>0</v>
      </c>
      <c r="N26" s="20" t="n">
        <v>0</v>
      </c>
      <c r="O26" s="18" t="n">
        <v>0</v>
      </c>
      <c r="P26" s="20" t="n">
        <v>0</v>
      </c>
      <c r="Q26" s="18" t="n">
        <v>1.03047925</v>
      </c>
      <c r="R26" s="20" t="n">
        <v>0.48451668</v>
      </c>
    </row>
    <row r="27" spans="1:18">
      <c r="A27" s="15" t="s">
        <v>449</v>
      </c>
      <c r="B27" s="17" t="n">
        <v>5299</v>
      </c>
      <c r="C27" s="18">
        <f>(4665.0/B27*100)</f>
        <v/>
      </c>
      <c r="D27" s="19" t="n">
        <v>634</v>
      </c>
      <c r="E27" s="18" t="n">
        <v>21.44398611</v>
      </c>
      <c r="F27" s="20" t="n">
        <v>1.65358166</v>
      </c>
      <c r="G27" s="18" t="n">
        <v>75.6249696</v>
      </c>
      <c r="H27" s="20" t="n">
        <v>1.72564177</v>
      </c>
      <c r="I27" s="18" t="n">
        <v>0</v>
      </c>
      <c r="J27" s="20" t="n">
        <v>0</v>
      </c>
      <c r="K27" s="18" t="n">
        <v>2.2978379</v>
      </c>
      <c r="L27" s="20" t="n">
        <v>0.67998576</v>
      </c>
      <c r="M27" s="18" t="n">
        <v>0</v>
      </c>
      <c r="N27" s="20" t="n">
        <v>0</v>
      </c>
      <c r="O27" s="18" t="n">
        <v>0</v>
      </c>
      <c r="P27" s="20" t="n">
        <v>0</v>
      </c>
      <c r="Q27" s="18" t="n">
        <v>0.63320639</v>
      </c>
      <c r="R27" s="20" t="n">
        <v>0.31412812</v>
      </c>
    </row>
    <row r="28" spans="1:18">
      <c r="A28" s="15" t="s">
        <v>450</v>
      </c>
      <c r="B28" s="17" t="n">
        <v>7568</v>
      </c>
      <c r="C28" s="18">
        <f>(6743.0/B28*100)</f>
        <v/>
      </c>
      <c r="D28" s="19" t="n">
        <v>825</v>
      </c>
      <c r="E28" s="18" t="n">
        <v>33.79416586</v>
      </c>
      <c r="F28" s="20" t="n">
        <v>1.88226029</v>
      </c>
      <c r="G28" s="18" t="n">
        <v>64.61210081999999</v>
      </c>
      <c r="H28" s="20" t="n">
        <v>1.83087817</v>
      </c>
      <c r="I28" s="18" t="n">
        <v>0</v>
      </c>
      <c r="J28" s="20" t="n">
        <v>0</v>
      </c>
      <c r="K28" s="18" t="n">
        <v>1.24832785</v>
      </c>
      <c r="L28" s="20" t="n">
        <v>0.433768</v>
      </c>
      <c r="M28" s="18" t="n">
        <v>0</v>
      </c>
      <c r="N28" s="20" t="n">
        <v>0</v>
      </c>
      <c r="O28" s="18" t="n">
        <v>0</v>
      </c>
      <c r="P28" s="20" t="n">
        <v>0</v>
      </c>
      <c r="Q28" s="18" t="n">
        <v>0.34540546</v>
      </c>
      <c r="R28" s="20" t="n">
        <v>0.19914974</v>
      </c>
    </row>
    <row r="29" spans="1:18">
      <c r="A29" s="15" t="s">
        <v>451</v>
      </c>
      <c r="B29" s="17" t="n">
        <v>5385</v>
      </c>
      <c r="C29" s="18">
        <f>(4748.0/B29*100)</f>
        <v/>
      </c>
      <c r="D29" s="19" t="n">
        <v>637</v>
      </c>
      <c r="E29" s="18" t="n">
        <v>12.20728379</v>
      </c>
      <c r="F29" s="20" t="n">
        <v>1.11024126</v>
      </c>
      <c r="G29" s="18" t="n">
        <v>87.23505701000001</v>
      </c>
      <c r="H29" s="20" t="n">
        <v>1.21655362</v>
      </c>
      <c r="I29" s="18" t="n">
        <v>0</v>
      </c>
      <c r="J29" s="20" t="n">
        <v>0</v>
      </c>
      <c r="K29" s="18" t="n">
        <v>0.5576592</v>
      </c>
      <c r="L29" s="20" t="n">
        <v>0.3507002</v>
      </c>
      <c r="M29" s="18" t="n">
        <v>0</v>
      </c>
      <c r="N29" s="20" t="n">
        <v>0</v>
      </c>
      <c r="O29" s="18" t="n">
        <v>0</v>
      </c>
      <c r="P29" s="20" t="n">
        <v>0</v>
      </c>
      <c r="Q29" s="18" t="n">
        <v>0</v>
      </c>
      <c r="R29" s="20" t="n">
        <v>0</v>
      </c>
    </row>
    <row r="30" spans="1:18">
      <c r="A30" s="15" t="s">
        <v>452</v>
      </c>
      <c r="B30" s="17" t="n">
        <v>4520</v>
      </c>
      <c r="C30" s="18">
        <f>(4014.0/B30*100)</f>
        <v/>
      </c>
      <c r="D30" s="19" t="n">
        <v>506</v>
      </c>
      <c r="E30" s="18" t="n">
        <v>13.10525923</v>
      </c>
      <c r="F30" s="20" t="n">
        <v>1.37067529</v>
      </c>
      <c r="G30" s="18" t="n">
        <v>84.15514716</v>
      </c>
      <c r="H30" s="20" t="n">
        <v>1.55980439</v>
      </c>
      <c r="I30" s="18" t="n">
        <v>0</v>
      </c>
      <c r="J30" s="20" t="n">
        <v>0</v>
      </c>
      <c r="K30" s="18" t="n">
        <v>1.36291574</v>
      </c>
      <c r="L30" s="20" t="n">
        <v>0.52190299</v>
      </c>
      <c r="M30" s="18" t="n">
        <v>0</v>
      </c>
      <c r="N30" s="20" t="n">
        <v>0</v>
      </c>
      <c r="O30" s="18" t="n">
        <v>0</v>
      </c>
      <c r="P30" s="20" t="n">
        <v>0</v>
      </c>
      <c r="Q30" s="18" t="n">
        <v>1.37667787</v>
      </c>
      <c r="R30" s="20" t="n">
        <v>0.56511373</v>
      </c>
    </row>
    <row r="31" spans="1:18">
      <c r="A31" s="15" t="s">
        <v>453</v>
      </c>
      <c r="B31" s="17" t="n">
        <v>5456</v>
      </c>
      <c r="C31" s="18">
        <f>(4808.0/B31*100)</f>
        <v/>
      </c>
      <c r="D31" s="19" t="n">
        <v>648</v>
      </c>
      <c r="E31" s="18" t="n">
        <v>21.76125639</v>
      </c>
      <c r="F31" s="20" t="n">
        <v>1.53030942</v>
      </c>
      <c r="G31" s="18" t="n">
        <v>74.82622354999999</v>
      </c>
      <c r="H31" s="20" t="n">
        <v>1.58823055</v>
      </c>
      <c r="I31" s="18" t="n">
        <v>0</v>
      </c>
      <c r="J31" s="20" t="n">
        <v>0</v>
      </c>
      <c r="K31" s="18" t="n">
        <v>2.64694513</v>
      </c>
      <c r="L31" s="20" t="n">
        <v>0.64228445</v>
      </c>
      <c r="M31" s="18" t="n">
        <v>0</v>
      </c>
      <c r="N31" s="20" t="n">
        <v>0</v>
      </c>
      <c r="O31" s="18" t="n">
        <v>0</v>
      </c>
      <c r="P31" s="20" t="n">
        <v>0</v>
      </c>
      <c r="Q31" s="18" t="n">
        <v>0.76557493</v>
      </c>
      <c r="R31" s="20" t="n">
        <v>0.40204373</v>
      </c>
    </row>
    <row r="32" spans="1:18">
      <c r="A32" s="15" t="s">
        <v>454</v>
      </c>
      <c r="B32" s="17" t="n">
        <v>4478</v>
      </c>
      <c r="C32" s="18">
        <f>(3742.0/B32*100)</f>
        <v/>
      </c>
      <c r="D32" s="19" t="n">
        <v>736</v>
      </c>
      <c r="E32" s="18" t="n">
        <v>17.69245035</v>
      </c>
      <c r="F32" s="20" t="n">
        <v>1.34628045</v>
      </c>
      <c r="G32" s="18" t="n">
        <v>81.29195471</v>
      </c>
      <c r="H32" s="20" t="n">
        <v>1.42514645</v>
      </c>
      <c r="I32" s="18" t="n">
        <v>0</v>
      </c>
      <c r="J32" s="20" t="n">
        <v>0</v>
      </c>
      <c r="K32" s="18" t="n">
        <v>1.01559494</v>
      </c>
      <c r="L32" s="20" t="n">
        <v>0.29563839</v>
      </c>
      <c r="M32" s="18" t="n">
        <v>0</v>
      </c>
      <c r="N32" s="20" t="n">
        <v>0</v>
      </c>
      <c r="O32" s="18" t="n">
        <v>0</v>
      </c>
      <c r="P32" s="20" t="n">
        <v>0</v>
      </c>
      <c r="Q32" s="18" t="n">
        <v>0</v>
      </c>
      <c r="R32" s="20" t="n">
        <v>0</v>
      </c>
    </row>
    <row r="33" spans="1:18">
      <c r="A33" s="15" t="s">
        <v>455</v>
      </c>
      <c r="B33" s="17" t="n">
        <v>7325</v>
      </c>
      <c r="C33" s="18">
        <f>(6491.0/B33*100)</f>
        <v/>
      </c>
      <c r="D33" s="19" t="n">
        <v>834</v>
      </c>
      <c r="E33" s="18" t="n">
        <v>18.75679957</v>
      </c>
      <c r="F33" s="20" t="n">
        <v>1.58332191</v>
      </c>
      <c r="G33" s="18" t="n">
        <v>79.531893</v>
      </c>
      <c r="H33" s="20" t="n">
        <v>1.5539054</v>
      </c>
      <c r="I33" s="18" t="n">
        <v>0</v>
      </c>
      <c r="J33" s="20" t="n">
        <v>0</v>
      </c>
      <c r="K33" s="18" t="n">
        <v>0.50423814</v>
      </c>
      <c r="L33" s="20" t="n">
        <v>0.24113988</v>
      </c>
      <c r="M33" s="18" t="n">
        <v>0</v>
      </c>
      <c r="N33" s="20" t="n">
        <v>0</v>
      </c>
      <c r="O33" s="18" t="n">
        <v>0</v>
      </c>
      <c r="P33" s="20" t="n">
        <v>0</v>
      </c>
      <c r="Q33" s="18" t="n">
        <v>1.20706929</v>
      </c>
      <c r="R33" s="20" t="n">
        <v>0.45173841</v>
      </c>
    </row>
    <row r="34" spans="1:18">
      <c r="A34" s="15" t="s">
        <v>456</v>
      </c>
      <c r="B34" s="17" t="n">
        <v>6350</v>
      </c>
      <c r="C34" s="18">
        <f>(5621.0/B34*100)</f>
        <v/>
      </c>
      <c r="D34" s="19" t="n">
        <v>729</v>
      </c>
      <c r="E34" s="18" t="n">
        <v>24.86635074</v>
      </c>
      <c r="F34" s="20" t="n">
        <v>1.68823792</v>
      </c>
      <c r="G34" s="18" t="n">
        <v>73.54250789</v>
      </c>
      <c r="H34" s="20" t="n">
        <v>1.70034888</v>
      </c>
      <c r="I34" s="18" t="n">
        <v>0</v>
      </c>
      <c r="J34" s="20" t="n">
        <v>0</v>
      </c>
      <c r="K34" s="18" t="n">
        <v>0.88608911</v>
      </c>
      <c r="L34" s="20" t="n">
        <v>0.50771081</v>
      </c>
      <c r="M34" s="18" t="n">
        <v>0</v>
      </c>
      <c r="N34" s="20" t="n">
        <v>0</v>
      </c>
      <c r="O34" s="18" t="n">
        <v>0</v>
      </c>
      <c r="P34" s="20" t="n">
        <v>0</v>
      </c>
      <c r="Q34" s="18" t="n">
        <v>0.70505226</v>
      </c>
      <c r="R34" s="20" t="n">
        <v>0.32313868</v>
      </c>
    </row>
    <row r="35" spans="1:18">
      <c r="A35" s="15" t="s">
        <v>457</v>
      </c>
      <c r="B35" s="17" t="n">
        <v>6406</v>
      </c>
      <c r="C35" s="18">
        <f>(5647.0/B35*100)</f>
        <v/>
      </c>
      <c r="D35" s="19" t="n">
        <v>759</v>
      </c>
      <c r="E35" s="18" t="n">
        <v>20.08050862</v>
      </c>
      <c r="F35" s="20" t="n">
        <v>1.55260949</v>
      </c>
      <c r="G35" s="18" t="n">
        <v>79.26744456999999</v>
      </c>
      <c r="H35" s="20" t="n">
        <v>1.5298973</v>
      </c>
      <c r="I35" s="18" t="n">
        <v>0</v>
      </c>
      <c r="J35" s="20" t="n">
        <v>0</v>
      </c>
      <c r="K35" s="18" t="n">
        <v>0.5242096000000001</v>
      </c>
      <c r="L35" s="20" t="n">
        <v>0.1974658</v>
      </c>
      <c r="M35" s="18" t="n">
        <v>0</v>
      </c>
      <c r="N35" s="20" t="n">
        <v>0</v>
      </c>
      <c r="O35" s="18" t="n">
        <v>0</v>
      </c>
      <c r="P35" s="20" t="n">
        <v>0</v>
      </c>
      <c r="Q35" s="18" t="n">
        <v>0.12783721</v>
      </c>
      <c r="R35" s="20" t="n">
        <v>0.09093398</v>
      </c>
    </row>
    <row r="36" spans="1:18">
      <c r="A36" s="15" t="s">
        <v>458</v>
      </c>
      <c r="B36" s="17" t="n">
        <v>6736</v>
      </c>
      <c r="C36" s="18">
        <f>(5947.0/B36*100)</f>
        <v/>
      </c>
      <c r="D36" s="19" t="n">
        <v>789</v>
      </c>
      <c r="E36" s="18" t="n">
        <v>18.5148309</v>
      </c>
      <c r="F36" s="20" t="n">
        <v>1.47261716</v>
      </c>
      <c r="G36" s="18" t="n">
        <v>79.62878567999999</v>
      </c>
      <c r="H36" s="20" t="n">
        <v>1.57070548</v>
      </c>
      <c r="I36" s="18" t="n">
        <v>0</v>
      </c>
      <c r="J36" s="20" t="n">
        <v>0</v>
      </c>
      <c r="K36" s="18" t="n">
        <v>1.85638342</v>
      </c>
      <c r="L36" s="20" t="n">
        <v>0.47926341</v>
      </c>
      <c r="M36" s="18" t="n">
        <v>0</v>
      </c>
      <c r="N36" s="20" t="n">
        <v>0</v>
      </c>
      <c r="O36" s="18" t="n">
        <v>0</v>
      </c>
      <c r="P36" s="20" t="n">
        <v>0</v>
      </c>
      <c r="Q36" s="18" t="n">
        <v>0</v>
      </c>
      <c r="R36" s="20" t="n">
        <v>0</v>
      </c>
    </row>
    <row r="37" spans="1:18">
      <c r="A37" s="15" t="s">
        <v>459</v>
      </c>
      <c r="B37" s="17" t="n">
        <v>5458</v>
      </c>
      <c r="C37" s="18">
        <f>(4798.0/B37*100)</f>
        <v/>
      </c>
      <c r="D37" s="19" t="n">
        <v>660</v>
      </c>
      <c r="E37" s="18" t="n">
        <v>20.06314395</v>
      </c>
      <c r="F37" s="20" t="n">
        <v>1.58297614</v>
      </c>
      <c r="G37" s="18" t="n">
        <v>73.71028584</v>
      </c>
      <c r="H37" s="20" t="n">
        <v>1.75923238</v>
      </c>
      <c r="I37" s="18" t="n">
        <v>0</v>
      </c>
      <c r="J37" s="20" t="n">
        <v>0</v>
      </c>
      <c r="K37" s="18" t="n">
        <v>5.27445329</v>
      </c>
      <c r="L37" s="20" t="n">
        <v>0.72903511</v>
      </c>
      <c r="M37" s="18" t="n">
        <v>0</v>
      </c>
      <c r="N37" s="20" t="n">
        <v>0</v>
      </c>
      <c r="O37" s="18" t="n">
        <v>0</v>
      </c>
      <c r="P37" s="20" t="n">
        <v>0</v>
      </c>
      <c r="Q37" s="18" t="n">
        <v>0.95211693</v>
      </c>
      <c r="R37" s="20" t="n">
        <v>0.36054996</v>
      </c>
    </row>
    <row r="38" spans="1:18">
      <c r="A38" s="15" t="s">
        <v>460</v>
      </c>
      <c r="B38" s="17" t="n">
        <v>5860</v>
      </c>
      <c r="C38" s="18">
        <f>(4887.0/B38*100)</f>
        <v/>
      </c>
      <c r="D38" s="19" t="n">
        <v>973</v>
      </c>
      <c r="E38" s="18" t="n">
        <v>19.90142814</v>
      </c>
      <c r="F38" s="20" t="n">
        <v>1.56725892</v>
      </c>
      <c r="G38" s="18" t="n">
        <v>76.6740949</v>
      </c>
      <c r="H38" s="20" t="n">
        <v>1.68742544</v>
      </c>
      <c r="I38" s="18" t="n">
        <v>0</v>
      </c>
      <c r="J38" s="20" t="n">
        <v>0</v>
      </c>
      <c r="K38" s="18" t="n">
        <v>2.60377394</v>
      </c>
      <c r="L38" s="20" t="n">
        <v>0.63926048</v>
      </c>
      <c r="M38" s="18" t="n">
        <v>0</v>
      </c>
      <c r="N38" s="20" t="n">
        <v>0</v>
      </c>
      <c r="O38" s="18" t="n">
        <v>0</v>
      </c>
      <c r="P38" s="20" t="n">
        <v>0</v>
      </c>
      <c r="Q38" s="18" t="n">
        <v>0.82070303</v>
      </c>
      <c r="R38" s="20" t="n">
        <v>0.30111853</v>
      </c>
    </row>
    <row r="39" spans="1:18">
      <c r="A39" s="15" t="s">
        <v>461</v>
      </c>
      <c r="B39" s="17" t="n">
        <v>5895</v>
      </c>
      <c r="C39" s="18">
        <f>(5174.0/B39*100)</f>
        <v/>
      </c>
      <c r="D39" s="19" t="n">
        <v>721</v>
      </c>
      <c r="E39" s="18" t="n">
        <v>37.97489098</v>
      </c>
      <c r="F39" s="20" t="n">
        <v>1.80412293</v>
      </c>
      <c r="G39" s="18" t="n">
        <v>59.69054507</v>
      </c>
      <c r="H39" s="20" t="n">
        <v>1.85915599</v>
      </c>
      <c r="I39" s="18" t="n">
        <v>0</v>
      </c>
      <c r="J39" s="20" t="n">
        <v>0</v>
      </c>
      <c r="K39" s="18" t="n">
        <v>1.22487342</v>
      </c>
      <c r="L39" s="20" t="n">
        <v>0.28185906</v>
      </c>
      <c r="M39" s="18" t="n">
        <v>0</v>
      </c>
      <c r="N39" s="20" t="n">
        <v>0</v>
      </c>
      <c r="O39" s="18" t="n">
        <v>0</v>
      </c>
      <c r="P39" s="20" t="n">
        <v>0</v>
      </c>
      <c r="Q39" s="18" t="n">
        <v>1.10969052</v>
      </c>
      <c r="R39" s="20" t="n">
        <v>0.30418747</v>
      </c>
    </row>
    <row r="40" spans="1:18">
      <c r="A40" s="15" t="s">
        <v>462</v>
      </c>
      <c r="B40" s="17" t="n">
        <v>14157</v>
      </c>
      <c r="C40" s="18">
        <f>(12455.0/B40*100)</f>
        <v/>
      </c>
      <c r="D40" s="19" t="n">
        <v>1702</v>
      </c>
      <c r="E40" s="18" t="n">
        <v>16.95966026</v>
      </c>
      <c r="F40" s="20" t="n">
        <v>1.34573189</v>
      </c>
      <c r="G40" s="18" t="n">
        <v>81.32658768</v>
      </c>
      <c r="H40" s="20" t="n">
        <v>1.36233054</v>
      </c>
      <c r="I40" s="18" t="n">
        <v>0</v>
      </c>
      <c r="J40" s="20" t="n">
        <v>0</v>
      </c>
      <c r="K40" s="18" t="n">
        <v>1.03555185</v>
      </c>
      <c r="L40" s="20" t="n">
        <v>0.36428498</v>
      </c>
      <c r="M40" s="18" t="n">
        <v>0</v>
      </c>
      <c r="N40" s="20" t="n">
        <v>0</v>
      </c>
      <c r="O40" s="18" t="n">
        <v>0</v>
      </c>
      <c r="P40" s="20" t="n">
        <v>0</v>
      </c>
      <c r="Q40" s="18" t="n">
        <v>0.67820021</v>
      </c>
      <c r="R40" s="20" t="n">
        <v>0.30029994</v>
      </c>
    </row>
    <row r="41" spans="1:18">
      <c r="A41" s="15" t="s">
        <v>463</v>
      </c>
      <c r="B41" s="17" t="n">
        <v>5712</v>
      </c>
      <c r="C41" s="18">
        <f>(5025.0/B41*100)</f>
        <v/>
      </c>
      <c r="D41" s="19" t="n">
        <v>687</v>
      </c>
      <c r="E41" s="18" t="n">
        <v>20.67691655</v>
      </c>
      <c r="F41" s="20" t="n">
        <v>1.57363126</v>
      </c>
      <c r="G41" s="18" t="n">
        <v>77.54091094</v>
      </c>
      <c r="H41" s="20" t="n">
        <v>1.67518753</v>
      </c>
      <c r="I41" s="18" t="n">
        <v>0</v>
      </c>
      <c r="J41" s="20" t="n">
        <v>0</v>
      </c>
      <c r="K41" s="18" t="n">
        <v>1.55751373</v>
      </c>
      <c r="L41" s="20" t="n">
        <v>0.45018401</v>
      </c>
      <c r="M41" s="18" t="n">
        <v>0</v>
      </c>
      <c r="N41" s="20" t="n">
        <v>0</v>
      </c>
      <c r="O41" s="18" t="n">
        <v>0</v>
      </c>
      <c r="P41" s="20" t="n">
        <v>0</v>
      </c>
      <c r="Q41" s="18" t="n">
        <v>0.22465878</v>
      </c>
      <c r="R41" s="20" t="n">
        <v>0.15384763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(21056.0/B46*100)</f>
        <v/>
      </c>
      <c r="D46" s="19" t="n">
        <v>2085</v>
      </c>
      <c r="E46" s="18" t="n">
        <v>39.39073579</v>
      </c>
      <c r="F46" s="20" t="n">
        <v>1.56704664</v>
      </c>
      <c r="G46" s="18" t="n">
        <v>55.56158822</v>
      </c>
      <c r="H46" s="20" t="n">
        <v>1.55311204</v>
      </c>
      <c r="I46" s="18" t="n">
        <v>0</v>
      </c>
      <c r="J46" s="20" t="n">
        <v>0</v>
      </c>
      <c r="K46" s="18" t="n">
        <v>3.76713028</v>
      </c>
      <c r="L46" s="20" t="n">
        <v>0.4945247</v>
      </c>
      <c r="M46" s="18" t="n">
        <v>0</v>
      </c>
      <c r="N46" s="20" t="n">
        <v>0</v>
      </c>
      <c r="O46" s="18" t="n">
        <v>0</v>
      </c>
      <c r="P46" s="20" t="n">
        <v>0</v>
      </c>
      <c r="Q46" s="18" t="n">
        <v>1.28054571</v>
      </c>
      <c r="R46" s="20" t="n">
        <v>0.33195256</v>
      </c>
    </row>
    <row r="47" spans="1:18">
      <c r="A47" s="15" t="s">
        <v>470</v>
      </c>
      <c r="B47" s="17" t="n">
        <v>5928</v>
      </c>
      <c r="C47" s="18">
        <f>(5218.0/B47*100)</f>
        <v/>
      </c>
      <c r="D47" s="19" t="n">
        <v>710</v>
      </c>
      <c r="E47" s="18" t="n">
        <v>31.14943909</v>
      </c>
      <c r="F47" s="20" t="n">
        <v>1.89346314</v>
      </c>
      <c r="G47" s="18" t="n">
        <v>66.48080602</v>
      </c>
      <c r="H47" s="20" t="n">
        <v>1.90416006</v>
      </c>
      <c r="I47" s="18" t="n">
        <v>0</v>
      </c>
      <c r="J47" s="20" t="n">
        <v>0</v>
      </c>
      <c r="K47" s="18" t="n">
        <v>1.7921722</v>
      </c>
      <c r="L47" s="20" t="n">
        <v>0.4829027</v>
      </c>
      <c r="M47" s="18" t="n">
        <v>0</v>
      </c>
      <c r="N47" s="20" t="n">
        <v>0</v>
      </c>
      <c r="O47" s="18" t="n">
        <v>0</v>
      </c>
      <c r="P47" s="20" t="n">
        <v>0</v>
      </c>
      <c r="Q47" s="18" t="n">
        <v>0.57758269</v>
      </c>
      <c r="R47" s="20" t="n">
        <v>0.29666251</v>
      </c>
    </row>
    <row r="48" spans="1:18">
      <c r="A48" s="15" t="s">
        <v>471</v>
      </c>
      <c r="B48" s="17" t="n">
        <v>9841</v>
      </c>
      <c r="C48" s="18">
        <f>(8660.0/B48*100)</f>
        <v/>
      </c>
      <c r="D48" s="19" t="n">
        <v>1181</v>
      </c>
      <c r="E48" s="18" t="n">
        <v>11.98750816</v>
      </c>
      <c r="F48" s="20" t="n">
        <v>1.36123907</v>
      </c>
      <c r="G48" s="18" t="n">
        <v>85.07021155</v>
      </c>
      <c r="H48" s="20" t="n">
        <v>1.63490828</v>
      </c>
      <c r="I48" s="18" t="n">
        <v>0</v>
      </c>
      <c r="J48" s="20" t="n">
        <v>0</v>
      </c>
      <c r="K48" s="18" t="n">
        <v>2.8016869</v>
      </c>
      <c r="L48" s="20" t="n">
        <v>0.83570809</v>
      </c>
      <c r="M48" s="18" t="n">
        <v>0</v>
      </c>
      <c r="N48" s="20" t="n">
        <v>0</v>
      </c>
      <c r="O48" s="18" t="n">
        <v>0</v>
      </c>
      <c r="P48" s="20" t="n">
        <v>0</v>
      </c>
      <c r="Q48" s="18" t="n">
        <v>0.14059339</v>
      </c>
      <c r="R48" s="20" t="n">
        <v>0.14107396</v>
      </c>
    </row>
    <row r="49" spans="1:18">
      <c r="A49" s="15" t="s">
        <v>472</v>
      </c>
      <c r="B49" s="17" t="n">
        <v>11795</v>
      </c>
      <c r="C49" s="18">
        <f>(10426.0/B49*100)</f>
        <v/>
      </c>
      <c r="D49" s="19" t="n">
        <v>1369</v>
      </c>
      <c r="E49" s="18" t="n">
        <v>31.38723114</v>
      </c>
      <c r="F49" s="20" t="n">
        <v>1.68145954</v>
      </c>
      <c r="G49" s="18" t="n">
        <v>62.97875474</v>
      </c>
      <c r="H49" s="20" t="n">
        <v>1.72944072</v>
      </c>
      <c r="I49" s="18" t="n">
        <v>0</v>
      </c>
      <c r="J49" s="20" t="n">
        <v>0</v>
      </c>
      <c r="K49" s="18" t="n">
        <v>4.68522092</v>
      </c>
      <c r="L49" s="20" t="n">
        <v>0.82969346</v>
      </c>
      <c r="M49" s="18" t="n">
        <v>0</v>
      </c>
      <c r="N49" s="20" t="n">
        <v>0</v>
      </c>
      <c r="O49" s="18" t="n">
        <v>0</v>
      </c>
      <c r="P49" s="20" t="n">
        <v>0</v>
      </c>
      <c r="Q49" s="18" t="n">
        <v>0.9487932</v>
      </c>
      <c r="R49" s="20" t="n">
        <v>0.38838982</v>
      </c>
    </row>
    <row r="50" spans="1:18">
      <c r="A50" s="15" t="s">
        <v>473</v>
      </c>
      <c r="B50" s="17" t="n">
        <v>6866</v>
      </c>
      <c r="C50" s="18">
        <f>(6170.0/B50*100)</f>
        <v/>
      </c>
      <c r="D50" s="19" t="n">
        <v>696</v>
      </c>
      <c r="E50" s="18" t="n">
        <v>23.02901164</v>
      </c>
      <c r="F50" s="20" t="n">
        <v>1.69951797</v>
      </c>
      <c r="G50" s="18" t="n">
        <v>73.61427041</v>
      </c>
      <c r="H50" s="20" t="n">
        <v>1.87383773</v>
      </c>
      <c r="I50" s="18" t="n">
        <v>0</v>
      </c>
      <c r="J50" s="20" t="n">
        <v>0</v>
      </c>
      <c r="K50" s="18" t="n">
        <v>2.60600892</v>
      </c>
      <c r="L50" s="20" t="n">
        <v>0.58695332</v>
      </c>
      <c r="M50" s="18" t="n">
        <v>0</v>
      </c>
      <c r="N50" s="20" t="n">
        <v>0</v>
      </c>
      <c r="O50" s="18" t="n">
        <v>0</v>
      </c>
      <c r="P50" s="20" t="n">
        <v>0</v>
      </c>
      <c r="Q50" s="18" t="n">
        <v>0.75070904</v>
      </c>
      <c r="R50" s="20" t="n">
        <v>0.31817574</v>
      </c>
    </row>
    <row r="51" spans="1:18">
      <c r="A51" s="15" t="s">
        <v>474</v>
      </c>
      <c r="B51" s="17" t="n">
        <v>5809</v>
      </c>
      <c r="C51" s="18">
        <f>(5114.0/B51*100)</f>
        <v/>
      </c>
      <c r="D51" s="19" t="n">
        <v>695</v>
      </c>
      <c r="E51" s="18" t="n">
        <v>16.38235145</v>
      </c>
      <c r="F51" s="20" t="n">
        <v>1.30809555</v>
      </c>
      <c r="G51" s="18" t="n">
        <v>81.92386462</v>
      </c>
      <c r="H51" s="20" t="n">
        <v>1.2993388</v>
      </c>
      <c r="I51" s="18" t="n">
        <v>0</v>
      </c>
      <c r="J51" s="20" t="n">
        <v>0</v>
      </c>
      <c r="K51" s="18" t="n">
        <v>0.97315683</v>
      </c>
      <c r="L51" s="20" t="n">
        <v>0.49944365</v>
      </c>
      <c r="M51" s="18" t="n">
        <v>0</v>
      </c>
      <c r="N51" s="20" t="n">
        <v>0</v>
      </c>
      <c r="O51" s="18" t="n">
        <v>0</v>
      </c>
      <c r="P51" s="20" t="n">
        <v>0</v>
      </c>
      <c r="Q51" s="18" t="n">
        <v>0.7206271</v>
      </c>
      <c r="R51" s="20" t="n">
        <v>0.32562973</v>
      </c>
    </row>
    <row r="52" spans="1:18">
      <c r="A52" s="15" t="s">
        <v>475</v>
      </c>
      <c r="B52" s="17" t="n">
        <v>5571</v>
      </c>
      <c r="C52" s="18">
        <f>(4919.0/B52*100)</f>
        <v/>
      </c>
      <c r="D52" s="19" t="n">
        <v>652</v>
      </c>
      <c r="E52" s="18" t="n">
        <v>32.77523573</v>
      </c>
      <c r="F52" s="20" t="n">
        <v>1.83705126</v>
      </c>
      <c r="G52" s="18" t="n">
        <v>63.43249541</v>
      </c>
      <c r="H52" s="20" t="n">
        <v>1.93161552</v>
      </c>
      <c r="I52" s="18" t="n">
        <v>0</v>
      </c>
      <c r="J52" s="20" t="n">
        <v>0</v>
      </c>
      <c r="K52" s="18" t="n">
        <v>2.93206881</v>
      </c>
      <c r="L52" s="20" t="n">
        <v>0.58867026</v>
      </c>
      <c r="M52" s="18" t="n">
        <v>0</v>
      </c>
      <c r="N52" s="20" t="n">
        <v>0</v>
      </c>
      <c r="O52" s="18" t="n">
        <v>0</v>
      </c>
      <c r="P52" s="20" t="n">
        <v>0</v>
      </c>
      <c r="Q52" s="18" t="n">
        <v>0.8602000400000001</v>
      </c>
      <c r="R52" s="20" t="n">
        <v>0.36162639</v>
      </c>
    </row>
    <row r="53" spans="1:18">
      <c r="A53" s="15" t="s">
        <v>476</v>
      </c>
      <c r="B53" s="17" t="n">
        <v>4740</v>
      </c>
      <c r="C53" s="18">
        <f>(3979.0/B53*100)</f>
        <v/>
      </c>
      <c r="D53" s="19" t="n">
        <v>761</v>
      </c>
      <c r="E53" s="18" t="n">
        <v>40.27397498</v>
      </c>
      <c r="F53" s="20" t="n">
        <v>1.72981106</v>
      </c>
      <c r="G53" s="18" t="n">
        <v>37.8513317</v>
      </c>
      <c r="H53" s="20" t="n">
        <v>1.76442487</v>
      </c>
      <c r="I53" s="18" t="n">
        <v>0</v>
      </c>
      <c r="J53" s="20" t="n">
        <v>0</v>
      </c>
      <c r="K53" s="18" t="n">
        <v>20.15007664</v>
      </c>
      <c r="L53" s="20" t="n">
        <v>1.3830122</v>
      </c>
      <c r="M53" s="18" t="n">
        <v>0</v>
      </c>
      <c r="N53" s="20" t="n">
        <v>0</v>
      </c>
      <c r="O53" s="18" t="n">
        <v>0</v>
      </c>
      <c r="P53" s="20" t="n">
        <v>0</v>
      </c>
      <c r="Q53" s="18" t="n">
        <v>1.72461668</v>
      </c>
      <c r="R53" s="20" t="n">
        <v>0.577084</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(4705.0/B55*100)</f>
        <v/>
      </c>
      <c r="D55" s="19" t="n">
        <v>654</v>
      </c>
      <c r="E55" s="18" t="n">
        <v>9.131994239999999</v>
      </c>
      <c r="F55" s="20" t="n">
        <v>1.1485551</v>
      </c>
      <c r="G55" s="18" t="n">
        <v>89.10193443</v>
      </c>
      <c r="H55" s="20" t="n">
        <v>1.13064815</v>
      </c>
      <c r="I55" s="18" t="n">
        <v>0</v>
      </c>
      <c r="J55" s="20" t="n">
        <v>0</v>
      </c>
      <c r="K55" s="18" t="n">
        <v>1.39802217</v>
      </c>
      <c r="L55" s="20" t="n">
        <v>0.39933022</v>
      </c>
      <c r="M55" s="18" t="n">
        <v>0</v>
      </c>
      <c r="N55" s="20" t="n">
        <v>0</v>
      </c>
      <c r="O55" s="18" t="n">
        <v>0</v>
      </c>
      <c r="P55" s="20" t="n">
        <v>0</v>
      </c>
      <c r="Q55" s="18" t="n">
        <v>0.36804916</v>
      </c>
      <c r="R55" s="20" t="n">
        <v>0.20524151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(5744.0/B61*100)</f>
        <v/>
      </c>
      <c r="D61" s="19" t="n">
        <v>781</v>
      </c>
      <c r="E61" s="18" t="n">
        <v>18.089907</v>
      </c>
      <c r="F61" s="20" t="n">
        <v>1.74121793</v>
      </c>
      <c r="G61" s="18" t="n">
        <v>80.11586035000001</v>
      </c>
      <c r="H61" s="20" t="n">
        <v>1.77460663</v>
      </c>
      <c r="I61" s="18" t="n">
        <v>0</v>
      </c>
      <c r="J61" s="20" t="n">
        <v>0</v>
      </c>
      <c r="K61" s="18" t="n">
        <v>1.27525219</v>
      </c>
      <c r="L61" s="20" t="n">
        <v>0.45776313</v>
      </c>
      <c r="M61" s="18" t="n">
        <v>0</v>
      </c>
      <c r="N61" s="20" t="n">
        <v>0</v>
      </c>
      <c r="O61" s="18" t="n">
        <v>0</v>
      </c>
      <c r="P61" s="20" t="n">
        <v>0</v>
      </c>
      <c r="Q61" s="18" t="n">
        <v>0.51898045</v>
      </c>
      <c r="R61" s="20" t="n">
        <v>0.26030568</v>
      </c>
    </row>
    <row r="62" spans="1:18">
      <c r="A62" s="15" t="s">
        <v>486</v>
      </c>
      <c r="B62" s="17" t="n">
        <v>4476</v>
      </c>
      <c r="C62" s="18">
        <f>(3944.0/B62*100)</f>
        <v/>
      </c>
      <c r="D62" s="19" t="n">
        <v>532</v>
      </c>
      <c r="E62" s="18" t="n">
        <v>9.78868016</v>
      </c>
      <c r="F62" s="20" t="n">
        <v>1.13304367</v>
      </c>
      <c r="G62" s="18" t="n">
        <v>89.83597598</v>
      </c>
      <c r="H62" s="20" t="n">
        <v>1.12873535</v>
      </c>
      <c r="I62" s="18" t="n">
        <v>0</v>
      </c>
      <c r="J62" s="20" t="n">
        <v>0</v>
      </c>
      <c r="K62" s="18" t="n">
        <v>0.37534386</v>
      </c>
      <c r="L62" s="20" t="n">
        <v>0.26469496</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(4995.0/B67*100)</f>
        <v/>
      </c>
      <c r="D67" s="19" t="n">
        <v>670</v>
      </c>
      <c r="E67" s="18" t="n">
        <v>28.51759697</v>
      </c>
      <c r="F67" s="20" t="n">
        <v>1.86626343</v>
      </c>
      <c r="G67" s="18" t="n">
        <v>64.23798711000001</v>
      </c>
      <c r="H67" s="20" t="n">
        <v>2.09524201</v>
      </c>
      <c r="I67" s="18" t="n">
        <v>0</v>
      </c>
      <c r="J67" s="20" t="n">
        <v>0</v>
      </c>
      <c r="K67" s="18" t="n">
        <v>5.69442107</v>
      </c>
      <c r="L67" s="20" t="n">
        <v>0.98909019</v>
      </c>
      <c r="M67" s="18" t="n">
        <v>0</v>
      </c>
      <c r="N67" s="20" t="n">
        <v>0</v>
      </c>
      <c r="O67" s="18" t="n">
        <v>0</v>
      </c>
      <c r="P67" s="20" t="n">
        <v>0</v>
      </c>
      <c r="Q67" s="18" t="n">
        <v>1.54999486</v>
      </c>
      <c r="R67" s="20" t="n">
        <v>0.42466322</v>
      </c>
    </row>
    <row r="68" spans="1:18">
      <c r="A68" s="15" t="s">
        <v>492</v>
      </c>
      <c r="B68" s="17" t="n">
        <v>6971</v>
      </c>
      <c r="C68" s="18">
        <f>(6292.0/B68*100)</f>
        <v/>
      </c>
      <c r="D68" s="19" t="n">
        <v>679</v>
      </c>
      <c r="E68" s="18" t="n">
        <v>30.15058401</v>
      </c>
      <c r="F68" s="20" t="n">
        <v>2.06886108</v>
      </c>
      <c r="G68" s="18" t="n">
        <v>67.9306574</v>
      </c>
      <c r="H68" s="20" t="n">
        <v>2.07963603</v>
      </c>
      <c r="I68" s="18" t="n">
        <v>0</v>
      </c>
      <c r="J68" s="20" t="n">
        <v>0</v>
      </c>
      <c r="K68" s="18" t="n">
        <v>0.83403162</v>
      </c>
      <c r="L68" s="20" t="n">
        <v>0.34160729</v>
      </c>
      <c r="M68" s="18" t="n">
        <v>0</v>
      </c>
      <c r="N68" s="20" t="n">
        <v>0</v>
      </c>
      <c r="O68" s="18" t="n">
        <v>0</v>
      </c>
      <c r="P68" s="20" t="n">
        <v>0</v>
      </c>
      <c r="Q68" s="18" t="n">
        <v>1.08472696</v>
      </c>
      <c r="R68" s="20" t="n">
        <v>0.43385449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(10081.0/B70*100)</f>
        <v/>
      </c>
      <c r="D70" s="19" t="n">
        <v>2002</v>
      </c>
      <c r="E70" s="18" t="n">
        <v>38.86147728</v>
      </c>
      <c r="F70" s="20" t="n">
        <v>1.06538206</v>
      </c>
      <c r="G70" s="18" t="n">
        <v>53.17590576</v>
      </c>
      <c r="H70" s="20" t="n">
        <v>1.05557238</v>
      </c>
      <c r="I70" s="18" t="n">
        <v>0</v>
      </c>
      <c r="J70" s="20" t="n">
        <v>0</v>
      </c>
      <c r="K70" s="18" t="n">
        <v>6.13105509</v>
      </c>
      <c r="L70" s="20" t="n">
        <v>0.54919067</v>
      </c>
      <c r="M70" s="18" t="n">
        <v>0</v>
      </c>
      <c r="N70" s="20" t="n">
        <v>0</v>
      </c>
      <c r="O70" s="18" t="n">
        <v>0</v>
      </c>
      <c r="P70" s="20" t="n">
        <v>0</v>
      </c>
      <c r="Q70" s="18" t="n">
        <v>1.83156187</v>
      </c>
      <c r="R70" s="20" t="n">
        <v>0.34105902</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(5358.0/B72*100)</f>
        <v/>
      </c>
      <c r="D72" s="19" t="n">
        <v>678</v>
      </c>
      <c r="E72" s="18" t="n">
        <v>14.15961461</v>
      </c>
      <c r="F72" s="20" t="n">
        <v>1.31644623</v>
      </c>
      <c r="G72" s="18" t="n">
        <v>83.76995522999999</v>
      </c>
      <c r="H72" s="20" t="n">
        <v>1.44381368</v>
      </c>
      <c r="I72" s="18" t="n">
        <v>0</v>
      </c>
      <c r="J72" s="20" t="n">
        <v>0</v>
      </c>
      <c r="K72" s="18" t="n">
        <v>1.51437952</v>
      </c>
      <c r="L72" s="20" t="n">
        <v>0.53011809</v>
      </c>
      <c r="M72" s="18" t="n">
        <v>0</v>
      </c>
      <c r="N72" s="20" t="n">
        <v>0</v>
      </c>
      <c r="O72" s="18" t="n">
        <v>0</v>
      </c>
      <c r="P72" s="20" t="n">
        <v>0</v>
      </c>
      <c r="Q72" s="18" t="n">
        <v>0.55605065</v>
      </c>
      <c r="R72" s="20" t="n">
        <v>0.33326181</v>
      </c>
    </row>
    <row r="73" spans="1:18">
      <c r="A73" s="15" t="s">
        <v>497</v>
      </c>
      <c r="B73" s="17" t="n">
        <v>6115</v>
      </c>
      <c r="C73" s="18">
        <f>(5368.0/B73*100)</f>
        <v/>
      </c>
      <c r="D73" s="19" t="n">
        <v>747</v>
      </c>
      <c r="E73" s="18" t="n">
        <v>14.56786689</v>
      </c>
      <c r="F73" s="20" t="n">
        <v>1.20641345</v>
      </c>
      <c r="G73" s="18" t="n">
        <v>84.02822607</v>
      </c>
      <c r="H73" s="20" t="n">
        <v>1.2664667</v>
      </c>
      <c r="I73" s="18" t="n">
        <v>0</v>
      </c>
      <c r="J73" s="20" t="n">
        <v>0</v>
      </c>
      <c r="K73" s="18" t="n">
        <v>1.01946364</v>
      </c>
      <c r="L73" s="20" t="n">
        <v>0.35905782</v>
      </c>
      <c r="M73" s="18" t="n">
        <v>0</v>
      </c>
      <c r="N73" s="20" t="n">
        <v>0</v>
      </c>
      <c r="O73" s="18" t="n">
        <v>0</v>
      </c>
      <c r="P73" s="20" t="n">
        <v>0</v>
      </c>
      <c r="Q73" s="18" t="n">
        <v>0.3844434</v>
      </c>
      <c r="R73" s="20" t="n">
        <v>0.16865634</v>
      </c>
    </row>
    <row r="74" spans="1:18">
      <c r="A74" s="15" t="s">
        <v>498</v>
      </c>
      <c r="B74" s="17" t="n">
        <v>7708</v>
      </c>
      <c r="C74" s="18">
        <f>(6763.0/B74*100)</f>
        <v/>
      </c>
      <c r="D74" s="19" t="n">
        <v>945</v>
      </c>
      <c r="E74" s="18" t="n">
        <v>9.688856169999999</v>
      </c>
      <c r="F74" s="20" t="n">
        <v>1.03005371</v>
      </c>
      <c r="G74" s="18" t="n">
        <v>90.09845842</v>
      </c>
      <c r="H74" s="20" t="n">
        <v>1.05001892</v>
      </c>
      <c r="I74" s="18" t="n">
        <v>0</v>
      </c>
      <c r="J74" s="20" t="n">
        <v>0</v>
      </c>
      <c r="K74" s="18" t="n">
        <v>0.13916867</v>
      </c>
      <c r="L74" s="20" t="n">
        <v>0.09247935</v>
      </c>
      <c r="M74" s="18" t="n">
        <v>0</v>
      </c>
      <c r="N74" s="20" t="n">
        <v>0</v>
      </c>
      <c r="O74" s="18" t="n">
        <v>0</v>
      </c>
      <c r="P74" s="20" t="n">
        <v>0</v>
      </c>
      <c r="Q74" s="18" t="n">
        <v>0.07351673</v>
      </c>
      <c r="R74" s="20" t="n">
        <v>0.07584022</v>
      </c>
    </row>
    <row r="75" spans="1:18">
      <c r="A75" s="15" t="s">
        <v>499</v>
      </c>
      <c r="B75" s="17" t="n">
        <v>8249</v>
      </c>
      <c r="C75" s="18">
        <f>(7328.0/B75*100)</f>
        <v/>
      </c>
      <c r="D75" s="19" t="n">
        <v>921</v>
      </c>
      <c r="E75" s="18" t="n">
        <v>51.84746813</v>
      </c>
      <c r="F75" s="20" t="n">
        <v>2.36037852</v>
      </c>
      <c r="G75" s="18" t="n">
        <v>47.63240213</v>
      </c>
      <c r="H75" s="20" t="n">
        <v>2.37367382</v>
      </c>
      <c r="I75" s="18" t="n">
        <v>0</v>
      </c>
      <c r="J75" s="20" t="n">
        <v>0</v>
      </c>
      <c r="K75" s="18" t="n">
        <v>0.28195752</v>
      </c>
      <c r="L75" s="20" t="n">
        <v>0.22772213</v>
      </c>
      <c r="M75" s="18" t="n">
        <v>0</v>
      </c>
      <c r="N75" s="20" t="n">
        <v>0</v>
      </c>
      <c r="O75" s="18" t="n">
        <v>0</v>
      </c>
      <c r="P75" s="20" t="n">
        <v>0</v>
      </c>
      <c r="Q75" s="18" t="n">
        <v>0.23817222</v>
      </c>
      <c r="R75" s="20" t="n">
        <v>0.17316998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(4809.0/B77*100)</f>
        <v/>
      </c>
      <c r="D77" s="19" t="n">
        <v>566</v>
      </c>
      <c r="E77" s="18" t="n">
        <v>32.73701032</v>
      </c>
      <c r="F77" s="20" t="n">
        <v>1.93482761</v>
      </c>
      <c r="G77" s="18" t="n">
        <v>57.64628388</v>
      </c>
      <c r="H77" s="20" t="n">
        <v>2.49822049</v>
      </c>
      <c r="I77" s="18" t="n">
        <v>0</v>
      </c>
      <c r="J77" s="20" t="n">
        <v>0</v>
      </c>
      <c r="K77" s="18" t="n">
        <v>8.074863029999999</v>
      </c>
      <c r="L77" s="20" t="n">
        <v>1.30761673</v>
      </c>
      <c r="M77" s="18" t="n">
        <v>0</v>
      </c>
      <c r="N77" s="20" t="n">
        <v>0</v>
      </c>
      <c r="O77" s="18" t="n">
        <v>0</v>
      </c>
      <c r="P77" s="20" t="n">
        <v>0</v>
      </c>
      <c r="Q77" s="18" t="n">
        <v>1.54184277</v>
      </c>
      <c r="R77" s="20" t="n">
        <v>0.56878728</v>
      </c>
    </row>
    <row r="78" spans="1:18">
      <c r="A78" s="15" t="s">
        <v>502</v>
      </c>
      <c r="B78" s="17" t="n">
        <v>14167</v>
      </c>
      <c r="C78" s="18">
        <f>(12418.0/B78*100)</f>
        <v/>
      </c>
      <c r="D78" s="19" t="n">
        <v>1749</v>
      </c>
      <c r="E78" s="18" t="n">
        <v>34.65521388</v>
      </c>
      <c r="F78" s="20" t="n">
        <v>1.7197204</v>
      </c>
      <c r="G78" s="18" t="n">
        <v>62.52976564</v>
      </c>
      <c r="H78" s="20" t="n">
        <v>1.83785786</v>
      </c>
      <c r="I78" s="18" t="n">
        <v>0</v>
      </c>
      <c r="J78" s="20" t="n">
        <v>0</v>
      </c>
      <c r="K78" s="18" t="n">
        <v>1.72587521</v>
      </c>
      <c r="L78" s="20" t="n">
        <v>0.39465845</v>
      </c>
      <c r="M78" s="18" t="n">
        <v>0</v>
      </c>
      <c r="N78" s="20" t="n">
        <v>0</v>
      </c>
      <c r="O78" s="18" t="n">
        <v>0</v>
      </c>
      <c r="P78" s="20" t="n">
        <v>0</v>
      </c>
      <c r="Q78" s="18" t="n">
        <v>1.08914527</v>
      </c>
      <c r="R78" s="20" t="n">
        <v>0.30553844</v>
      </c>
    </row>
    <row r="79" spans="1:18">
      <c r="A79" s="15" t="s">
        <v>503</v>
      </c>
      <c r="B79" s="17" t="n">
        <v>6062</v>
      </c>
      <c r="C79" s="18">
        <f>(5387.0/B79*100)</f>
        <v/>
      </c>
      <c r="D79" s="19" t="n">
        <v>675</v>
      </c>
      <c r="E79" s="18" t="n">
        <v>27.62148658</v>
      </c>
      <c r="F79" s="20" t="n">
        <v>1.61733035</v>
      </c>
      <c r="G79" s="18" t="n">
        <v>63.2347018</v>
      </c>
      <c r="H79" s="20" t="n">
        <v>1.78896136</v>
      </c>
      <c r="I79" s="18" t="n">
        <v>0</v>
      </c>
      <c r="J79" s="20" t="n">
        <v>0</v>
      </c>
      <c r="K79" s="18" t="n">
        <v>8.133838219999999</v>
      </c>
      <c r="L79" s="20" t="n">
        <v>1.07428158</v>
      </c>
      <c r="M79" s="18" t="n">
        <v>0</v>
      </c>
      <c r="N79" s="20" t="n">
        <v>0</v>
      </c>
      <c r="O79" s="18" t="n">
        <v>0</v>
      </c>
      <c r="P79" s="20" t="n">
        <v>0</v>
      </c>
      <c r="Q79" s="18" t="n">
        <v>1.00997339</v>
      </c>
      <c r="R79" s="20" t="n">
        <v>0.41336203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(28514.0/B82*100)</f>
        <v/>
      </c>
      <c r="D82" s="19" t="n">
        <v>3816</v>
      </c>
      <c r="E82" s="18" t="n">
        <v>17.86758774</v>
      </c>
      <c r="F82" s="20" t="n">
        <v>1.10120486</v>
      </c>
      <c r="G82" s="18" t="n">
        <v>80.46209637</v>
      </c>
      <c r="H82" s="20" t="n">
        <v>1.0764</v>
      </c>
      <c r="I82" s="18" t="n">
        <v>0</v>
      </c>
      <c r="J82" s="20" t="n">
        <v>0</v>
      </c>
      <c r="K82" s="18" t="n">
        <v>1.430456</v>
      </c>
      <c r="L82" s="20" t="n">
        <v>0.2389971</v>
      </c>
      <c r="M82" s="18" t="n">
        <v>0</v>
      </c>
      <c r="N82" s="20" t="n">
        <v>0</v>
      </c>
      <c r="O82" s="18" t="n">
        <v>0</v>
      </c>
      <c r="P82" s="20" t="n">
        <v>0</v>
      </c>
      <c r="Q82" s="18" t="n">
        <v>0.23985989</v>
      </c>
      <c r="R82" s="20" t="n">
        <v>0.07752857</v>
      </c>
    </row>
    <row r="83" spans="1:18">
      <c r="A83" s="15" t="s">
        <v>507</v>
      </c>
      <c r="B83" s="17" t="n">
        <v>1652</v>
      </c>
      <c r="C83" s="18">
        <f>(1466.0/B83*100)</f>
        <v/>
      </c>
      <c r="D83" s="19" t="n">
        <v>186</v>
      </c>
      <c r="E83" s="18" t="n">
        <v>12.27594796</v>
      </c>
      <c r="F83" s="20" t="n">
        <v>2.70704864</v>
      </c>
      <c r="G83" s="18" t="n">
        <v>86.7347915</v>
      </c>
      <c r="H83" s="20" t="n">
        <v>2.68290505</v>
      </c>
      <c r="I83" s="18" t="n">
        <v>0</v>
      </c>
      <c r="J83" s="20" t="n">
        <v>0</v>
      </c>
      <c r="K83" s="18" t="n">
        <v>0.98926054</v>
      </c>
      <c r="L83" s="20" t="n">
        <v>0.65978983</v>
      </c>
      <c r="M83" s="18" t="n">
        <v>0</v>
      </c>
      <c r="N83" s="20" t="n">
        <v>0</v>
      </c>
      <c r="O83" s="18" t="n">
        <v>0</v>
      </c>
      <c r="P83" s="20" t="n">
        <v>0</v>
      </c>
      <c r="Q83" s="18" t="n">
        <v>0</v>
      </c>
      <c r="R83" s="20" t="n">
        <v>0</v>
      </c>
    </row>
    <row r="84" spans="1:18">
      <c r="A84" s="23" t="s">
        <v>508</v>
      </c>
      <c r="B84" s="24" t="n">
        <v>1887</v>
      </c>
      <c r="C84" s="25">
        <f>(1669.0/B84*100)</f>
        <v/>
      </c>
      <c r="D84" s="19" t="n">
        <v>218</v>
      </c>
      <c r="E84" s="18" t="n">
        <v>17.30062447</v>
      </c>
      <c r="F84" s="20" t="n">
        <v>2.35760741</v>
      </c>
      <c r="G84" s="18" t="n">
        <v>81.80454605</v>
      </c>
      <c r="H84" s="20" t="n">
        <v>2.55269692</v>
      </c>
      <c r="I84" s="18" t="n">
        <v>0</v>
      </c>
      <c r="J84" s="20" t="n">
        <v>0</v>
      </c>
      <c r="K84" s="18" t="n">
        <v>0.4510907</v>
      </c>
      <c r="L84" s="20" t="n">
        <v>0.45765863</v>
      </c>
      <c r="M84" s="18" t="n">
        <v>0</v>
      </c>
      <c r="N84" s="20" t="n">
        <v>0</v>
      </c>
      <c r="O84" s="18" t="n">
        <v>0</v>
      </c>
      <c r="P84" s="20" t="n">
        <v>0</v>
      </c>
      <c r="Q84" s="18" t="n">
        <v>0.44373877</v>
      </c>
      <c r="R84" s="20" t="n">
        <v>0.44390482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579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(12818.0/B7*100)</f>
        <v/>
      </c>
      <c r="D7" s="19" t="n">
        <v>1712</v>
      </c>
      <c r="E7" s="18" t="n">
        <v>28.95372523</v>
      </c>
      <c r="F7" s="20" t="n">
        <v>1.37367497</v>
      </c>
      <c r="G7" s="18" t="n">
        <v>68.94886766</v>
      </c>
      <c r="H7" s="20" t="n">
        <v>1.44150069</v>
      </c>
      <c r="I7" s="18" t="n">
        <v>0</v>
      </c>
      <c r="J7" s="20" t="n">
        <v>0</v>
      </c>
      <c r="K7" s="18" t="n">
        <v>2.09740711</v>
      </c>
      <c r="L7" s="20" t="n">
        <v>0.3948143</v>
      </c>
      <c r="M7" s="18" t="n">
        <v>0</v>
      </c>
      <c r="N7" s="20" t="n">
        <v>0</v>
      </c>
      <c r="O7" s="18" t="n">
        <v>0</v>
      </c>
      <c r="P7" s="20" t="n">
        <v>0</v>
      </c>
      <c r="Q7" s="18" t="n">
        <v>0</v>
      </c>
      <c r="R7" s="20" t="n">
        <v>0</v>
      </c>
    </row>
    <row r="8" spans="1:18">
      <c r="A8" s="15" t="s">
        <v>430</v>
      </c>
      <c r="B8" s="17" t="n">
        <v>7007</v>
      </c>
      <c r="C8" s="18">
        <f>(6115.0/B8*100)</f>
        <v/>
      </c>
      <c r="D8" s="19" t="n">
        <v>892</v>
      </c>
      <c r="E8" s="18" t="n">
        <v>33.53586801</v>
      </c>
      <c r="F8" s="20" t="n">
        <v>1.74539297</v>
      </c>
      <c r="G8" s="18" t="n">
        <v>64.13354947000001</v>
      </c>
      <c r="H8" s="20" t="n">
        <v>1.80029265</v>
      </c>
      <c r="I8" s="18" t="n">
        <v>0</v>
      </c>
      <c r="J8" s="20" t="n">
        <v>0</v>
      </c>
      <c r="K8" s="18" t="n">
        <v>2.33058252</v>
      </c>
      <c r="L8" s="20" t="n">
        <v>0.61050943</v>
      </c>
      <c r="M8" s="18" t="n">
        <v>0</v>
      </c>
      <c r="N8" s="20" t="n">
        <v>0</v>
      </c>
      <c r="O8" s="18" t="n">
        <v>0</v>
      </c>
      <c r="P8" s="20" t="n">
        <v>0</v>
      </c>
      <c r="Q8" s="18" t="n">
        <v>0</v>
      </c>
      <c r="R8" s="20" t="n">
        <v>0</v>
      </c>
    </row>
    <row r="9" spans="1:18">
      <c r="A9" s="15" t="s">
        <v>431</v>
      </c>
      <c r="B9" s="17" t="n">
        <v>9651</v>
      </c>
      <c r="C9" s="18">
        <f>(8534.0/B9*100)</f>
        <v/>
      </c>
      <c r="D9" s="19" t="n">
        <v>1117</v>
      </c>
      <c r="E9" s="18" t="n">
        <v>30.61197028</v>
      </c>
      <c r="F9" s="20" t="n">
        <v>1.41582748</v>
      </c>
      <c r="G9" s="18" t="n">
        <v>67.44578285999999</v>
      </c>
      <c r="H9" s="20" t="n">
        <v>1.40648448</v>
      </c>
      <c r="I9" s="18" t="n">
        <v>0</v>
      </c>
      <c r="J9" s="20" t="n">
        <v>0</v>
      </c>
      <c r="K9" s="18" t="n">
        <v>1.94224686</v>
      </c>
      <c r="L9" s="20" t="n">
        <v>0.36324148</v>
      </c>
      <c r="M9" s="18" t="n">
        <v>0</v>
      </c>
      <c r="N9" s="20" t="n">
        <v>0</v>
      </c>
      <c r="O9" s="18" t="n">
        <v>0</v>
      </c>
      <c r="P9" s="20" t="n">
        <v>0</v>
      </c>
      <c r="Q9" s="18" t="n">
        <v>0</v>
      </c>
      <c r="R9" s="20" t="n">
        <v>0</v>
      </c>
    </row>
    <row r="10" spans="1:18">
      <c r="A10" s="15" t="s">
        <v>432</v>
      </c>
      <c r="B10" s="17" t="n">
        <v>20058</v>
      </c>
      <c r="C10" s="18">
        <f>(17611.0/B10*100)</f>
        <v/>
      </c>
      <c r="D10" s="19" t="n">
        <v>2447</v>
      </c>
      <c r="E10" s="18" t="n">
        <v>28.39367417</v>
      </c>
      <c r="F10" s="20" t="n">
        <v>1.42543891</v>
      </c>
      <c r="G10" s="18" t="n">
        <v>70.13337112000001</v>
      </c>
      <c r="H10" s="20" t="n">
        <v>1.404431</v>
      </c>
      <c r="I10" s="18" t="n">
        <v>0</v>
      </c>
      <c r="J10" s="20" t="n">
        <v>0</v>
      </c>
      <c r="K10" s="18" t="n">
        <v>1.4729547</v>
      </c>
      <c r="L10" s="20" t="n">
        <v>0.35534183</v>
      </c>
      <c r="M10" s="18" t="n">
        <v>0</v>
      </c>
      <c r="N10" s="20" t="n">
        <v>0</v>
      </c>
      <c r="O10" s="18" t="n">
        <v>0</v>
      </c>
      <c r="P10" s="20" t="n">
        <v>0</v>
      </c>
      <c r="Q10" s="18" t="n">
        <v>0</v>
      </c>
      <c r="R10" s="20" t="n">
        <v>0</v>
      </c>
    </row>
    <row r="11" spans="1:18">
      <c r="A11" s="15" t="s">
        <v>433</v>
      </c>
      <c r="B11" s="17" t="n">
        <v>7053</v>
      </c>
      <c r="C11" s="18">
        <f>(6240.0/B11*100)</f>
        <v/>
      </c>
      <c r="D11" s="19" t="n">
        <v>813</v>
      </c>
      <c r="E11" s="18" t="n">
        <v>40.58106084</v>
      </c>
      <c r="F11" s="20" t="n">
        <v>1.78361676</v>
      </c>
      <c r="G11" s="18" t="n">
        <v>54.45192127</v>
      </c>
      <c r="H11" s="20" t="n">
        <v>1.90664569</v>
      </c>
      <c r="I11" s="18" t="n">
        <v>0</v>
      </c>
      <c r="J11" s="20" t="n">
        <v>0</v>
      </c>
      <c r="K11" s="18" t="n">
        <v>4.96701789</v>
      </c>
      <c r="L11" s="20" t="n">
        <v>1.03353811</v>
      </c>
      <c r="M11" s="18" t="n">
        <v>0</v>
      </c>
      <c r="N11" s="20" t="n">
        <v>0</v>
      </c>
      <c r="O11" s="18" t="n">
        <v>0</v>
      </c>
      <c r="P11" s="20" t="n">
        <v>0</v>
      </c>
      <c r="Q11" s="18" t="n">
        <v>0</v>
      </c>
      <c r="R11" s="20" t="n">
        <v>0</v>
      </c>
    </row>
    <row r="12" spans="1:18">
      <c r="A12" s="15" t="s">
        <v>434</v>
      </c>
      <c r="B12" s="17" t="n">
        <v>6894</v>
      </c>
      <c r="C12" s="18">
        <f>(6087.0/B12*100)</f>
        <v/>
      </c>
      <c r="D12" s="19" t="n">
        <v>807</v>
      </c>
      <c r="E12" s="18" t="n">
        <v>38.69854936</v>
      </c>
      <c r="F12" s="20" t="n">
        <v>1.87356452</v>
      </c>
      <c r="G12" s="18" t="n">
        <v>58.84739842</v>
      </c>
      <c r="H12" s="20" t="n">
        <v>2.00567722</v>
      </c>
      <c r="I12" s="18" t="n">
        <v>0</v>
      </c>
      <c r="J12" s="20" t="n">
        <v>0</v>
      </c>
      <c r="K12" s="18" t="n">
        <v>2.45405223</v>
      </c>
      <c r="L12" s="20" t="n">
        <v>0.61908775</v>
      </c>
      <c r="M12" s="18" t="n">
        <v>0</v>
      </c>
      <c r="N12" s="20" t="n">
        <v>0</v>
      </c>
      <c r="O12" s="18" t="n">
        <v>0</v>
      </c>
      <c r="P12" s="20" t="n">
        <v>0</v>
      </c>
      <c r="Q12" s="18" t="n">
        <v>0</v>
      </c>
      <c r="R12" s="20" t="n">
        <v>0</v>
      </c>
    </row>
    <row r="13" spans="1:18">
      <c r="A13" s="15" t="s">
        <v>435</v>
      </c>
      <c r="B13" s="17" t="n">
        <v>7161</v>
      </c>
      <c r="C13" s="18">
        <f>(6334.0/B13*100)</f>
        <v/>
      </c>
      <c r="D13" s="19" t="n">
        <v>827</v>
      </c>
      <c r="E13" s="18" t="n">
        <v>32.61774434</v>
      </c>
      <c r="F13" s="20" t="n">
        <v>1.71110293</v>
      </c>
      <c r="G13" s="18" t="n">
        <v>64.09958975000001</v>
      </c>
      <c r="H13" s="20" t="n">
        <v>1.698493</v>
      </c>
      <c r="I13" s="18" t="n">
        <v>0</v>
      </c>
      <c r="J13" s="20" t="n">
        <v>0</v>
      </c>
      <c r="K13" s="18" t="n">
        <v>3.28266592</v>
      </c>
      <c r="L13" s="20" t="n">
        <v>0.78559695</v>
      </c>
      <c r="M13" s="18" t="n">
        <v>0</v>
      </c>
      <c r="N13" s="20" t="n">
        <v>0</v>
      </c>
      <c r="O13" s="18" t="n">
        <v>0</v>
      </c>
      <c r="P13" s="20" t="n">
        <v>0</v>
      </c>
      <c r="Q13" s="18" t="n">
        <v>0</v>
      </c>
      <c r="R13" s="20" t="n">
        <v>0</v>
      </c>
    </row>
    <row r="14" spans="1:18">
      <c r="A14" s="15" t="s">
        <v>436</v>
      </c>
      <c r="B14" s="17" t="n">
        <v>5587</v>
      </c>
      <c r="C14" s="18">
        <f>(4911.0/B14*100)</f>
        <v/>
      </c>
      <c r="D14" s="19" t="n">
        <v>676</v>
      </c>
      <c r="E14" s="18" t="n">
        <v>33.80338497</v>
      </c>
      <c r="F14" s="20" t="n">
        <v>2.17891772</v>
      </c>
      <c r="G14" s="18" t="n">
        <v>65.34167890000001</v>
      </c>
      <c r="H14" s="20" t="n">
        <v>2.17320103</v>
      </c>
      <c r="I14" s="18" t="n">
        <v>0</v>
      </c>
      <c r="J14" s="20" t="n">
        <v>0</v>
      </c>
      <c r="K14" s="18" t="n">
        <v>0.85493613</v>
      </c>
      <c r="L14" s="20" t="n">
        <v>0.32131779</v>
      </c>
      <c r="M14" s="18" t="n">
        <v>0</v>
      </c>
      <c r="N14" s="20" t="n">
        <v>0</v>
      </c>
      <c r="O14" s="18" t="n">
        <v>0</v>
      </c>
      <c r="P14" s="20" t="n">
        <v>0</v>
      </c>
      <c r="Q14" s="18" t="n">
        <v>0</v>
      </c>
      <c r="R14" s="20" t="n">
        <v>0</v>
      </c>
    </row>
    <row r="15" spans="1:18">
      <c r="A15" s="15" t="s">
        <v>437</v>
      </c>
      <c r="B15" s="17" t="n">
        <v>5882</v>
      </c>
      <c r="C15" s="18">
        <f>(5184.0/B15*100)</f>
        <v/>
      </c>
      <c r="D15" s="19" t="n">
        <v>698</v>
      </c>
      <c r="E15" s="18" t="n">
        <v>42.91651185</v>
      </c>
      <c r="F15" s="20" t="n">
        <v>1.79421445</v>
      </c>
      <c r="G15" s="18" t="n">
        <v>56.09930496</v>
      </c>
      <c r="H15" s="20" t="n">
        <v>1.73885739</v>
      </c>
      <c r="I15" s="18" t="n">
        <v>0</v>
      </c>
      <c r="J15" s="20" t="n">
        <v>0</v>
      </c>
      <c r="K15" s="18" t="n">
        <v>0.98418319</v>
      </c>
      <c r="L15" s="20" t="n">
        <v>0.4217691</v>
      </c>
      <c r="M15" s="18" t="n">
        <v>0</v>
      </c>
      <c r="N15" s="20" t="n">
        <v>0</v>
      </c>
      <c r="O15" s="18" t="n">
        <v>0</v>
      </c>
      <c r="P15" s="20" t="n">
        <v>0</v>
      </c>
      <c r="Q15" s="18" t="n">
        <v>0</v>
      </c>
      <c r="R15" s="20" t="n">
        <v>0</v>
      </c>
    </row>
    <row r="16" spans="1:18">
      <c r="A16" s="15" t="s">
        <v>438</v>
      </c>
      <c r="B16" s="17" t="n">
        <v>6108</v>
      </c>
      <c r="C16" s="18">
        <f>(5397.0/B16*100)</f>
        <v/>
      </c>
      <c r="D16" s="19" t="n">
        <v>711</v>
      </c>
      <c r="E16" s="18" t="n">
        <v>34.49428819</v>
      </c>
      <c r="F16" s="20" t="n">
        <v>1.58222559</v>
      </c>
      <c r="G16" s="18" t="n">
        <v>60.66775531</v>
      </c>
      <c r="H16" s="20" t="n">
        <v>1.80317664</v>
      </c>
      <c r="I16" s="18" t="n">
        <v>0</v>
      </c>
      <c r="J16" s="20" t="n">
        <v>0</v>
      </c>
      <c r="K16" s="18" t="n">
        <v>4.8379565</v>
      </c>
      <c r="L16" s="20" t="n">
        <v>1.08909265</v>
      </c>
      <c r="M16" s="18" t="n">
        <v>0</v>
      </c>
      <c r="N16" s="20" t="n">
        <v>0</v>
      </c>
      <c r="O16" s="18" t="n">
        <v>0</v>
      </c>
      <c r="P16" s="20" t="n">
        <v>0</v>
      </c>
      <c r="Q16" s="18" t="n">
        <v>0</v>
      </c>
      <c r="R16" s="20" t="n">
        <v>0</v>
      </c>
    </row>
    <row r="17" spans="1:18">
      <c r="A17" s="15" t="s">
        <v>439</v>
      </c>
      <c r="B17" s="17" t="n">
        <v>6504</v>
      </c>
      <c r="C17" s="18">
        <f>(5752.0/B17*100)</f>
        <v/>
      </c>
      <c r="D17" s="19" t="n">
        <v>752</v>
      </c>
      <c r="E17" s="18" t="n">
        <v>34.98546792</v>
      </c>
      <c r="F17" s="20" t="n">
        <v>1.79741479</v>
      </c>
      <c r="G17" s="18" t="n">
        <v>63.85633995</v>
      </c>
      <c r="H17" s="20" t="n">
        <v>1.80036555</v>
      </c>
      <c r="I17" s="18" t="n">
        <v>0</v>
      </c>
      <c r="J17" s="20" t="n">
        <v>0</v>
      </c>
      <c r="K17" s="18" t="n">
        <v>1.15819212</v>
      </c>
      <c r="L17" s="20" t="n">
        <v>0.36557906</v>
      </c>
      <c r="M17" s="18" t="n">
        <v>0</v>
      </c>
      <c r="N17" s="20" t="n">
        <v>0</v>
      </c>
      <c r="O17" s="18" t="n">
        <v>0</v>
      </c>
      <c r="P17" s="20" t="n">
        <v>0</v>
      </c>
      <c r="Q17" s="18" t="n">
        <v>0</v>
      </c>
      <c r="R17" s="20" t="n">
        <v>0</v>
      </c>
    </row>
    <row r="18" spans="1:18">
      <c r="A18" s="15" t="s">
        <v>440</v>
      </c>
      <c r="B18" s="17" t="n">
        <v>5532</v>
      </c>
      <c r="C18" s="18">
        <f>(4863.0/B18*100)</f>
        <v/>
      </c>
      <c r="D18" s="19" t="n">
        <v>669</v>
      </c>
      <c r="E18" s="18" t="n">
        <v>52.71718129</v>
      </c>
      <c r="F18" s="20" t="n">
        <v>2.26252103</v>
      </c>
      <c r="G18" s="18" t="n">
        <v>43.19345949</v>
      </c>
      <c r="H18" s="20" t="n">
        <v>2.09791175</v>
      </c>
      <c r="I18" s="18" t="n">
        <v>0</v>
      </c>
      <c r="J18" s="20" t="n">
        <v>0</v>
      </c>
      <c r="K18" s="18" t="n">
        <v>4.08935922</v>
      </c>
      <c r="L18" s="20" t="n">
        <v>0.86706078</v>
      </c>
      <c r="M18" s="18" t="n">
        <v>0</v>
      </c>
      <c r="N18" s="20" t="n">
        <v>0</v>
      </c>
      <c r="O18" s="18" t="n">
        <v>0</v>
      </c>
      <c r="P18" s="20" t="n">
        <v>0</v>
      </c>
      <c r="Q18" s="18" t="n">
        <v>0</v>
      </c>
      <c r="R18" s="20" t="n">
        <v>0</v>
      </c>
    </row>
    <row r="19" spans="1:18">
      <c r="A19" s="15" t="s">
        <v>441</v>
      </c>
      <c r="B19" s="17" t="n">
        <v>5658</v>
      </c>
      <c r="C19" s="18">
        <f>(4973.0/B19*100)</f>
        <v/>
      </c>
      <c r="D19" s="19" t="n">
        <v>685</v>
      </c>
      <c r="E19" s="18" t="n">
        <v>41.69124542</v>
      </c>
      <c r="F19" s="20" t="n">
        <v>1.89308151</v>
      </c>
      <c r="G19" s="18" t="n">
        <v>56.85608552</v>
      </c>
      <c r="H19" s="20" t="n">
        <v>1.85147176</v>
      </c>
      <c r="I19" s="18" t="n">
        <v>0</v>
      </c>
      <c r="J19" s="20" t="n">
        <v>0</v>
      </c>
      <c r="K19" s="18" t="n">
        <v>1.45266907</v>
      </c>
      <c r="L19" s="20" t="n">
        <v>0.66768703</v>
      </c>
      <c r="M19" s="18" t="n">
        <v>0</v>
      </c>
      <c r="N19" s="20" t="n">
        <v>0</v>
      </c>
      <c r="O19" s="18" t="n">
        <v>0</v>
      </c>
      <c r="P19" s="20" t="n">
        <v>0</v>
      </c>
      <c r="Q19" s="18" t="n">
        <v>0</v>
      </c>
      <c r="R19" s="20" t="n">
        <v>0</v>
      </c>
    </row>
    <row r="20" spans="1:18">
      <c r="A20" s="15" t="s">
        <v>442</v>
      </c>
      <c r="B20" s="17" t="n">
        <v>3371</v>
      </c>
      <c r="C20" s="18">
        <f>(2986.0/B20*100)</f>
        <v/>
      </c>
      <c r="D20" s="19" t="n">
        <v>385</v>
      </c>
      <c r="E20" s="18" t="n">
        <v>34.29834812</v>
      </c>
      <c r="F20" s="20" t="n">
        <v>2.35245868</v>
      </c>
      <c r="G20" s="18" t="n">
        <v>62.39825988</v>
      </c>
      <c r="H20" s="20" t="n">
        <v>2.37954706</v>
      </c>
      <c r="I20" s="18" t="n">
        <v>0</v>
      </c>
      <c r="J20" s="20" t="n">
        <v>0</v>
      </c>
      <c r="K20" s="18" t="n">
        <v>3.30339199</v>
      </c>
      <c r="L20" s="20" t="n">
        <v>0.89615628</v>
      </c>
      <c r="M20" s="18" t="n">
        <v>0</v>
      </c>
      <c r="N20" s="20" t="n">
        <v>0</v>
      </c>
      <c r="O20" s="18" t="n">
        <v>0</v>
      </c>
      <c r="P20" s="20" t="n">
        <v>0</v>
      </c>
      <c r="Q20" s="18" t="n">
        <v>0</v>
      </c>
      <c r="R20" s="20" t="n">
        <v>0</v>
      </c>
    </row>
    <row r="21" spans="1:18">
      <c r="A21" s="15" t="s">
        <v>443</v>
      </c>
      <c r="B21" s="17" t="n">
        <v>5741</v>
      </c>
      <c r="C21" s="18">
        <f>(4795.0/B21*100)</f>
        <v/>
      </c>
      <c r="D21" s="19" t="n">
        <v>946</v>
      </c>
      <c r="E21" s="18" t="n">
        <v>36.20269453</v>
      </c>
      <c r="F21" s="20" t="n">
        <v>1.38662435</v>
      </c>
      <c r="G21" s="18" t="n">
        <v>63.41483428</v>
      </c>
      <c r="H21" s="20" t="n">
        <v>1.41232489</v>
      </c>
      <c r="I21" s="18" t="n">
        <v>0</v>
      </c>
      <c r="J21" s="20" t="n">
        <v>0</v>
      </c>
      <c r="K21" s="18" t="n">
        <v>0.38247119</v>
      </c>
      <c r="L21" s="20" t="n">
        <v>0.23308211</v>
      </c>
      <c r="M21" s="18" t="n">
        <v>0</v>
      </c>
      <c r="N21" s="20" t="n">
        <v>0</v>
      </c>
      <c r="O21" s="18" t="n">
        <v>0</v>
      </c>
      <c r="P21" s="20" t="n">
        <v>0</v>
      </c>
      <c r="Q21" s="18" t="n">
        <v>0</v>
      </c>
      <c r="R21" s="20" t="n">
        <v>0</v>
      </c>
    </row>
    <row r="22" spans="1:18">
      <c r="A22" s="15" t="s">
        <v>444</v>
      </c>
      <c r="B22" s="17" t="n">
        <v>6598</v>
      </c>
      <c r="C22" s="18">
        <f>(5875.0/B22*100)</f>
        <v/>
      </c>
      <c r="D22" s="19" t="n">
        <v>723</v>
      </c>
      <c r="E22" s="18" t="n">
        <v>38.26652179</v>
      </c>
      <c r="F22" s="20" t="n">
        <v>2.29482041</v>
      </c>
      <c r="G22" s="18" t="n">
        <v>57.71059418</v>
      </c>
      <c r="H22" s="20" t="n">
        <v>2.23623936</v>
      </c>
      <c r="I22" s="18" t="n">
        <v>0</v>
      </c>
      <c r="J22" s="20" t="n">
        <v>0</v>
      </c>
      <c r="K22" s="18" t="n">
        <v>4.02288403</v>
      </c>
      <c r="L22" s="20" t="n">
        <v>0.79722732</v>
      </c>
      <c r="M22" s="18" t="n">
        <v>0</v>
      </c>
      <c r="N22" s="20" t="n">
        <v>0</v>
      </c>
      <c r="O22" s="18" t="n">
        <v>0</v>
      </c>
      <c r="P22" s="20" t="n">
        <v>0</v>
      </c>
      <c r="Q22" s="18" t="n">
        <v>0</v>
      </c>
      <c r="R22" s="20" t="n">
        <v>0</v>
      </c>
    </row>
    <row r="23" spans="1:18">
      <c r="A23" s="15" t="s">
        <v>445</v>
      </c>
      <c r="B23" s="17" t="n">
        <v>11583</v>
      </c>
      <c r="C23" s="18">
        <f>(10166.0/B23*100)</f>
        <v/>
      </c>
      <c r="D23" s="19" t="n">
        <v>1417</v>
      </c>
      <c r="E23" s="18" t="n">
        <v>27.15422246</v>
      </c>
      <c r="F23" s="20" t="n">
        <v>1.67388382</v>
      </c>
      <c r="G23" s="18" t="n">
        <v>70.34171098</v>
      </c>
      <c r="H23" s="20" t="n">
        <v>1.66162717</v>
      </c>
      <c r="I23" s="18" t="n">
        <v>0</v>
      </c>
      <c r="J23" s="20" t="n">
        <v>0</v>
      </c>
      <c r="K23" s="18" t="n">
        <v>2.50406656</v>
      </c>
      <c r="L23" s="20" t="n">
        <v>0.59461295</v>
      </c>
      <c r="M23" s="18" t="n">
        <v>0</v>
      </c>
      <c r="N23" s="20" t="n">
        <v>0</v>
      </c>
      <c r="O23" s="18" t="n">
        <v>0</v>
      </c>
      <c r="P23" s="20" t="n">
        <v>0</v>
      </c>
      <c r="Q23" s="18" t="n">
        <v>0</v>
      </c>
      <c r="R23" s="20" t="n">
        <v>0</v>
      </c>
    </row>
    <row r="24" spans="1:18">
      <c r="A24" s="15" t="s">
        <v>446</v>
      </c>
      <c r="B24" s="17" t="n">
        <v>6647</v>
      </c>
      <c r="C24" s="18">
        <f>(5910.0/B24*100)</f>
        <v/>
      </c>
      <c r="D24" s="19" t="n">
        <v>737</v>
      </c>
      <c r="E24" s="18" t="n">
        <v>35.47067058</v>
      </c>
      <c r="F24" s="20" t="n">
        <v>1.90971174</v>
      </c>
      <c r="G24" s="18" t="n">
        <v>62.52726542</v>
      </c>
      <c r="H24" s="20" t="n">
        <v>2.03353495</v>
      </c>
      <c r="I24" s="18" t="n">
        <v>0</v>
      </c>
      <c r="J24" s="20" t="n">
        <v>0</v>
      </c>
      <c r="K24" s="18" t="n">
        <v>2.002064</v>
      </c>
      <c r="L24" s="20" t="n">
        <v>0.49069526</v>
      </c>
      <c r="M24" s="18" t="n">
        <v>0</v>
      </c>
      <c r="N24" s="20" t="n">
        <v>0</v>
      </c>
      <c r="O24" s="18" t="n">
        <v>0</v>
      </c>
      <c r="P24" s="20" t="n">
        <v>0</v>
      </c>
      <c r="Q24" s="18" t="n">
        <v>0</v>
      </c>
      <c r="R24" s="20" t="n">
        <v>0</v>
      </c>
    </row>
    <row r="25" spans="1:18">
      <c r="A25" s="15" t="s">
        <v>447</v>
      </c>
      <c r="B25" s="17" t="n">
        <v>5581</v>
      </c>
      <c r="C25" s="18">
        <f>(4891.0/B25*100)</f>
        <v/>
      </c>
      <c r="D25" s="19" t="n">
        <v>690</v>
      </c>
      <c r="E25" s="18" t="n">
        <v>12.9018967</v>
      </c>
      <c r="F25" s="20" t="n">
        <v>1.40571212</v>
      </c>
      <c r="G25" s="18" t="n">
        <v>86.152975</v>
      </c>
      <c r="H25" s="20" t="n">
        <v>1.4350271</v>
      </c>
      <c r="I25" s="18" t="n">
        <v>0</v>
      </c>
      <c r="J25" s="20" t="n">
        <v>0</v>
      </c>
      <c r="K25" s="18" t="n">
        <v>0.9451283</v>
      </c>
      <c r="L25" s="20" t="n">
        <v>0.37171061</v>
      </c>
      <c r="M25" s="18" t="n">
        <v>0</v>
      </c>
      <c r="N25" s="20" t="n">
        <v>0</v>
      </c>
      <c r="O25" s="18" t="n">
        <v>0</v>
      </c>
      <c r="P25" s="20" t="n">
        <v>0</v>
      </c>
      <c r="Q25" s="18" t="n">
        <v>0</v>
      </c>
      <c r="R25" s="20" t="n">
        <v>0</v>
      </c>
    </row>
    <row r="26" spans="1:18">
      <c r="A26" s="15" t="s">
        <v>448</v>
      </c>
      <c r="B26" s="17" t="n">
        <v>4869</v>
      </c>
      <c r="C26" s="18">
        <f>(4275.0/B26*100)</f>
        <v/>
      </c>
      <c r="D26" s="19" t="n">
        <v>594</v>
      </c>
      <c r="E26" s="18" t="n">
        <v>43.92573165</v>
      </c>
      <c r="F26" s="20" t="n">
        <v>1.97434541</v>
      </c>
      <c r="G26" s="18" t="n">
        <v>55.6504254</v>
      </c>
      <c r="H26" s="20" t="n">
        <v>2.0166574</v>
      </c>
      <c r="I26" s="18" t="n">
        <v>0</v>
      </c>
      <c r="J26" s="20" t="n">
        <v>0</v>
      </c>
      <c r="K26" s="18" t="n">
        <v>0.42384295</v>
      </c>
      <c r="L26" s="20" t="n">
        <v>0.24453085</v>
      </c>
      <c r="M26" s="18" t="n">
        <v>0</v>
      </c>
      <c r="N26" s="20" t="n">
        <v>0</v>
      </c>
      <c r="O26" s="18" t="n">
        <v>0</v>
      </c>
      <c r="P26" s="20" t="n">
        <v>0</v>
      </c>
      <c r="Q26" s="18" t="n">
        <v>0</v>
      </c>
      <c r="R26" s="20" t="n">
        <v>0</v>
      </c>
    </row>
    <row r="27" spans="1:18">
      <c r="A27" s="15" t="s">
        <v>449</v>
      </c>
      <c r="B27" s="17" t="n">
        <v>5299</v>
      </c>
      <c r="C27" s="18">
        <f>(4669.0/B27*100)</f>
        <v/>
      </c>
      <c r="D27" s="19" t="n">
        <v>630</v>
      </c>
      <c r="E27" s="18" t="n">
        <v>42.41336556</v>
      </c>
      <c r="F27" s="20" t="n">
        <v>1.93808775</v>
      </c>
      <c r="G27" s="18" t="n">
        <v>54.64510929</v>
      </c>
      <c r="H27" s="20" t="n">
        <v>1.94682256</v>
      </c>
      <c r="I27" s="18" t="n">
        <v>0</v>
      </c>
      <c r="J27" s="20" t="n">
        <v>0</v>
      </c>
      <c r="K27" s="18" t="n">
        <v>2.94152515</v>
      </c>
      <c r="L27" s="20" t="n">
        <v>0.77719523</v>
      </c>
      <c r="M27" s="18" t="n">
        <v>0</v>
      </c>
      <c r="N27" s="20" t="n">
        <v>0</v>
      </c>
      <c r="O27" s="18" t="n">
        <v>0</v>
      </c>
      <c r="P27" s="20" t="n">
        <v>0</v>
      </c>
      <c r="Q27" s="18" t="n">
        <v>0</v>
      </c>
      <c r="R27" s="20" t="n">
        <v>0</v>
      </c>
    </row>
    <row r="28" spans="1:18">
      <c r="A28" s="15" t="s">
        <v>450</v>
      </c>
      <c r="B28" s="17" t="n">
        <v>7568</v>
      </c>
      <c r="C28" s="18">
        <f>(6748.0/B28*100)</f>
        <v/>
      </c>
      <c r="D28" s="19" t="n">
        <v>820</v>
      </c>
      <c r="E28" s="18" t="n">
        <v>56.64996012</v>
      </c>
      <c r="F28" s="20" t="n">
        <v>1.97747861</v>
      </c>
      <c r="G28" s="18" t="n">
        <v>41.86725026</v>
      </c>
      <c r="H28" s="20" t="n">
        <v>1.96386896</v>
      </c>
      <c r="I28" s="18" t="n">
        <v>0</v>
      </c>
      <c r="J28" s="20" t="n">
        <v>0</v>
      </c>
      <c r="K28" s="18" t="n">
        <v>1.48278962</v>
      </c>
      <c r="L28" s="20" t="n">
        <v>0.49496083</v>
      </c>
      <c r="M28" s="18" t="n">
        <v>0</v>
      </c>
      <c r="N28" s="20" t="n">
        <v>0</v>
      </c>
      <c r="O28" s="18" t="n">
        <v>0</v>
      </c>
      <c r="P28" s="20" t="n">
        <v>0</v>
      </c>
      <c r="Q28" s="18" t="n">
        <v>0</v>
      </c>
      <c r="R28" s="20" t="n">
        <v>0</v>
      </c>
    </row>
    <row r="29" spans="1:18">
      <c r="A29" s="15" t="s">
        <v>451</v>
      </c>
      <c r="B29" s="17" t="n">
        <v>5385</v>
      </c>
      <c r="C29" s="18">
        <f>(4748.0/B29*100)</f>
        <v/>
      </c>
      <c r="D29" s="19" t="n">
        <v>637</v>
      </c>
      <c r="E29" s="18" t="n">
        <v>25.02951701</v>
      </c>
      <c r="F29" s="20" t="n">
        <v>1.55381759</v>
      </c>
      <c r="G29" s="18" t="n">
        <v>73.95148177999999</v>
      </c>
      <c r="H29" s="20" t="n">
        <v>1.57907412</v>
      </c>
      <c r="I29" s="18" t="n">
        <v>0</v>
      </c>
      <c r="J29" s="20" t="n">
        <v>0</v>
      </c>
      <c r="K29" s="18" t="n">
        <v>1.01900121</v>
      </c>
      <c r="L29" s="20" t="n">
        <v>0.44615155</v>
      </c>
      <c r="M29" s="18" t="n">
        <v>0</v>
      </c>
      <c r="N29" s="20" t="n">
        <v>0</v>
      </c>
      <c r="O29" s="18" t="n">
        <v>0</v>
      </c>
      <c r="P29" s="20" t="n">
        <v>0</v>
      </c>
      <c r="Q29" s="18" t="n">
        <v>0</v>
      </c>
      <c r="R29" s="20" t="n">
        <v>0</v>
      </c>
    </row>
    <row r="30" spans="1:18">
      <c r="A30" s="15" t="s">
        <v>452</v>
      </c>
      <c r="B30" s="17" t="n">
        <v>4520</v>
      </c>
      <c r="C30" s="18">
        <f>(4015.0/B30*100)</f>
        <v/>
      </c>
      <c r="D30" s="19" t="n">
        <v>505</v>
      </c>
      <c r="E30" s="18" t="n">
        <v>30.96755014</v>
      </c>
      <c r="F30" s="20" t="n">
        <v>2.36708901</v>
      </c>
      <c r="G30" s="18" t="n">
        <v>67.43909674</v>
      </c>
      <c r="H30" s="20" t="n">
        <v>2.29744688</v>
      </c>
      <c r="I30" s="18" t="n">
        <v>0</v>
      </c>
      <c r="J30" s="20" t="n">
        <v>0</v>
      </c>
      <c r="K30" s="18" t="n">
        <v>1.59335312</v>
      </c>
      <c r="L30" s="20" t="n">
        <v>0.6210006300000001</v>
      </c>
      <c r="M30" s="18" t="n">
        <v>0</v>
      </c>
      <c r="N30" s="20" t="n">
        <v>0</v>
      </c>
      <c r="O30" s="18" t="n">
        <v>0</v>
      </c>
      <c r="P30" s="20" t="n">
        <v>0</v>
      </c>
      <c r="Q30" s="18" t="n">
        <v>0</v>
      </c>
      <c r="R30" s="20" t="n">
        <v>0</v>
      </c>
    </row>
    <row r="31" spans="1:18">
      <c r="A31" s="15" t="s">
        <v>453</v>
      </c>
      <c r="B31" s="17" t="n">
        <v>5456</v>
      </c>
      <c r="C31" s="18">
        <f>(4808.0/B31*100)</f>
        <v/>
      </c>
      <c r="D31" s="19" t="n">
        <v>648</v>
      </c>
      <c r="E31" s="18" t="n">
        <v>40.19850547</v>
      </c>
      <c r="F31" s="20" t="n">
        <v>1.929158</v>
      </c>
      <c r="G31" s="18" t="n">
        <v>57.09166484</v>
      </c>
      <c r="H31" s="20" t="n">
        <v>1.89351213</v>
      </c>
      <c r="I31" s="18" t="n">
        <v>0</v>
      </c>
      <c r="J31" s="20" t="n">
        <v>0</v>
      </c>
      <c r="K31" s="18" t="n">
        <v>2.70982969</v>
      </c>
      <c r="L31" s="20" t="n">
        <v>0.64362064</v>
      </c>
      <c r="M31" s="18" t="n">
        <v>0</v>
      </c>
      <c r="N31" s="20" t="n">
        <v>0</v>
      </c>
      <c r="O31" s="18" t="n">
        <v>0</v>
      </c>
      <c r="P31" s="20" t="n">
        <v>0</v>
      </c>
      <c r="Q31" s="18" t="n">
        <v>0</v>
      </c>
      <c r="R31" s="20" t="n">
        <v>0</v>
      </c>
    </row>
    <row r="32" spans="1:18">
      <c r="A32" s="15" t="s">
        <v>454</v>
      </c>
      <c r="B32" s="17" t="n">
        <v>4478</v>
      </c>
      <c r="C32" s="18">
        <f>(3743.0/B32*100)</f>
        <v/>
      </c>
      <c r="D32" s="19" t="n">
        <v>735</v>
      </c>
      <c r="E32" s="18" t="n">
        <v>36.06830389</v>
      </c>
      <c r="F32" s="20" t="n">
        <v>2.00605799</v>
      </c>
      <c r="G32" s="18" t="n">
        <v>62.9149039</v>
      </c>
      <c r="H32" s="20" t="n">
        <v>2.0314772</v>
      </c>
      <c r="I32" s="18" t="n">
        <v>0</v>
      </c>
      <c r="J32" s="20" t="n">
        <v>0</v>
      </c>
      <c r="K32" s="18" t="n">
        <v>1.01679221</v>
      </c>
      <c r="L32" s="20" t="n">
        <v>0.2960112</v>
      </c>
      <c r="M32" s="18" t="n">
        <v>0</v>
      </c>
      <c r="N32" s="20" t="n">
        <v>0</v>
      </c>
      <c r="O32" s="18" t="n">
        <v>0</v>
      </c>
      <c r="P32" s="20" t="n">
        <v>0</v>
      </c>
      <c r="Q32" s="18" t="n">
        <v>0</v>
      </c>
      <c r="R32" s="20" t="n">
        <v>0</v>
      </c>
    </row>
    <row r="33" spans="1:18">
      <c r="A33" s="15" t="s">
        <v>455</v>
      </c>
      <c r="B33" s="17" t="n">
        <v>7325</v>
      </c>
      <c r="C33" s="18">
        <f>(6498.0/B33*100)</f>
        <v/>
      </c>
      <c r="D33" s="19" t="n">
        <v>827</v>
      </c>
      <c r="E33" s="18" t="n">
        <v>33.50407294</v>
      </c>
      <c r="F33" s="20" t="n">
        <v>2.07377635</v>
      </c>
      <c r="G33" s="18" t="n">
        <v>65.54326338</v>
      </c>
      <c r="H33" s="20" t="n">
        <v>2.10439134</v>
      </c>
      <c r="I33" s="18" t="n">
        <v>0</v>
      </c>
      <c r="J33" s="20" t="n">
        <v>0</v>
      </c>
      <c r="K33" s="18" t="n">
        <v>0.95266367</v>
      </c>
      <c r="L33" s="20" t="n">
        <v>0.39524789</v>
      </c>
      <c r="M33" s="18" t="n">
        <v>0</v>
      </c>
      <c r="N33" s="20" t="n">
        <v>0</v>
      </c>
      <c r="O33" s="18" t="n">
        <v>0</v>
      </c>
      <c r="P33" s="20" t="n">
        <v>0</v>
      </c>
      <c r="Q33" s="18" t="n">
        <v>0</v>
      </c>
      <c r="R33" s="20" t="n">
        <v>0</v>
      </c>
    </row>
    <row r="34" spans="1:18">
      <c r="A34" s="15" t="s">
        <v>456</v>
      </c>
      <c r="B34" s="17" t="n">
        <v>6350</v>
      </c>
      <c r="C34" s="18">
        <f>(5623.0/B34*100)</f>
        <v/>
      </c>
      <c r="D34" s="19" t="n">
        <v>727</v>
      </c>
      <c r="E34" s="18" t="n">
        <v>34.41225319</v>
      </c>
      <c r="F34" s="20" t="n">
        <v>1.61215546</v>
      </c>
      <c r="G34" s="18" t="n">
        <v>64.02445822999999</v>
      </c>
      <c r="H34" s="20" t="n">
        <v>1.7548191</v>
      </c>
      <c r="I34" s="18" t="n">
        <v>0</v>
      </c>
      <c r="J34" s="20" t="n">
        <v>0</v>
      </c>
      <c r="K34" s="18" t="n">
        <v>1.56328858</v>
      </c>
      <c r="L34" s="20" t="n">
        <v>0.5810616</v>
      </c>
      <c r="M34" s="18" t="n">
        <v>0</v>
      </c>
      <c r="N34" s="20" t="n">
        <v>0</v>
      </c>
      <c r="O34" s="18" t="n">
        <v>0</v>
      </c>
      <c r="P34" s="20" t="n">
        <v>0</v>
      </c>
      <c r="Q34" s="18" t="n">
        <v>0</v>
      </c>
      <c r="R34" s="20" t="n">
        <v>0</v>
      </c>
    </row>
    <row r="35" spans="1:18">
      <c r="A35" s="15" t="s">
        <v>457</v>
      </c>
      <c r="B35" s="17" t="n">
        <v>6406</v>
      </c>
      <c r="C35" s="18">
        <f>(5647.0/B35*100)</f>
        <v/>
      </c>
      <c r="D35" s="19" t="n">
        <v>759</v>
      </c>
      <c r="E35" s="18" t="n">
        <v>32.07833281</v>
      </c>
      <c r="F35" s="20" t="n">
        <v>2.12696466</v>
      </c>
      <c r="G35" s="18" t="n">
        <v>67.17902223999999</v>
      </c>
      <c r="H35" s="20" t="n">
        <v>2.10654691</v>
      </c>
      <c r="I35" s="18" t="n">
        <v>0</v>
      </c>
      <c r="J35" s="20" t="n">
        <v>0</v>
      </c>
      <c r="K35" s="18" t="n">
        <v>0.74264494</v>
      </c>
      <c r="L35" s="20" t="n">
        <v>0.29429681</v>
      </c>
      <c r="M35" s="18" t="n">
        <v>0</v>
      </c>
      <c r="N35" s="20" t="n">
        <v>0</v>
      </c>
      <c r="O35" s="18" t="n">
        <v>0</v>
      </c>
      <c r="P35" s="20" t="n">
        <v>0</v>
      </c>
      <c r="Q35" s="18" t="n">
        <v>0</v>
      </c>
      <c r="R35" s="20" t="n">
        <v>0</v>
      </c>
    </row>
    <row r="36" spans="1:18">
      <c r="A36" s="15" t="s">
        <v>458</v>
      </c>
      <c r="B36" s="17" t="n">
        <v>6736</v>
      </c>
      <c r="C36" s="18">
        <f>(5949.0/B36*100)</f>
        <v/>
      </c>
      <c r="D36" s="19" t="n">
        <v>787</v>
      </c>
      <c r="E36" s="18" t="n">
        <v>35.49219643</v>
      </c>
      <c r="F36" s="20" t="n">
        <v>1.73504261</v>
      </c>
      <c r="G36" s="18" t="n">
        <v>62.06286719</v>
      </c>
      <c r="H36" s="20" t="n">
        <v>1.75780859</v>
      </c>
      <c r="I36" s="18" t="n">
        <v>0</v>
      </c>
      <c r="J36" s="20" t="n">
        <v>0</v>
      </c>
      <c r="K36" s="18" t="n">
        <v>2.44493638</v>
      </c>
      <c r="L36" s="20" t="n">
        <v>0.54629887</v>
      </c>
      <c r="M36" s="18" t="n">
        <v>0</v>
      </c>
      <c r="N36" s="20" t="n">
        <v>0</v>
      </c>
      <c r="O36" s="18" t="n">
        <v>0</v>
      </c>
      <c r="P36" s="20" t="n">
        <v>0</v>
      </c>
      <c r="Q36" s="18" t="n">
        <v>0</v>
      </c>
      <c r="R36" s="20" t="n">
        <v>0</v>
      </c>
    </row>
    <row r="37" spans="1:18">
      <c r="A37" s="15" t="s">
        <v>459</v>
      </c>
      <c r="B37" s="17" t="n">
        <v>5458</v>
      </c>
      <c r="C37" s="18">
        <f>(4798.0/B37*100)</f>
        <v/>
      </c>
      <c r="D37" s="19" t="n">
        <v>660</v>
      </c>
      <c r="E37" s="18" t="n">
        <v>40.05600137</v>
      </c>
      <c r="F37" s="20" t="n">
        <v>1.66321353</v>
      </c>
      <c r="G37" s="18" t="n">
        <v>54.1830052</v>
      </c>
      <c r="H37" s="20" t="n">
        <v>1.86751182</v>
      </c>
      <c r="I37" s="18" t="n">
        <v>0</v>
      </c>
      <c r="J37" s="20" t="n">
        <v>0</v>
      </c>
      <c r="K37" s="18" t="n">
        <v>5.76099342</v>
      </c>
      <c r="L37" s="20" t="n">
        <v>0.80374644</v>
      </c>
      <c r="M37" s="18" t="n">
        <v>0</v>
      </c>
      <c r="N37" s="20" t="n">
        <v>0</v>
      </c>
      <c r="O37" s="18" t="n">
        <v>0</v>
      </c>
      <c r="P37" s="20" t="n">
        <v>0</v>
      </c>
      <c r="Q37" s="18" t="n">
        <v>0</v>
      </c>
      <c r="R37" s="20" t="n">
        <v>0</v>
      </c>
    </row>
    <row r="38" spans="1:18">
      <c r="A38" s="15" t="s">
        <v>460</v>
      </c>
      <c r="B38" s="17" t="n">
        <v>5860</v>
      </c>
      <c r="C38" s="18">
        <f>(4889.0/B38*100)</f>
        <v/>
      </c>
      <c r="D38" s="19" t="n">
        <v>971</v>
      </c>
      <c r="E38" s="18" t="n">
        <v>34.91724423</v>
      </c>
      <c r="F38" s="20" t="n">
        <v>1.80151479</v>
      </c>
      <c r="G38" s="18" t="n">
        <v>61.7297128</v>
      </c>
      <c r="H38" s="20" t="n">
        <v>1.90951848</v>
      </c>
      <c r="I38" s="18" t="n">
        <v>0</v>
      </c>
      <c r="J38" s="20" t="n">
        <v>0</v>
      </c>
      <c r="K38" s="18" t="n">
        <v>3.35304297</v>
      </c>
      <c r="L38" s="20" t="n">
        <v>0.78136486</v>
      </c>
      <c r="M38" s="18" t="n">
        <v>0</v>
      </c>
      <c r="N38" s="20" t="n">
        <v>0</v>
      </c>
      <c r="O38" s="18" t="n">
        <v>0</v>
      </c>
      <c r="P38" s="20" t="n">
        <v>0</v>
      </c>
      <c r="Q38" s="18" t="n">
        <v>0</v>
      </c>
      <c r="R38" s="20" t="n">
        <v>0</v>
      </c>
    </row>
    <row r="39" spans="1:18">
      <c r="A39" s="15" t="s">
        <v>461</v>
      </c>
      <c r="B39" s="17" t="n">
        <v>5895</v>
      </c>
      <c r="C39" s="18">
        <f>(5174.0/B39*100)</f>
        <v/>
      </c>
      <c r="D39" s="19" t="n">
        <v>721</v>
      </c>
      <c r="E39" s="18" t="n">
        <v>45.61215338</v>
      </c>
      <c r="F39" s="20" t="n">
        <v>2.23080913</v>
      </c>
      <c r="G39" s="18" t="n">
        <v>52.75403641</v>
      </c>
      <c r="H39" s="20" t="n">
        <v>2.33146106</v>
      </c>
      <c r="I39" s="18" t="n">
        <v>0</v>
      </c>
      <c r="J39" s="20" t="n">
        <v>0</v>
      </c>
      <c r="K39" s="18" t="n">
        <v>1.63381021</v>
      </c>
      <c r="L39" s="20" t="n">
        <v>0.40972461</v>
      </c>
      <c r="M39" s="18" t="n">
        <v>0</v>
      </c>
      <c r="N39" s="20" t="n">
        <v>0</v>
      </c>
      <c r="O39" s="18" t="n">
        <v>0</v>
      </c>
      <c r="P39" s="20" t="n">
        <v>0</v>
      </c>
      <c r="Q39" s="18" t="n">
        <v>0</v>
      </c>
      <c r="R39" s="20" t="n">
        <v>0</v>
      </c>
    </row>
    <row r="40" spans="1:18">
      <c r="A40" s="15" t="s">
        <v>462</v>
      </c>
      <c r="B40" s="17" t="n">
        <v>14157</v>
      </c>
      <c r="C40" s="18">
        <f>(12457.0/B40*100)</f>
        <v/>
      </c>
      <c r="D40" s="19" t="n">
        <v>1700</v>
      </c>
      <c r="E40" s="18" t="n">
        <v>39.59684568</v>
      </c>
      <c r="F40" s="20" t="n">
        <v>2.04283803</v>
      </c>
      <c r="G40" s="18" t="n">
        <v>59.09933727</v>
      </c>
      <c r="H40" s="20" t="n">
        <v>2.03736329</v>
      </c>
      <c r="I40" s="18" t="n">
        <v>0</v>
      </c>
      <c r="J40" s="20" t="n">
        <v>0</v>
      </c>
      <c r="K40" s="18" t="n">
        <v>1.30381704</v>
      </c>
      <c r="L40" s="20" t="n">
        <v>0.39462727</v>
      </c>
      <c r="M40" s="18" t="n">
        <v>0</v>
      </c>
      <c r="N40" s="20" t="n">
        <v>0</v>
      </c>
      <c r="O40" s="18" t="n">
        <v>0</v>
      </c>
      <c r="P40" s="20" t="n">
        <v>0</v>
      </c>
      <c r="Q40" s="18" t="n">
        <v>0</v>
      </c>
      <c r="R40" s="20" t="n">
        <v>0</v>
      </c>
    </row>
    <row r="41" spans="1:18">
      <c r="A41" s="15" t="s">
        <v>463</v>
      </c>
      <c r="B41" s="17" t="n">
        <v>5712</v>
      </c>
      <c r="C41" s="18">
        <f>(5027.0/B41*100)</f>
        <v/>
      </c>
      <c r="D41" s="19" t="n">
        <v>685</v>
      </c>
      <c r="E41" s="18" t="n">
        <v>35.042193</v>
      </c>
      <c r="F41" s="20" t="n">
        <v>2.15749433</v>
      </c>
      <c r="G41" s="18" t="n">
        <v>63.17506297</v>
      </c>
      <c r="H41" s="20" t="n">
        <v>2.23737908</v>
      </c>
      <c r="I41" s="18" t="n">
        <v>0</v>
      </c>
      <c r="J41" s="20" t="n">
        <v>0</v>
      </c>
      <c r="K41" s="18" t="n">
        <v>1.78274402</v>
      </c>
      <c r="L41" s="20" t="n">
        <v>0.49246829</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(21084.0/B46*100)</f>
        <v/>
      </c>
      <c r="D46" s="19" t="n">
        <v>2057</v>
      </c>
      <c r="E46" s="18" t="n">
        <v>45.22511745</v>
      </c>
      <c r="F46" s="20" t="n">
        <v>1.51294051</v>
      </c>
      <c r="G46" s="18" t="n">
        <v>50.02241657</v>
      </c>
      <c r="H46" s="20" t="n">
        <v>1.51347027</v>
      </c>
      <c r="I46" s="18" t="n">
        <v>0</v>
      </c>
      <c r="J46" s="20" t="n">
        <v>0</v>
      </c>
      <c r="K46" s="18" t="n">
        <v>4.75246598</v>
      </c>
      <c r="L46" s="20" t="n">
        <v>0.5737299</v>
      </c>
      <c r="M46" s="18" t="n">
        <v>0</v>
      </c>
      <c r="N46" s="20" t="n">
        <v>0</v>
      </c>
      <c r="O46" s="18" t="n">
        <v>0</v>
      </c>
      <c r="P46" s="20" t="n">
        <v>0</v>
      </c>
      <c r="Q46" s="18" t="n">
        <v>0</v>
      </c>
      <c r="R46" s="20" t="n">
        <v>0</v>
      </c>
    </row>
    <row r="47" spans="1:18">
      <c r="A47" s="15" t="s">
        <v>470</v>
      </c>
      <c r="B47" s="17" t="n">
        <v>5928</v>
      </c>
      <c r="C47" s="18">
        <f>(5220.0/B47*100)</f>
        <v/>
      </c>
      <c r="D47" s="19" t="n">
        <v>708</v>
      </c>
      <c r="E47" s="18" t="n">
        <v>50.64876607</v>
      </c>
      <c r="F47" s="20" t="n">
        <v>2.07405439</v>
      </c>
      <c r="G47" s="18" t="n">
        <v>46.79772083</v>
      </c>
      <c r="H47" s="20" t="n">
        <v>1.98606593</v>
      </c>
      <c r="I47" s="18" t="n">
        <v>0</v>
      </c>
      <c r="J47" s="20" t="n">
        <v>0</v>
      </c>
      <c r="K47" s="18" t="n">
        <v>2.55351311</v>
      </c>
      <c r="L47" s="20" t="n">
        <v>0.53531875</v>
      </c>
      <c r="M47" s="18" t="n">
        <v>0</v>
      </c>
      <c r="N47" s="20" t="n">
        <v>0</v>
      </c>
      <c r="O47" s="18" t="n">
        <v>0</v>
      </c>
      <c r="P47" s="20" t="n">
        <v>0</v>
      </c>
      <c r="Q47" s="18" t="n">
        <v>0</v>
      </c>
      <c r="R47" s="20" t="n">
        <v>0</v>
      </c>
    </row>
    <row r="48" spans="1:18">
      <c r="A48" s="15" t="s">
        <v>471</v>
      </c>
      <c r="B48" s="17" t="n">
        <v>9841</v>
      </c>
      <c r="C48" s="18">
        <f>(8664.0/B48*100)</f>
        <v/>
      </c>
      <c r="D48" s="19" t="n">
        <v>1177</v>
      </c>
      <c r="E48" s="18" t="n">
        <v>25.56752898</v>
      </c>
      <c r="F48" s="20" t="n">
        <v>1.64162725</v>
      </c>
      <c r="G48" s="18" t="n">
        <v>71.41661784999999</v>
      </c>
      <c r="H48" s="20" t="n">
        <v>1.87572097</v>
      </c>
      <c r="I48" s="18" t="n">
        <v>0</v>
      </c>
      <c r="J48" s="20" t="n">
        <v>0</v>
      </c>
      <c r="K48" s="18" t="n">
        <v>3.01585317</v>
      </c>
      <c r="L48" s="20" t="n">
        <v>0.85540706</v>
      </c>
      <c r="M48" s="18" t="n">
        <v>0</v>
      </c>
      <c r="N48" s="20" t="n">
        <v>0</v>
      </c>
      <c r="O48" s="18" t="n">
        <v>0</v>
      </c>
      <c r="P48" s="20" t="n">
        <v>0</v>
      </c>
      <c r="Q48" s="18" t="n">
        <v>0</v>
      </c>
      <c r="R48" s="20" t="n">
        <v>0</v>
      </c>
    </row>
    <row r="49" spans="1:18">
      <c r="A49" s="15" t="s">
        <v>472</v>
      </c>
      <c r="B49" s="17" t="n">
        <v>11795</v>
      </c>
      <c r="C49" s="18">
        <f>(10428.0/B49*100)</f>
        <v/>
      </c>
      <c r="D49" s="19" t="n">
        <v>1367</v>
      </c>
      <c r="E49" s="18" t="n">
        <v>47.98847711</v>
      </c>
      <c r="F49" s="20" t="n">
        <v>1.71977211</v>
      </c>
      <c r="G49" s="18" t="n">
        <v>46.91538773</v>
      </c>
      <c r="H49" s="20" t="n">
        <v>1.76302435</v>
      </c>
      <c r="I49" s="18" t="n">
        <v>0</v>
      </c>
      <c r="J49" s="20" t="n">
        <v>0</v>
      </c>
      <c r="K49" s="18" t="n">
        <v>5.09613516</v>
      </c>
      <c r="L49" s="20" t="n">
        <v>0.83159683</v>
      </c>
      <c r="M49" s="18" t="n">
        <v>0</v>
      </c>
      <c r="N49" s="20" t="n">
        <v>0</v>
      </c>
      <c r="O49" s="18" t="n">
        <v>0</v>
      </c>
      <c r="P49" s="20" t="n">
        <v>0</v>
      </c>
      <c r="Q49" s="18" t="n">
        <v>0</v>
      </c>
      <c r="R49" s="20" t="n">
        <v>0</v>
      </c>
    </row>
    <row r="50" spans="1:18">
      <c r="A50" s="15" t="s">
        <v>473</v>
      </c>
      <c r="B50" s="17" t="n">
        <v>6866</v>
      </c>
      <c r="C50" s="18">
        <f>(6174.0/B50*100)</f>
        <v/>
      </c>
      <c r="D50" s="19" t="n">
        <v>692</v>
      </c>
      <c r="E50" s="18" t="n">
        <v>44.93972548</v>
      </c>
      <c r="F50" s="20" t="n">
        <v>2.2504793</v>
      </c>
      <c r="G50" s="18" t="n">
        <v>52.0598728</v>
      </c>
      <c r="H50" s="20" t="n">
        <v>2.19950434</v>
      </c>
      <c r="I50" s="18" t="n">
        <v>0</v>
      </c>
      <c r="J50" s="20" t="n">
        <v>0</v>
      </c>
      <c r="K50" s="18" t="n">
        <v>3.00040172</v>
      </c>
      <c r="L50" s="20" t="n">
        <v>0.63929378</v>
      </c>
      <c r="M50" s="18" t="n">
        <v>0</v>
      </c>
      <c r="N50" s="20" t="n">
        <v>0</v>
      </c>
      <c r="O50" s="18" t="n">
        <v>0</v>
      </c>
      <c r="P50" s="20" t="n">
        <v>0</v>
      </c>
      <c r="Q50" s="18" t="n">
        <v>0</v>
      </c>
      <c r="R50" s="20" t="n">
        <v>0</v>
      </c>
    </row>
    <row r="51" spans="1:18">
      <c r="A51" s="15" t="s">
        <v>474</v>
      </c>
      <c r="B51" s="17" t="n">
        <v>5809</v>
      </c>
      <c r="C51" s="18">
        <f>(5114.0/B51*100)</f>
        <v/>
      </c>
      <c r="D51" s="19" t="n">
        <v>695</v>
      </c>
      <c r="E51" s="18" t="n">
        <v>43.10174625</v>
      </c>
      <c r="F51" s="20" t="n">
        <v>2.01243121</v>
      </c>
      <c r="G51" s="18" t="n">
        <v>55.45835316</v>
      </c>
      <c r="H51" s="20" t="n">
        <v>2.04354553</v>
      </c>
      <c r="I51" s="18" t="n">
        <v>0</v>
      </c>
      <c r="J51" s="20" t="n">
        <v>0</v>
      </c>
      <c r="K51" s="18" t="n">
        <v>1.43990059</v>
      </c>
      <c r="L51" s="20" t="n">
        <v>0.52860545</v>
      </c>
      <c r="M51" s="18" t="n">
        <v>0</v>
      </c>
      <c r="N51" s="20" t="n">
        <v>0</v>
      </c>
      <c r="O51" s="18" t="n">
        <v>0</v>
      </c>
      <c r="P51" s="20" t="n">
        <v>0</v>
      </c>
      <c r="Q51" s="18" t="n">
        <v>0</v>
      </c>
      <c r="R51" s="20" t="n">
        <v>0</v>
      </c>
    </row>
    <row r="52" spans="1:18">
      <c r="A52" s="15" t="s">
        <v>475</v>
      </c>
      <c r="B52" s="17" t="n">
        <v>5571</v>
      </c>
      <c r="C52" s="18">
        <f>(4921.0/B52*100)</f>
        <v/>
      </c>
      <c r="D52" s="19" t="n">
        <v>650</v>
      </c>
      <c r="E52" s="18" t="n">
        <v>47.52111775</v>
      </c>
      <c r="F52" s="20" t="n">
        <v>2.00608662</v>
      </c>
      <c r="G52" s="18" t="n">
        <v>49.1062593</v>
      </c>
      <c r="H52" s="20" t="n">
        <v>1.94558827</v>
      </c>
      <c r="I52" s="18" t="n">
        <v>0</v>
      </c>
      <c r="J52" s="20" t="n">
        <v>0</v>
      </c>
      <c r="K52" s="18" t="n">
        <v>3.37262295</v>
      </c>
      <c r="L52" s="20" t="n">
        <v>0.61166726</v>
      </c>
      <c r="M52" s="18" t="n">
        <v>0</v>
      </c>
      <c r="N52" s="20" t="n">
        <v>0</v>
      </c>
      <c r="O52" s="18" t="n">
        <v>0</v>
      </c>
      <c r="P52" s="20" t="n">
        <v>0</v>
      </c>
      <c r="Q52" s="18" t="n">
        <v>0</v>
      </c>
      <c r="R52" s="20" t="n">
        <v>0</v>
      </c>
    </row>
    <row r="53" spans="1:18">
      <c r="A53" s="15" t="s">
        <v>476</v>
      </c>
      <c r="B53" s="17" t="n">
        <v>4740</v>
      </c>
      <c r="C53" s="18">
        <f>(3979.0/B53*100)</f>
        <v/>
      </c>
      <c r="D53" s="19" t="n">
        <v>761</v>
      </c>
      <c r="E53" s="18" t="n">
        <v>53.42370567</v>
      </c>
      <c r="F53" s="20" t="n">
        <v>2.1449086</v>
      </c>
      <c r="G53" s="18" t="n">
        <v>24.72465487</v>
      </c>
      <c r="H53" s="20" t="n">
        <v>1.66722334</v>
      </c>
      <c r="I53" s="18" t="n">
        <v>0</v>
      </c>
      <c r="J53" s="20" t="n">
        <v>0</v>
      </c>
      <c r="K53" s="18" t="n">
        <v>21.85163947</v>
      </c>
      <c r="L53" s="20" t="n">
        <v>1.47705448</v>
      </c>
      <c r="M53" s="18" t="n">
        <v>0</v>
      </c>
      <c r="N53" s="20" t="n">
        <v>0</v>
      </c>
      <c r="O53" s="18" t="n">
        <v>0</v>
      </c>
      <c r="P53" s="20" t="n">
        <v>0</v>
      </c>
      <c r="Q53" s="18" t="n">
        <v>0</v>
      </c>
      <c r="R53" s="20" t="n">
        <v>0</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(4706.0/B55*100)</f>
        <v/>
      </c>
      <c r="D55" s="19" t="n">
        <v>653</v>
      </c>
      <c r="E55" s="18" t="n">
        <v>15.63427182</v>
      </c>
      <c r="F55" s="20" t="n">
        <v>1.30752586</v>
      </c>
      <c r="G55" s="18" t="n">
        <v>82.96591554</v>
      </c>
      <c r="H55" s="20" t="n">
        <v>1.37338343</v>
      </c>
      <c r="I55" s="18" t="n">
        <v>0</v>
      </c>
      <c r="J55" s="20" t="n">
        <v>0</v>
      </c>
      <c r="K55" s="18" t="n">
        <v>1.39981263</v>
      </c>
      <c r="L55" s="20" t="n">
        <v>0.39981143</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(5746.0/B61*100)</f>
        <v/>
      </c>
      <c r="D61" s="19" t="n">
        <v>779</v>
      </c>
      <c r="E61" s="18" t="n">
        <v>44.97307059</v>
      </c>
      <c r="F61" s="20" t="n">
        <v>1.80938965</v>
      </c>
      <c r="G61" s="18" t="n">
        <v>53.08102168</v>
      </c>
      <c r="H61" s="20" t="n">
        <v>1.82880735</v>
      </c>
      <c r="I61" s="18" t="n">
        <v>0</v>
      </c>
      <c r="J61" s="20" t="n">
        <v>0</v>
      </c>
      <c r="K61" s="18" t="n">
        <v>1.94590772</v>
      </c>
      <c r="L61" s="20" t="n">
        <v>0.56147171</v>
      </c>
      <c r="M61" s="18" t="n">
        <v>0</v>
      </c>
      <c r="N61" s="20" t="n">
        <v>0</v>
      </c>
      <c r="O61" s="18" t="n">
        <v>0</v>
      </c>
      <c r="P61" s="20" t="n">
        <v>0</v>
      </c>
      <c r="Q61" s="18" t="n">
        <v>0</v>
      </c>
      <c r="R61" s="20" t="n">
        <v>0</v>
      </c>
    </row>
    <row r="62" spans="1:18">
      <c r="A62" s="15" t="s">
        <v>486</v>
      </c>
      <c r="B62" s="17" t="n">
        <v>4476</v>
      </c>
      <c r="C62" s="18">
        <f>(3945.0/B62*100)</f>
        <v/>
      </c>
      <c r="D62" s="19" t="n">
        <v>531</v>
      </c>
      <c r="E62" s="18" t="n">
        <v>22.79602955</v>
      </c>
      <c r="F62" s="20" t="n">
        <v>1.99998525</v>
      </c>
      <c r="G62" s="18" t="n">
        <v>76.64089665</v>
      </c>
      <c r="H62" s="20" t="n">
        <v>2.0228109</v>
      </c>
      <c r="I62" s="18" t="n">
        <v>0</v>
      </c>
      <c r="J62" s="20" t="n">
        <v>0</v>
      </c>
      <c r="K62" s="18" t="n">
        <v>0.5630738</v>
      </c>
      <c r="L62" s="20" t="n">
        <v>0.32537553</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(4999.0/B67*100)</f>
        <v/>
      </c>
      <c r="D67" s="19" t="n">
        <v>666</v>
      </c>
      <c r="E67" s="18" t="n">
        <v>47.18695101</v>
      </c>
      <c r="F67" s="20" t="n">
        <v>1.95230429</v>
      </c>
      <c r="G67" s="18" t="n">
        <v>45.04693527</v>
      </c>
      <c r="H67" s="20" t="n">
        <v>2.00880354</v>
      </c>
      <c r="I67" s="18" t="n">
        <v>0</v>
      </c>
      <c r="J67" s="20" t="n">
        <v>0</v>
      </c>
      <c r="K67" s="18" t="n">
        <v>7.76611372</v>
      </c>
      <c r="L67" s="20" t="n">
        <v>1.07389973</v>
      </c>
      <c r="M67" s="18" t="n">
        <v>0</v>
      </c>
      <c r="N67" s="20" t="n">
        <v>0</v>
      </c>
      <c r="O67" s="18" t="n">
        <v>0</v>
      </c>
      <c r="P67" s="20" t="n">
        <v>0</v>
      </c>
      <c r="Q67" s="18" t="n">
        <v>0</v>
      </c>
      <c r="R67" s="20" t="n">
        <v>0</v>
      </c>
    </row>
    <row r="68" spans="1:18">
      <c r="A68" s="15" t="s">
        <v>492</v>
      </c>
      <c r="B68" s="17" t="n">
        <v>6971</v>
      </c>
      <c r="C68" s="18">
        <f>(6300.0/B68*100)</f>
        <v/>
      </c>
      <c r="D68" s="19" t="n">
        <v>671</v>
      </c>
      <c r="E68" s="18" t="n">
        <v>57.96930047</v>
      </c>
      <c r="F68" s="20" t="n">
        <v>1.93858658</v>
      </c>
      <c r="G68" s="18" t="n">
        <v>40.20027839</v>
      </c>
      <c r="H68" s="20" t="n">
        <v>1.97272991</v>
      </c>
      <c r="I68" s="18" t="n">
        <v>0</v>
      </c>
      <c r="J68" s="20" t="n">
        <v>0</v>
      </c>
      <c r="K68" s="18" t="n">
        <v>1.83042114</v>
      </c>
      <c r="L68" s="20" t="n">
        <v>0.59151189</v>
      </c>
      <c r="M68" s="18" t="n">
        <v>0</v>
      </c>
      <c r="N68" s="20" t="n">
        <v>0</v>
      </c>
      <c r="O68" s="18" t="n">
        <v>0</v>
      </c>
      <c r="P68" s="20" t="n">
        <v>0</v>
      </c>
      <c r="Q68" s="18" t="n">
        <v>0</v>
      </c>
      <c r="R68" s="20" t="n">
        <v>0</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(10082.0/B70*100)</f>
        <v/>
      </c>
      <c r="D70" s="19" t="n">
        <v>2001</v>
      </c>
      <c r="E70" s="18" t="n">
        <v>52.31602073</v>
      </c>
      <c r="F70" s="20" t="n">
        <v>1.23085512</v>
      </c>
      <c r="G70" s="18" t="n">
        <v>40.23942636</v>
      </c>
      <c r="H70" s="20" t="n">
        <v>1.12143316</v>
      </c>
      <c r="I70" s="18" t="n">
        <v>0</v>
      </c>
      <c r="J70" s="20" t="n">
        <v>0</v>
      </c>
      <c r="K70" s="18" t="n">
        <v>7.4445529</v>
      </c>
      <c r="L70" s="20" t="n">
        <v>0.60961961</v>
      </c>
      <c r="M70" s="18" t="n">
        <v>0</v>
      </c>
      <c r="N70" s="20" t="n">
        <v>0</v>
      </c>
      <c r="O70" s="18" t="n">
        <v>0</v>
      </c>
      <c r="P70" s="20" t="n">
        <v>0</v>
      </c>
      <c r="Q70" s="18" t="n">
        <v>0</v>
      </c>
      <c r="R70" s="20" t="n">
        <v>0</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(5360.0/B72*100)</f>
        <v/>
      </c>
      <c r="D72" s="19" t="n">
        <v>676</v>
      </c>
      <c r="E72" s="18" t="n">
        <v>26.03459213</v>
      </c>
      <c r="F72" s="20" t="n">
        <v>2.34987052</v>
      </c>
      <c r="G72" s="18" t="n">
        <v>71.920269</v>
      </c>
      <c r="H72" s="20" t="n">
        <v>2.20016977</v>
      </c>
      <c r="I72" s="18" t="n">
        <v>0</v>
      </c>
      <c r="J72" s="20" t="n">
        <v>0</v>
      </c>
      <c r="K72" s="18" t="n">
        <v>2.04513886</v>
      </c>
      <c r="L72" s="20" t="n">
        <v>0.57537013</v>
      </c>
      <c r="M72" s="18" t="n">
        <v>0</v>
      </c>
      <c r="N72" s="20" t="n">
        <v>0</v>
      </c>
      <c r="O72" s="18" t="n">
        <v>0</v>
      </c>
      <c r="P72" s="20" t="n">
        <v>0</v>
      </c>
      <c r="Q72" s="18" t="n">
        <v>0</v>
      </c>
      <c r="R72" s="20" t="n">
        <v>0</v>
      </c>
    </row>
    <row r="73" spans="1:18">
      <c r="A73" s="15" t="s">
        <v>497</v>
      </c>
      <c r="B73" s="17" t="n">
        <v>6115</v>
      </c>
      <c r="C73" s="18">
        <f>(5371.0/B73*100)</f>
        <v/>
      </c>
      <c r="D73" s="19" t="n">
        <v>744</v>
      </c>
      <c r="E73" s="18" t="n">
        <v>26.02499847</v>
      </c>
      <c r="F73" s="20" t="n">
        <v>1.71884937</v>
      </c>
      <c r="G73" s="18" t="n">
        <v>72.56224463</v>
      </c>
      <c r="H73" s="20" t="n">
        <v>1.8085881</v>
      </c>
      <c r="I73" s="18" t="n">
        <v>0</v>
      </c>
      <c r="J73" s="20" t="n">
        <v>0</v>
      </c>
      <c r="K73" s="18" t="n">
        <v>1.4127569</v>
      </c>
      <c r="L73" s="20" t="n">
        <v>0.42243418</v>
      </c>
      <c r="M73" s="18" t="n">
        <v>0</v>
      </c>
      <c r="N73" s="20" t="n">
        <v>0</v>
      </c>
      <c r="O73" s="18" t="n">
        <v>0</v>
      </c>
      <c r="P73" s="20" t="n">
        <v>0</v>
      </c>
      <c r="Q73" s="18" t="n">
        <v>0</v>
      </c>
      <c r="R73" s="20" t="n">
        <v>0</v>
      </c>
    </row>
    <row r="74" spans="1:18">
      <c r="A74" s="15" t="s">
        <v>498</v>
      </c>
      <c r="B74" s="17" t="n">
        <v>7708</v>
      </c>
      <c r="C74" s="18">
        <f>(6763.0/B74*100)</f>
        <v/>
      </c>
      <c r="D74" s="19" t="n">
        <v>945</v>
      </c>
      <c r="E74" s="18" t="n">
        <v>31.55898954</v>
      </c>
      <c r="F74" s="20" t="n">
        <v>1.68180102</v>
      </c>
      <c r="G74" s="18" t="n">
        <v>67.83266802</v>
      </c>
      <c r="H74" s="20" t="n">
        <v>1.67303463</v>
      </c>
      <c r="I74" s="18" t="n">
        <v>0</v>
      </c>
      <c r="J74" s="20" t="n">
        <v>0</v>
      </c>
      <c r="K74" s="18" t="n">
        <v>0.60834243</v>
      </c>
      <c r="L74" s="20" t="n">
        <v>0.26556661</v>
      </c>
      <c r="M74" s="18" t="n">
        <v>0</v>
      </c>
      <c r="N74" s="20" t="n">
        <v>0</v>
      </c>
      <c r="O74" s="18" t="n">
        <v>0</v>
      </c>
      <c r="P74" s="20" t="n">
        <v>0</v>
      </c>
      <c r="Q74" s="18" t="n">
        <v>0</v>
      </c>
      <c r="R74" s="20" t="n">
        <v>0</v>
      </c>
    </row>
    <row r="75" spans="1:18">
      <c r="A75" s="15" t="s">
        <v>499</v>
      </c>
      <c r="B75" s="17" t="n">
        <v>8249</v>
      </c>
      <c r="C75" s="18">
        <f>(7331.0/B75*100)</f>
        <v/>
      </c>
      <c r="D75" s="19" t="n">
        <v>918</v>
      </c>
      <c r="E75" s="18" t="n">
        <v>54.97422942</v>
      </c>
      <c r="F75" s="20" t="n">
        <v>2.41189111</v>
      </c>
      <c r="G75" s="18" t="n">
        <v>44.59518597</v>
      </c>
      <c r="H75" s="20" t="n">
        <v>2.41971311</v>
      </c>
      <c r="I75" s="18" t="n">
        <v>0</v>
      </c>
      <c r="J75" s="20" t="n">
        <v>0</v>
      </c>
      <c r="K75" s="18" t="n">
        <v>0.43058461</v>
      </c>
      <c r="L75" s="20" t="n">
        <v>0.27179831</v>
      </c>
      <c r="M75" s="18" t="n">
        <v>0</v>
      </c>
      <c r="N75" s="20" t="n">
        <v>0</v>
      </c>
      <c r="O75" s="18" t="n">
        <v>0</v>
      </c>
      <c r="P75" s="20" t="n">
        <v>0</v>
      </c>
      <c r="Q75" s="18" t="n">
        <v>0</v>
      </c>
      <c r="R75" s="20" t="n">
        <v>0</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(4808.0/B77*100)</f>
        <v/>
      </c>
      <c r="D77" s="19" t="n">
        <v>567</v>
      </c>
      <c r="E77" s="18" t="n">
        <v>54.54038236</v>
      </c>
      <c r="F77" s="20" t="n">
        <v>2.1736753</v>
      </c>
      <c r="G77" s="18" t="n">
        <v>35.06390865</v>
      </c>
      <c r="H77" s="20" t="n">
        <v>2.27072889</v>
      </c>
      <c r="I77" s="18" t="n">
        <v>0</v>
      </c>
      <c r="J77" s="20" t="n">
        <v>0</v>
      </c>
      <c r="K77" s="18" t="n">
        <v>10.395709</v>
      </c>
      <c r="L77" s="20" t="n">
        <v>1.39404916</v>
      </c>
      <c r="M77" s="18" t="n">
        <v>0</v>
      </c>
      <c r="N77" s="20" t="n">
        <v>0</v>
      </c>
      <c r="O77" s="18" t="n">
        <v>0</v>
      </c>
      <c r="P77" s="20" t="n">
        <v>0</v>
      </c>
      <c r="Q77" s="18" t="n">
        <v>0</v>
      </c>
      <c r="R77" s="20" t="n">
        <v>0</v>
      </c>
    </row>
    <row r="78" spans="1:18">
      <c r="A78" s="15" t="s">
        <v>502</v>
      </c>
      <c r="B78" s="17" t="n">
        <v>14167</v>
      </c>
      <c r="C78" s="18">
        <f>(12417.0/B78*100)</f>
        <v/>
      </c>
      <c r="D78" s="19" t="n">
        <v>1750</v>
      </c>
      <c r="E78" s="18" t="n">
        <v>49.46979272</v>
      </c>
      <c r="F78" s="20" t="n">
        <v>1.6999846</v>
      </c>
      <c r="G78" s="18" t="n">
        <v>48.06045088</v>
      </c>
      <c r="H78" s="20" t="n">
        <v>1.67241824</v>
      </c>
      <c r="I78" s="18" t="n">
        <v>0</v>
      </c>
      <c r="J78" s="20" t="n">
        <v>0</v>
      </c>
      <c r="K78" s="18" t="n">
        <v>2.46975639</v>
      </c>
      <c r="L78" s="20" t="n">
        <v>0.4559012</v>
      </c>
      <c r="M78" s="18" t="n">
        <v>0</v>
      </c>
      <c r="N78" s="20" t="n">
        <v>0</v>
      </c>
      <c r="O78" s="18" t="n">
        <v>0</v>
      </c>
      <c r="P78" s="20" t="n">
        <v>0</v>
      </c>
      <c r="Q78" s="18" t="n">
        <v>0</v>
      </c>
      <c r="R78" s="20" t="n">
        <v>0</v>
      </c>
    </row>
    <row r="79" spans="1:18">
      <c r="A79" s="15" t="s">
        <v>503</v>
      </c>
      <c r="B79" s="17" t="n">
        <v>6062</v>
      </c>
      <c r="C79" s="18">
        <f>(5389.0/B79*100)</f>
        <v/>
      </c>
      <c r="D79" s="19" t="n">
        <v>673</v>
      </c>
      <c r="E79" s="18" t="n">
        <v>50.59678508</v>
      </c>
      <c r="F79" s="20" t="n">
        <v>2.31118072</v>
      </c>
      <c r="G79" s="18" t="n">
        <v>40.64329839</v>
      </c>
      <c r="H79" s="20" t="n">
        <v>2.20087815</v>
      </c>
      <c r="I79" s="18" t="n">
        <v>0</v>
      </c>
      <c r="J79" s="20" t="n">
        <v>0</v>
      </c>
      <c r="K79" s="18" t="n">
        <v>8.75991653</v>
      </c>
      <c r="L79" s="20" t="n">
        <v>1.15907195</v>
      </c>
      <c r="M79" s="18" t="n">
        <v>0</v>
      </c>
      <c r="N79" s="20" t="n">
        <v>0</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(28530.0/B82*100)</f>
        <v/>
      </c>
      <c r="D82" s="19" t="n">
        <v>3800</v>
      </c>
      <c r="E82" s="18" t="n">
        <v>35.8602714</v>
      </c>
      <c r="F82" s="20" t="n">
        <v>0.91857961</v>
      </c>
      <c r="G82" s="18" t="n">
        <v>62.24565831</v>
      </c>
      <c r="H82" s="20" t="n">
        <v>0.98826769</v>
      </c>
      <c r="I82" s="18" t="n">
        <v>0</v>
      </c>
      <c r="J82" s="20" t="n">
        <v>0</v>
      </c>
      <c r="K82" s="18" t="n">
        <v>1.89407028</v>
      </c>
      <c r="L82" s="20" t="n">
        <v>0.28281515</v>
      </c>
      <c r="M82" s="18" t="n">
        <v>0</v>
      </c>
      <c r="N82" s="20" t="n">
        <v>0</v>
      </c>
      <c r="O82" s="18" t="n">
        <v>0</v>
      </c>
      <c r="P82" s="20" t="n">
        <v>0</v>
      </c>
      <c r="Q82" s="18" t="n">
        <v>0</v>
      </c>
      <c r="R82" s="20" t="n">
        <v>0</v>
      </c>
    </row>
    <row r="83" spans="1:18">
      <c r="A83" s="15" t="s">
        <v>507</v>
      </c>
      <c r="B83" s="17" t="n">
        <v>1652</v>
      </c>
      <c r="C83" s="18">
        <f>(1469.0/B83*100)</f>
        <v/>
      </c>
      <c r="D83" s="19" t="n">
        <v>183</v>
      </c>
      <c r="E83" s="18" t="n">
        <v>26.62753076</v>
      </c>
      <c r="F83" s="20" t="n">
        <v>3.51025098</v>
      </c>
      <c r="G83" s="18" t="n">
        <v>72.36894639</v>
      </c>
      <c r="H83" s="20" t="n">
        <v>3.55836084</v>
      </c>
      <c r="I83" s="18" t="n">
        <v>0</v>
      </c>
      <c r="J83" s="20" t="n">
        <v>0</v>
      </c>
      <c r="K83" s="18" t="n">
        <v>1.00352285</v>
      </c>
      <c r="L83" s="20" t="n">
        <v>0.66952923</v>
      </c>
      <c r="M83" s="18" t="n">
        <v>0</v>
      </c>
      <c r="N83" s="20" t="n">
        <v>0</v>
      </c>
      <c r="O83" s="18" t="n">
        <v>0</v>
      </c>
      <c r="P83" s="20" t="n">
        <v>0</v>
      </c>
      <c r="Q83" s="18" t="n">
        <v>0</v>
      </c>
      <c r="R83" s="20" t="n">
        <v>0</v>
      </c>
    </row>
    <row r="84" spans="1:18">
      <c r="A84" s="23" t="s">
        <v>508</v>
      </c>
      <c r="B84" s="24" t="n">
        <v>1887</v>
      </c>
      <c r="C84" s="25">
        <f>(1669.0/B84*100)</f>
        <v/>
      </c>
      <c r="D84" s="19" t="n">
        <v>218</v>
      </c>
      <c r="E84" s="18" t="n">
        <v>29.11612941</v>
      </c>
      <c r="F84" s="20" t="n">
        <v>3.722998</v>
      </c>
      <c r="G84" s="18" t="n">
        <v>69.98168919</v>
      </c>
      <c r="H84" s="20" t="n">
        <v>3.69184636</v>
      </c>
      <c r="I84" s="18" t="n">
        <v>0</v>
      </c>
      <c r="J84" s="20" t="n">
        <v>0</v>
      </c>
      <c r="K84" s="18" t="n">
        <v>0.9021814</v>
      </c>
      <c r="L84" s="20" t="n">
        <v>0.91531726</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(12758.0/B7*100)</f>
        <v/>
      </c>
      <c r="D7" s="19" t="n">
        <v>1772</v>
      </c>
      <c r="E7" s="18" t="n">
        <v>62.96672583</v>
      </c>
      <c r="F7" s="20" t="n">
        <v>1.43047682</v>
      </c>
      <c r="G7" s="18" t="n">
        <v>35.47136233</v>
      </c>
      <c r="H7" s="20" t="n">
        <v>1.42668345</v>
      </c>
      <c r="I7" s="18" t="n">
        <v>0</v>
      </c>
      <c r="J7" s="20" t="n">
        <v>0</v>
      </c>
      <c r="K7" s="18" t="n">
        <v>0.01968447</v>
      </c>
      <c r="L7" s="20" t="n">
        <v>0.01412483</v>
      </c>
      <c r="M7" s="18" t="n">
        <v>0</v>
      </c>
      <c r="N7" s="20" t="n">
        <v>0</v>
      </c>
      <c r="O7" s="18" t="n">
        <v>0</v>
      </c>
      <c r="P7" s="20" t="n">
        <v>0</v>
      </c>
      <c r="Q7" s="18" t="n">
        <v>1.54222737</v>
      </c>
      <c r="R7" s="20" t="n">
        <v>0.27599257</v>
      </c>
    </row>
    <row r="8" spans="1:18">
      <c r="A8" s="15" t="s">
        <v>430</v>
      </c>
      <c r="B8" s="17" t="n">
        <v>7007</v>
      </c>
      <c r="C8" s="18">
        <f>(6123.0/B8*100)</f>
        <v/>
      </c>
      <c r="D8" s="19" t="n">
        <v>884</v>
      </c>
      <c r="E8" s="18" t="n">
        <v>53.52651436</v>
      </c>
      <c r="F8" s="20" t="n">
        <v>1.9534809</v>
      </c>
      <c r="G8" s="18" t="n">
        <v>45.85306347</v>
      </c>
      <c r="H8" s="20" t="n">
        <v>1.96654565</v>
      </c>
      <c r="I8" s="18" t="n">
        <v>0</v>
      </c>
      <c r="J8" s="20" t="n">
        <v>0</v>
      </c>
      <c r="K8" s="18" t="n">
        <v>0</v>
      </c>
      <c r="L8" s="20" t="n">
        <v>0</v>
      </c>
      <c r="M8" s="18" t="n">
        <v>0</v>
      </c>
      <c r="N8" s="20" t="n">
        <v>0</v>
      </c>
      <c r="O8" s="18" t="n">
        <v>0</v>
      </c>
      <c r="P8" s="20" t="n">
        <v>0</v>
      </c>
      <c r="Q8" s="18" t="n">
        <v>0.62042217</v>
      </c>
      <c r="R8" s="20" t="n">
        <v>0.27919058</v>
      </c>
    </row>
    <row r="9" spans="1:18">
      <c r="A9" s="15" t="s">
        <v>431</v>
      </c>
      <c r="B9" s="17" t="n">
        <v>9651</v>
      </c>
      <c r="C9" s="18">
        <f>(8495.0/B9*100)</f>
        <v/>
      </c>
      <c r="D9" s="19" t="n">
        <v>1156</v>
      </c>
      <c r="E9" s="18" t="n">
        <v>58.58334236</v>
      </c>
      <c r="F9" s="20" t="n">
        <v>1.40439812</v>
      </c>
      <c r="G9" s="18" t="n">
        <v>39.64861165</v>
      </c>
      <c r="H9" s="20" t="n">
        <v>1.42992792</v>
      </c>
      <c r="I9" s="18" t="n">
        <v>0</v>
      </c>
      <c r="J9" s="20" t="n">
        <v>0</v>
      </c>
      <c r="K9" s="18" t="n">
        <v>0.08285168</v>
      </c>
      <c r="L9" s="20" t="n">
        <v>0.08678244</v>
      </c>
      <c r="M9" s="18" t="n">
        <v>0</v>
      </c>
      <c r="N9" s="20" t="n">
        <v>0</v>
      </c>
      <c r="O9" s="18" t="n">
        <v>0</v>
      </c>
      <c r="P9" s="20" t="n">
        <v>0</v>
      </c>
      <c r="Q9" s="18" t="n">
        <v>1.6851943</v>
      </c>
      <c r="R9" s="20" t="n">
        <v>0.43644029</v>
      </c>
    </row>
    <row r="10" spans="1:18">
      <c r="A10" s="15" t="s">
        <v>432</v>
      </c>
      <c r="B10" s="17" t="n">
        <v>20058</v>
      </c>
      <c r="C10" s="18">
        <f>(17524.0/B10*100)</f>
        <v/>
      </c>
      <c r="D10" s="19" t="n">
        <v>2534</v>
      </c>
      <c r="E10" s="18" t="n">
        <v>58.06457564</v>
      </c>
      <c r="F10" s="20" t="n">
        <v>1.42234768</v>
      </c>
      <c r="G10" s="18" t="n">
        <v>41.24712188</v>
      </c>
      <c r="H10" s="20" t="n">
        <v>1.41035408</v>
      </c>
      <c r="I10" s="18" t="n">
        <v>0</v>
      </c>
      <c r="J10" s="20" t="n">
        <v>0</v>
      </c>
      <c r="K10" s="18" t="n">
        <v>0.1093221</v>
      </c>
      <c r="L10" s="20" t="n">
        <v>0.08830049</v>
      </c>
      <c r="M10" s="18" t="n">
        <v>0</v>
      </c>
      <c r="N10" s="20" t="n">
        <v>0</v>
      </c>
      <c r="O10" s="18" t="n">
        <v>0</v>
      </c>
      <c r="P10" s="20" t="n">
        <v>0</v>
      </c>
      <c r="Q10" s="18" t="n">
        <v>0.57898038</v>
      </c>
      <c r="R10" s="20" t="n">
        <v>0.18959196</v>
      </c>
    </row>
    <row r="11" spans="1:18">
      <c r="A11" s="15" t="s">
        <v>433</v>
      </c>
      <c r="B11" s="17" t="n">
        <v>7053</v>
      </c>
      <c r="C11" s="18">
        <f>(6211.0/B11*100)</f>
        <v/>
      </c>
      <c r="D11" s="19" t="n">
        <v>842</v>
      </c>
      <c r="E11" s="18" t="n">
        <v>63.23345788</v>
      </c>
      <c r="F11" s="20" t="n">
        <v>1.94751911</v>
      </c>
      <c r="G11" s="18" t="n">
        <v>34.59619463</v>
      </c>
      <c r="H11" s="20" t="n">
        <v>1.99445852</v>
      </c>
      <c r="I11" s="18" t="n">
        <v>0</v>
      </c>
      <c r="J11" s="20" t="n">
        <v>0</v>
      </c>
      <c r="K11" s="18" t="n">
        <v>0.15540834</v>
      </c>
      <c r="L11" s="20" t="n">
        <v>0.15532862</v>
      </c>
      <c r="M11" s="18" t="n">
        <v>0</v>
      </c>
      <c r="N11" s="20" t="n">
        <v>0</v>
      </c>
      <c r="O11" s="18" t="n">
        <v>0</v>
      </c>
      <c r="P11" s="20" t="n">
        <v>0</v>
      </c>
      <c r="Q11" s="18" t="n">
        <v>2.01493916</v>
      </c>
      <c r="R11" s="20" t="n">
        <v>0.560787</v>
      </c>
    </row>
    <row r="12" spans="1:18">
      <c r="A12" s="15" t="s">
        <v>434</v>
      </c>
      <c r="B12" s="17" t="n">
        <v>6894</v>
      </c>
      <c r="C12" s="18">
        <f>(6053.0/B12*100)</f>
        <v/>
      </c>
      <c r="D12" s="19" t="n">
        <v>841</v>
      </c>
      <c r="E12" s="18" t="n">
        <v>60.81510691</v>
      </c>
      <c r="F12" s="20" t="n">
        <v>1.8014459</v>
      </c>
      <c r="G12" s="18" t="n">
        <v>38.31353385</v>
      </c>
      <c r="H12" s="20" t="n">
        <v>1.8045585</v>
      </c>
      <c r="I12" s="18" t="n">
        <v>0</v>
      </c>
      <c r="J12" s="20" t="n">
        <v>0</v>
      </c>
      <c r="K12" s="18" t="n">
        <v>0</v>
      </c>
      <c r="L12" s="20" t="n">
        <v>0</v>
      </c>
      <c r="M12" s="18" t="n">
        <v>0</v>
      </c>
      <c r="N12" s="20" t="n">
        <v>0</v>
      </c>
      <c r="O12" s="18" t="n">
        <v>0</v>
      </c>
      <c r="P12" s="20" t="n">
        <v>0</v>
      </c>
      <c r="Q12" s="18" t="n">
        <v>0.87135924</v>
      </c>
      <c r="R12" s="20" t="n">
        <v>0.29014413</v>
      </c>
    </row>
    <row r="13" spans="1:18">
      <c r="A13" s="15" t="s">
        <v>435</v>
      </c>
      <c r="B13" s="17" t="n">
        <v>7161</v>
      </c>
      <c r="C13" s="18">
        <f>(6312.0/B13*100)</f>
        <v/>
      </c>
      <c r="D13" s="19" t="n">
        <v>849</v>
      </c>
      <c r="E13" s="18" t="n">
        <v>58.17595427</v>
      </c>
      <c r="F13" s="20" t="n">
        <v>2.13959887</v>
      </c>
      <c r="G13" s="18" t="n">
        <v>40.86158302</v>
      </c>
      <c r="H13" s="20" t="n">
        <v>2.17662529</v>
      </c>
      <c r="I13" s="18" t="n">
        <v>0</v>
      </c>
      <c r="J13" s="20" t="n">
        <v>0</v>
      </c>
      <c r="K13" s="18" t="n">
        <v>0.27757345</v>
      </c>
      <c r="L13" s="20" t="n">
        <v>0.17510166</v>
      </c>
      <c r="M13" s="18" t="n">
        <v>0</v>
      </c>
      <c r="N13" s="20" t="n">
        <v>0</v>
      </c>
      <c r="O13" s="18" t="n">
        <v>0</v>
      </c>
      <c r="P13" s="20" t="n">
        <v>0</v>
      </c>
      <c r="Q13" s="18" t="n">
        <v>0.6848892600000001</v>
      </c>
      <c r="R13" s="20" t="n">
        <v>0.30295058</v>
      </c>
    </row>
    <row r="14" spans="1:18">
      <c r="A14" s="15" t="s">
        <v>436</v>
      </c>
      <c r="B14" s="17" t="n">
        <v>5587</v>
      </c>
      <c r="C14" s="18">
        <f>(4922.0/B14*100)</f>
        <v/>
      </c>
      <c r="D14" s="19" t="n">
        <v>665</v>
      </c>
      <c r="E14" s="18" t="n">
        <v>55.06139561</v>
      </c>
      <c r="F14" s="20" t="n">
        <v>1.98150655</v>
      </c>
      <c r="G14" s="18" t="n">
        <v>44.93860439</v>
      </c>
      <c r="H14" s="20" t="n">
        <v>1.98150655</v>
      </c>
      <c r="I14" s="18" t="n">
        <v>0</v>
      </c>
      <c r="J14" s="20" t="n">
        <v>0</v>
      </c>
      <c r="K14" s="18" t="n">
        <v>0</v>
      </c>
      <c r="L14" s="20" t="n">
        <v>0</v>
      </c>
      <c r="M14" s="18" t="n">
        <v>0</v>
      </c>
      <c r="N14" s="20" t="n">
        <v>0</v>
      </c>
      <c r="O14" s="18" t="n">
        <v>0</v>
      </c>
      <c r="P14" s="20" t="n">
        <v>0</v>
      </c>
      <c r="Q14" s="18" t="n">
        <v>0</v>
      </c>
      <c r="R14" s="20" t="n">
        <v>0</v>
      </c>
    </row>
    <row r="15" spans="1:18">
      <c r="A15" s="15" t="s">
        <v>437</v>
      </c>
      <c r="B15" s="17" t="n">
        <v>5882</v>
      </c>
      <c r="C15" s="18">
        <f>(5152.0/B15*100)</f>
        <v/>
      </c>
      <c r="D15" s="19" t="n">
        <v>730</v>
      </c>
      <c r="E15" s="18" t="n">
        <v>51.4886233</v>
      </c>
      <c r="F15" s="20" t="n">
        <v>1.79806633</v>
      </c>
      <c r="G15" s="18" t="n">
        <v>47.83316814</v>
      </c>
      <c r="H15" s="20" t="n">
        <v>1.71968697</v>
      </c>
      <c r="I15" s="18" t="n">
        <v>0</v>
      </c>
      <c r="J15" s="20" t="n">
        <v>0</v>
      </c>
      <c r="K15" s="18" t="n">
        <v>0</v>
      </c>
      <c r="L15" s="20" t="n">
        <v>0</v>
      </c>
      <c r="M15" s="18" t="n">
        <v>0</v>
      </c>
      <c r="N15" s="20" t="n">
        <v>0</v>
      </c>
      <c r="O15" s="18" t="n">
        <v>0</v>
      </c>
      <c r="P15" s="20" t="n">
        <v>0</v>
      </c>
      <c r="Q15" s="18" t="n">
        <v>0.67820857</v>
      </c>
      <c r="R15" s="20" t="n">
        <v>0.3605954</v>
      </c>
    </row>
    <row r="16" spans="1:18">
      <c r="A16" s="15" t="s">
        <v>438</v>
      </c>
      <c r="B16" s="17" t="n">
        <v>6108</v>
      </c>
      <c r="C16" s="18">
        <f>(5365.0/B16*100)</f>
        <v/>
      </c>
      <c r="D16" s="19" t="n">
        <v>743</v>
      </c>
      <c r="E16" s="18" t="n">
        <v>56.72379313</v>
      </c>
      <c r="F16" s="20" t="n">
        <v>2.14749723</v>
      </c>
      <c r="G16" s="18" t="n">
        <v>39.84186255</v>
      </c>
      <c r="H16" s="20" t="n">
        <v>2.1037584</v>
      </c>
      <c r="I16" s="18" t="n">
        <v>0</v>
      </c>
      <c r="J16" s="20" t="n">
        <v>0</v>
      </c>
      <c r="K16" s="18" t="n">
        <v>0.68536593</v>
      </c>
      <c r="L16" s="20" t="n">
        <v>0.35503769</v>
      </c>
      <c r="M16" s="18" t="n">
        <v>0</v>
      </c>
      <c r="N16" s="20" t="n">
        <v>0</v>
      </c>
      <c r="O16" s="18" t="n">
        <v>0</v>
      </c>
      <c r="P16" s="20" t="n">
        <v>0</v>
      </c>
      <c r="Q16" s="18" t="n">
        <v>2.7489784</v>
      </c>
      <c r="R16" s="20" t="n">
        <v>0.68210819</v>
      </c>
    </row>
    <row r="17" spans="1:18">
      <c r="A17" s="15" t="s">
        <v>439</v>
      </c>
      <c r="B17" s="17" t="n">
        <v>6504</v>
      </c>
      <c r="C17" s="18">
        <f>(5739.0/B17*100)</f>
        <v/>
      </c>
      <c r="D17" s="19" t="n">
        <v>765</v>
      </c>
      <c r="E17" s="18" t="n">
        <v>53.4228941</v>
      </c>
      <c r="F17" s="20" t="n">
        <v>2.0772966</v>
      </c>
      <c r="G17" s="18" t="n">
        <v>45.91221367</v>
      </c>
      <c r="H17" s="20" t="n">
        <v>2.0328265</v>
      </c>
      <c r="I17" s="18" t="n">
        <v>0</v>
      </c>
      <c r="J17" s="20" t="n">
        <v>0</v>
      </c>
      <c r="K17" s="18" t="n">
        <v>0.09860698</v>
      </c>
      <c r="L17" s="20" t="n">
        <v>0.09885627</v>
      </c>
      <c r="M17" s="18" t="n">
        <v>0</v>
      </c>
      <c r="N17" s="20" t="n">
        <v>0</v>
      </c>
      <c r="O17" s="18" t="n">
        <v>0</v>
      </c>
      <c r="P17" s="20" t="n">
        <v>0</v>
      </c>
      <c r="Q17" s="18" t="n">
        <v>0.56628525</v>
      </c>
      <c r="R17" s="20" t="n">
        <v>0.27317732</v>
      </c>
    </row>
    <row r="18" spans="1:18">
      <c r="A18" s="15" t="s">
        <v>440</v>
      </c>
      <c r="B18" s="17" t="n">
        <v>5532</v>
      </c>
      <c r="C18" s="18">
        <f>(4838.0/B18*100)</f>
        <v/>
      </c>
      <c r="D18" s="19" t="n">
        <v>694</v>
      </c>
      <c r="E18" s="18" t="n">
        <v>63.5112845</v>
      </c>
      <c r="F18" s="20" t="n">
        <v>1.98869761</v>
      </c>
      <c r="G18" s="18" t="n">
        <v>33.04475167</v>
      </c>
      <c r="H18" s="20" t="n">
        <v>1.88446057</v>
      </c>
      <c r="I18" s="18" t="n">
        <v>0</v>
      </c>
      <c r="J18" s="20" t="n">
        <v>0</v>
      </c>
      <c r="K18" s="18" t="n">
        <v>0</v>
      </c>
      <c r="L18" s="20" t="n">
        <v>0</v>
      </c>
      <c r="M18" s="18" t="n">
        <v>0</v>
      </c>
      <c r="N18" s="20" t="n">
        <v>0</v>
      </c>
      <c r="O18" s="18" t="n">
        <v>0</v>
      </c>
      <c r="P18" s="20" t="n">
        <v>0</v>
      </c>
      <c r="Q18" s="18" t="n">
        <v>3.44396383</v>
      </c>
      <c r="R18" s="20" t="n">
        <v>0.77365504</v>
      </c>
    </row>
    <row r="19" spans="1:18">
      <c r="A19" s="15" t="s">
        <v>441</v>
      </c>
      <c r="B19" s="17" t="n">
        <v>5658</v>
      </c>
      <c r="C19" s="18">
        <f>(4964.0/B19*100)</f>
        <v/>
      </c>
      <c r="D19" s="19" t="n">
        <v>694</v>
      </c>
      <c r="E19" s="18" t="n">
        <v>60.0531978</v>
      </c>
      <c r="F19" s="20" t="n">
        <v>2.20894557</v>
      </c>
      <c r="G19" s="18" t="n">
        <v>38.33425917</v>
      </c>
      <c r="H19" s="20" t="n">
        <v>2.157542</v>
      </c>
      <c r="I19" s="18" t="n">
        <v>0</v>
      </c>
      <c r="J19" s="20" t="n">
        <v>0</v>
      </c>
      <c r="K19" s="18" t="n">
        <v>0.29731614</v>
      </c>
      <c r="L19" s="20" t="n">
        <v>0.32535658</v>
      </c>
      <c r="M19" s="18" t="n">
        <v>0</v>
      </c>
      <c r="N19" s="20" t="n">
        <v>0</v>
      </c>
      <c r="O19" s="18" t="n">
        <v>0</v>
      </c>
      <c r="P19" s="20" t="n">
        <v>0</v>
      </c>
      <c r="Q19" s="18" t="n">
        <v>1.31522689</v>
      </c>
      <c r="R19" s="20" t="n">
        <v>0.41548708</v>
      </c>
    </row>
    <row r="20" spans="1:18">
      <c r="A20" s="15" t="s">
        <v>442</v>
      </c>
      <c r="B20" s="17" t="n">
        <v>3371</v>
      </c>
      <c r="C20" s="18">
        <f>(2960.0/B20*100)</f>
        <v/>
      </c>
      <c r="D20" s="19" t="n">
        <v>411</v>
      </c>
      <c r="E20" s="18" t="n">
        <v>62.32092882</v>
      </c>
      <c r="F20" s="20" t="n">
        <v>2.1430517</v>
      </c>
      <c r="G20" s="18" t="n">
        <v>35.20340886</v>
      </c>
      <c r="H20" s="20" t="n">
        <v>2.1129896</v>
      </c>
      <c r="I20" s="18" t="n">
        <v>0</v>
      </c>
      <c r="J20" s="20" t="n">
        <v>0</v>
      </c>
      <c r="K20" s="18" t="n">
        <v>0.6118393</v>
      </c>
      <c r="L20" s="20" t="n">
        <v>0.44545143</v>
      </c>
      <c r="M20" s="18" t="n">
        <v>0</v>
      </c>
      <c r="N20" s="20" t="n">
        <v>0</v>
      </c>
      <c r="O20" s="18" t="n">
        <v>0</v>
      </c>
      <c r="P20" s="20" t="n">
        <v>0</v>
      </c>
      <c r="Q20" s="18" t="n">
        <v>1.86382303</v>
      </c>
      <c r="R20" s="20" t="n">
        <v>0.65667667</v>
      </c>
    </row>
    <row r="21" spans="1:18">
      <c r="A21" s="15" t="s">
        <v>443</v>
      </c>
      <c r="B21" s="17" t="n">
        <v>5741</v>
      </c>
      <c r="C21" s="18">
        <f>(4787.0/B21*100)</f>
        <v/>
      </c>
      <c r="D21" s="19" t="n">
        <v>954</v>
      </c>
      <c r="E21" s="18" t="n">
        <v>61.55208724</v>
      </c>
      <c r="F21" s="20" t="n">
        <v>1.6100903</v>
      </c>
      <c r="G21" s="18" t="n">
        <v>37.02538859</v>
      </c>
      <c r="H21" s="20" t="n">
        <v>1.57982728</v>
      </c>
      <c r="I21" s="18" t="n">
        <v>0</v>
      </c>
      <c r="J21" s="20" t="n">
        <v>0</v>
      </c>
      <c r="K21" s="18" t="n">
        <v>0</v>
      </c>
      <c r="L21" s="20" t="n">
        <v>0</v>
      </c>
      <c r="M21" s="18" t="n">
        <v>0</v>
      </c>
      <c r="N21" s="20" t="n">
        <v>0</v>
      </c>
      <c r="O21" s="18" t="n">
        <v>0</v>
      </c>
      <c r="P21" s="20" t="n">
        <v>0</v>
      </c>
      <c r="Q21" s="18" t="n">
        <v>1.42252417</v>
      </c>
      <c r="R21" s="20" t="n">
        <v>0.34710247</v>
      </c>
    </row>
    <row r="22" spans="1:18">
      <c r="A22" s="15" t="s">
        <v>444</v>
      </c>
      <c r="B22" s="17" t="n">
        <v>6598</v>
      </c>
      <c r="C22" s="18">
        <f>(5840.0/B22*100)</f>
        <v/>
      </c>
      <c r="D22" s="19" t="n">
        <v>758</v>
      </c>
      <c r="E22" s="18" t="n">
        <v>55.25557617</v>
      </c>
      <c r="F22" s="20" t="n">
        <v>1.63380587</v>
      </c>
      <c r="G22" s="18" t="n">
        <v>38.36907911</v>
      </c>
      <c r="H22" s="20" t="n">
        <v>1.54978498</v>
      </c>
      <c r="I22" s="18" t="n">
        <v>0</v>
      </c>
      <c r="J22" s="20" t="n">
        <v>0</v>
      </c>
      <c r="K22" s="18" t="n">
        <v>0.92032064</v>
      </c>
      <c r="L22" s="20" t="n">
        <v>0.39178238</v>
      </c>
      <c r="M22" s="18" t="n">
        <v>0</v>
      </c>
      <c r="N22" s="20" t="n">
        <v>0</v>
      </c>
      <c r="O22" s="18" t="n">
        <v>0</v>
      </c>
      <c r="P22" s="20" t="n">
        <v>0</v>
      </c>
      <c r="Q22" s="18" t="n">
        <v>5.45502409</v>
      </c>
      <c r="R22" s="20" t="n">
        <v>0.90811237</v>
      </c>
    </row>
    <row r="23" spans="1:18">
      <c r="A23" s="15" t="s">
        <v>445</v>
      </c>
      <c r="B23" s="17" t="n">
        <v>11583</v>
      </c>
      <c r="C23" s="18">
        <f>(10152.0/B23*100)</f>
        <v/>
      </c>
      <c r="D23" s="19" t="n">
        <v>1431</v>
      </c>
      <c r="E23" s="18" t="n">
        <v>54.7637053</v>
      </c>
      <c r="F23" s="20" t="n">
        <v>2.03389433</v>
      </c>
      <c r="G23" s="18" t="n">
        <v>43.21266745</v>
      </c>
      <c r="H23" s="20" t="n">
        <v>1.99567863</v>
      </c>
      <c r="I23" s="18" t="n">
        <v>0</v>
      </c>
      <c r="J23" s="20" t="n">
        <v>0</v>
      </c>
      <c r="K23" s="18" t="n">
        <v>0.27682122</v>
      </c>
      <c r="L23" s="20" t="n">
        <v>0.24443619</v>
      </c>
      <c r="M23" s="18" t="n">
        <v>0</v>
      </c>
      <c r="N23" s="20" t="n">
        <v>0</v>
      </c>
      <c r="O23" s="18" t="n">
        <v>0</v>
      </c>
      <c r="P23" s="20" t="n">
        <v>0</v>
      </c>
      <c r="Q23" s="18" t="n">
        <v>1.74680603</v>
      </c>
      <c r="R23" s="20" t="n">
        <v>0.46275925</v>
      </c>
    </row>
    <row r="24" spans="1:18">
      <c r="A24" s="15" t="s">
        <v>446</v>
      </c>
      <c r="B24" s="17" t="n">
        <v>6647</v>
      </c>
      <c r="C24" s="18">
        <f>(5846.0/B24*100)</f>
        <v/>
      </c>
      <c r="D24" s="19" t="n">
        <v>801</v>
      </c>
      <c r="E24" s="18" t="n">
        <v>55.48688607</v>
      </c>
      <c r="F24" s="20" t="n">
        <v>1.99316112</v>
      </c>
      <c r="G24" s="18" t="n">
        <v>42.90961698</v>
      </c>
      <c r="H24" s="20" t="n">
        <v>1.91011155</v>
      </c>
      <c r="I24" s="18" t="n">
        <v>0</v>
      </c>
      <c r="J24" s="20" t="n">
        <v>0</v>
      </c>
      <c r="K24" s="18" t="n">
        <v>0.12702673</v>
      </c>
      <c r="L24" s="20" t="n">
        <v>0.12123151</v>
      </c>
      <c r="M24" s="18" t="n">
        <v>0</v>
      </c>
      <c r="N24" s="20" t="n">
        <v>0</v>
      </c>
      <c r="O24" s="18" t="n">
        <v>0</v>
      </c>
      <c r="P24" s="20" t="n">
        <v>0</v>
      </c>
      <c r="Q24" s="18" t="n">
        <v>1.47647022</v>
      </c>
      <c r="R24" s="20" t="n">
        <v>0.42909084</v>
      </c>
    </row>
    <row r="25" spans="1:18">
      <c r="A25" s="15" t="s">
        <v>447</v>
      </c>
      <c r="B25" s="17" t="n">
        <v>5581</v>
      </c>
      <c r="C25" s="18">
        <f>(4891.0/B25*100)</f>
        <v/>
      </c>
      <c r="D25" s="19" t="n">
        <v>690</v>
      </c>
      <c r="E25" s="18" t="n">
        <v>64.25992721</v>
      </c>
      <c r="F25" s="20" t="n">
        <v>1.96394363</v>
      </c>
      <c r="G25" s="18" t="n">
        <v>35.03759807</v>
      </c>
      <c r="H25" s="20" t="n">
        <v>1.99376659</v>
      </c>
      <c r="I25" s="18" t="n">
        <v>0</v>
      </c>
      <c r="J25" s="20" t="n">
        <v>0</v>
      </c>
      <c r="K25" s="18" t="n">
        <v>0.28741602</v>
      </c>
      <c r="L25" s="20" t="n">
        <v>0.20301638</v>
      </c>
      <c r="M25" s="18" t="n">
        <v>0</v>
      </c>
      <c r="N25" s="20" t="n">
        <v>0</v>
      </c>
      <c r="O25" s="18" t="n">
        <v>0</v>
      </c>
      <c r="P25" s="20" t="n">
        <v>0</v>
      </c>
      <c r="Q25" s="18" t="n">
        <v>0.41505869</v>
      </c>
      <c r="R25" s="20" t="n">
        <v>0.2390067</v>
      </c>
    </row>
    <row r="26" spans="1:18">
      <c r="A26" s="15" t="s">
        <v>448</v>
      </c>
      <c r="B26" s="17" t="n">
        <v>4869</v>
      </c>
      <c r="C26" s="18">
        <f>(4263.0/B26*100)</f>
        <v/>
      </c>
      <c r="D26" s="19" t="n">
        <v>606</v>
      </c>
      <c r="E26" s="18" t="n">
        <v>57.80135141</v>
      </c>
      <c r="F26" s="20" t="n">
        <v>2.27307152</v>
      </c>
      <c r="G26" s="18" t="n">
        <v>41.05831296</v>
      </c>
      <c r="H26" s="20" t="n">
        <v>2.26528998</v>
      </c>
      <c r="I26" s="18" t="n">
        <v>0</v>
      </c>
      <c r="J26" s="20" t="n">
        <v>0</v>
      </c>
      <c r="K26" s="18" t="n">
        <v>0</v>
      </c>
      <c r="L26" s="20" t="n">
        <v>0</v>
      </c>
      <c r="M26" s="18" t="n">
        <v>0</v>
      </c>
      <c r="N26" s="20" t="n">
        <v>0</v>
      </c>
      <c r="O26" s="18" t="n">
        <v>0</v>
      </c>
      <c r="P26" s="20" t="n">
        <v>0</v>
      </c>
      <c r="Q26" s="18" t="n">
        <v>1.14033563</v>
      </c>
      <c r="R26" s="20" t="n">
        <v>0.44933759</v>
      </c>
    </row>
    <row r="27" spans="1:18">
      <c r="A27" s="15" t="s">
        <v>449</v>
      </c>
      <c r="B27" s="17" t="n">
        <v>5299</v>
      </c>
      <c r="C27" s="18">
        <f>(4630.0/B27*100)</f>
        <v/>
      </c>
      <c r="D27" s="19" t="n">
        <v>669</v>
      </c>
      <c r="E27" s="18" t="n">
        <v>57.93475093</v>
      </c>
      <c r="F27" s="20" t="n">
        <v>1.77828829</v>
      </c>
      <c r="G27" s="18" t="n">
        <v>41.02576269</v>
      </c>
      <c r="H27" s="20" t="n">
        <v>1.74191819</v>
      </c>
      <c r="I27" s="18" t="n">
        <v>0</v>
      </c>
      <c r="J27" s="20" t="n">
        <v>0</v>
      </c>
      <c r="K27" s="18" t="n">
        <v>0</v>
      </c>
      <c r="L27" s="20" t="n">
        <v>0</v>
      </c>
      <c r="M27" s="18" t="n">
        <v>0</v>
      </c>
      <c r="N27" s="20" t="n">
        <v>0</v>
      </c>
      <c r="O27" s="18" t="n">
        <v>0</v>
      </c>
      <c r="P27" s="20" t="n">
        <v>0</v>
      </c>
      <c r="Q27" s="18" t="n">
        <v>1.03948638</v>
      </c>
      <c r="R27" s="20" t="n">
        <v>0.39679917</v>
      </c>
    </row>
    <row r="28" spans="1:18">
      <c r="A28" s="15" t="s">
        <v>450</v>
      </c>
      <c r="B28" s="17" t="n">
        <v>7568</v>
      </c>
      <c r="C28" s="18">
        <f>(6659.0/B28*100)</f>
        <v/>
      </c>
      <c r="D28" s="19" t="n">
        <v>909</v>
      </c>
      <c r="E28" s="18" t="n">
        <v>72.4625223</v>
      </c>
      <c r="F28" s="20" t="n">
        <v>1.83572848</v>
      </c>
      <c r="G28" s="18" t="n">
        <v>25.9629665</v>
      </c>
      <c r="H28" s="20" t="n">
        <v>1.84604277</v>
      </c>
      <c r="I28" s="18" t="n">
        <v>0</v>
      </c>
      <c r="J28" s="20" t="n">
        <v>0</v>
      </c>
      <c r="K28" s="18" t="n">
        <v>0</v>
      </c>
      <c r="L28" s="20" t="n">
        <v>0</v>
      </c>
      <c r="M28" s="18" t="n">
        <v>0</v>
      </c>
      <c r="N28" s="20" t="n">
        <v>0</v>
      </c>
      <c r="O28" s="18" t="n">
        <v>0</v>
      </c>
      <c r="P28" s="20" t="n">
        <v>0</v>
      </c>
      <c r="Q28" s="18" t="n">
        <v>1.5745112</v>
      </c>
      <c r="R28" s="20" t="n">
        <v>0.46879797</v>
      </c>
    </row>
    <row r="29" spans="1:18">
      <c r="A29" s="15" t="s">
        <v>451</v>
      </c>
      <c r="B29" s="17" t="n">
        <v>5385</v>
      </c>
      <c r="C29" s="18">
        <f>(4753.0/B29*100)</f>
        <v/>
      </c>
      <c r="D29" s="19" t="n">
        <v>632</v>
      </c>
      <c r="E29" s="18" t="n">
        <v>58.70392433</v>
      </c>
      <c r="F29" s="20" t="n">
        <v>1.92784748</v>
      </c>
      <c r="G29" s="18" t="n">
        <v>40.30517896</v>
      </c>
      <c r="H29" s="20" t="n">
        <v>1.91964152</v>
      </c>
      <c r="I29" s="18" t="n">
        <v>0</v>
      </c>
      <c r="J29" s="20" t="n">
        <v>0</v>
      </c>
      <c r="K29" s="18" t="n">
        <v>0</v>
      </c>
      <c r="L29" s="20" t="n">
        <v>0</v>
      </c>
      <c r="M29" s="18" t="n">
        <v>0</v>
      </c>
      <c r="N29" s="20" t="n">
        <v>0</v>
      </c>
      <c r="O29" s="18" t="n">
        <v>0</v>
      </c>
      <c r="P29" s="20" t="n">
        <v>0</v>
      </c>
      <c r="Q29" s="18" t="n">
        <v>0.9908967</v>
      </c>
      <c r="R29" s="20" t="n">
        <v>0.32569912</v>
      </c>
    </row>
    <row r="30" spans="1:18">
      <c r="A30" s="15" t="s">
        <v>452</v>
      </c>
      <c r="B30" s="17" t="n">
        <v>4520</v>
      </c>
      <c r="C30" s="18">
        <f>(3990.0/B30*100)</f>
        <v/>
      </c>
      <c r="D30" s="19" t="n">
        <v>530</v>
      </c>
      <c r="E30" s="18" t="n">
        <v>61.4849283</v>
      </c>
      <c r="F30" s="20" t="n">
        <v>2.31532002</v>
      </c>
      <c r="G30" s="18" t="n">
        <v>36.78242734</v>
      </c>
      <c r="H30" s="20" t="n">
        <v>2.33432272</v>
      </c>
      <c r="I30" s="18" t="n">
        <v>0</v>
      </c>
      <c r="J30" s="20" t="n">
        <v>0</v>
      </c>
      <c r="K30" s="18" t="n">
        <v>0.17111824</v>
      </c>
      <c r="L30" s="20" t="n">
        <v>0.17278887</v>
      </c>
      <c r="M30" s="18" t="n">
        <v>0</v>
      </c>
      <c r="N30" s="20" t="n">
        <v>0</v>
      </c>
      <c r="O30" s="18" t="n">
        <v>0</v>
      </c>
      <c r="P30" s="20" t="n">
        <v>0</v>
      </c>
      <c r="Q30" s="18" t="n">
        <v>1.56152612</v>
      </c>
      <c r="R30" s="20" t="n">
        <v>0.60422137</v>
      </c>
    </row>
    <row r="31" spans="1:18">
      <c r="A31" s="15" t="s">
        <v>453</v>
      </c>
      <c r="B31" s="17" t="n">
        <v>5456</v>
      </c>
      <c r="C31" s="18">
        <f>(4779.0/B31*100)</f>
        <v/>
      </c>
      <c r="D31" s="19" t="n">
        <v>677</v>
      </c>
      <c r="E31" s="18" t="n">
        <v>56.09754436</v>
      </c>
      <c r="F31" s="20" t="n">
        <v>1.84671647</v>
      </c>
      <c r="G31" s="18" t="n">
        <v>41.8716922</v>
      </c>
      <c r="H31" s="20" t="n">
        <v>1.78939895</v>
      </c>
      <c r="I31" s="18" t="n">
        <v>0</v>
      </c>
      <c r="J31" s="20" t="n">
        <v>0</v>
      </c>
      <c r="K31" s="18" t="n">
        <v>0.3032974</v>
      </c>
      <c r="L31" s="20" t="n">
        <v>0.21213511</v>
      </c>
      <c r="M31" s="18" t="n">
        <v>0</v>
      </c>
      <c r="N31" s="20" t="n">
        <v>0</v>
      </c>
      <c r="O31" s="18" t="n">
        <v>0</v>
      </c>
      <c r="P31" s="20" t="n">
        <v>0</v>
      </c>
      <c r="Q31" s="18" t="n">
        <v>1.72746604</v>
      </c>
      <c r="R31" s="20" t="n">
        <v>0.5779107</v>
      </c>
    </row>
    <row r="32" spans="1:18">
      <c r="A32" s="15" t="s">
        <v>454</v>
      </c>
      <c r="B32" s="17" t="n">
        <v>4478</v>
      </c>
      <c r="C32" s="18">
        <f>(3719.0/B32*100)</f>
        <v/>
      </c>
      <c r="D32" s="19" t="n">
        <v>759</v>
      </c>
      <c r="E32" s="18" t="n">
        <v>60.72240551</v>
      </c>
      <c r="F32" s="20" t="n">
        <v>1.81709876</v>
      </c>
      <c r="G32" s="18" t="n">
        <v>37.81988511</v>
      </c>
      <c r="H32" s="20" t="n">
        <v>1.80740274</v>
      </c>
      <c r="I32" s="18" t="n">
        <v>0</v>
      </c>
      <c r="J32" s="20" t="n">
        <v>0</v>
      </c>
      <c r="K32" s="18" t="n">
        <v>0</v>
      </c>
      <c r="L32" s="20" t="n">
        <v>0</v>
      </c>
      <c r="M32" s="18" t="n">
        <v>0</v>
      </c>
      <c r="N32" s="20" t="n">
        <v>0</v>
      </c>
      <c r="O32" s="18" t="n">
        <v>0</v>
      </c>
      <c r="P32" s="20" t="n">
        <v>0</v>
      </c>
      <c r="Q32" s="18" t="n">
        <v>1.45770938</v>
      </c>
      <c r="R32" s="20" t="n">
        <v>0.478656</v>
      </c>
    </row>
    <row r="33" spans="1:18">
      <c r="A33" s="15" t="s">
        <v>455</v>
      </c>
      <c r="B33" s="17" t="n">
        <v>7325</v>
      </c>
      <c r="C33" s="18">
        <f>(6433.0/B33*100)</f>
        <v/>
      </c>
      <c r="D33" s="19" t="n">
        <v>892</v>
      </c>
      <c r="E33" s="18" t="n">
        <v>58.23169268</v>
      </c>
      <c r="F33" s="20" t="n">
        <v>1.88205329</v>
      </c>
      <c r="G33" s="18" t="n">
        <v>41.12171758</v>
      </c>
      <c r="H33" s="20" t="n">
        <v>1.82775588</v>
      </c>
      <c r="I33" s="18" t="n">
        <v>0</v>
      </c>
      <c r="J33" s="20" t="n">
        <v>0</v>
      </c>
      <c r="K33" s="18" t="n">
        <v>0</v>
      </c>
      <c r="L33" s="20" t="n">
        <v>0</v>
      </c>
      <c r="M33" s="18" t="n">
        <v>0</v>
      </c>
      <c r="N33" s="20" t="n">
        <v>0</v>
      </c>
      <c r="O33" s="18" t="n">
        <v>0</v>
      </c>
      <c r="P33" s="20" t="n">
        <v>0</v>
      </c>
      <c r="Q33" s="18" t="n">
        <v>0.64658975</v>
      </c>
      <c r="R33" s="20" t="n">
        <v>0.33742879</v>
      </c>
    </row>
    <row r="34" spans="1:18">
      <c r="A34" s="15" t="s">
        <v>456</v>
      </c>
      <c r="B34" s="17" t="n">
        <v>6350</v>
      </c>
      <c r="C34" s="18">
        <f>(5622.0/B34*100)</f>
        <v/>
      </c>
      <c r="D34" s="19" t="n">
        <v>728</v>
      </c>
      <c r="E34" s="18" t="n">
        <v>59.52957397</v>
      </c>
      <c r="F34" s="20" t="n">
        <v>1.84668823</v>
      </c>
      <c r="G34" s="18" t="n">
        <v>39.26736158</v>
      </c>
      <c r="H34" s="20" t="n">
        <v>1.85519611</v>
      </c>
      <c r="I34" s="18" t="n">
        <v>0</v>
      </c>
      <c r="J34" s="20" t="n">
        <v>0</v>
      </c>
      <c r="K34" s="18" t="n">
        <v>0.04346311</v>
      </c>
      <c r="L34" s="20" t="n">
        <v>0.04363774</v>
      </c>
      <c r="M34" s="18" t="n">
        <v>0</v>
      </c>
      <c r="N34" s="20" t="n">
        <v>0</v>
      </c>
      <c r="O34" s="18" t="n">
        <v>0</v>
      </c>
      <c r="P34" s="20" t="n">
        <v>0</v>
      </c>
      <c r="Q34" s="18" t="n">
        <v>1.15960134</v>
      </c>
      <c r="R34" s="20" t="n">
        <v>0.4470785</v>
      </c>
    </row>
    <row r="35" spans="1:18">
      <c r="A35" s="15" t="s">
        <v>457</v>
      </c>
      <c r="B35" s="17" t="n">
        <v>6406</v>
      </c>
      <c r="C35" s="18">
        <f>(5647.0/B35*100)</f>
        <v/>
      </c>
      <c r="D35" s="19" t="n">
        <v>759</v>
      </c>
      <c r="E35" s="18" t="n">
        <v>61.25903544</v>
      </c>
      <c r="F35" s="20" t="n">
        <v>2.08432621</v>
      </c>
      <c r="G35" s="18" t="n">
        <v>37.65290597</v>
      </c>
      <c r="H35" s="20" t="n">
        <v>2.07833193</v>
      </c>
      <c r="I35" s="18" t="n">
        <v>0</v>
      </c>
      <c r="J35" s="20" t="n">
        <v>0</v>
      </c>
      <c r="K35" s="18" t="n">
        <v>0.0773997</v>
      </c>
      <c r="L35" s="20" t="n">
        <v>0.07675497000000001</v>
      </c>
      <c r="M35" s="18" t="n">
        <v>0</v>
      </c>
      <c r="N35" s="20" t="n">
        <v>0</v>
      </c>
      <c r="O35" s="18" t="n">
        <v>0</v>
      </c>
      <c r="P35" s="20" t="n">
        <v>0</v>
      </c>
      <c r="Q35" s="18" t="n">
        <v>1.01065889</v>
      </c>
      <c r="R35" s="20" t="n">
        <v>0.4478093</v>
      </c>
    </row>
    <row r="36" spans="1:18">
      <c r="A36" s="15" t="s">
        <v>458</v>
      </c>
      <c r="B36" s="17" t="n">
        <v>6736</v>
      </c>
      <c r="C36" s="18">
        <f>(5917.0/B36*100)</f>
        <v/>
      </c>
      <c r="D36" s="19" t="n">
        <v>819</v>
      </c>
      <c r="E36" s="18" t="n">
        <v>56.57667364</v>
      </c>
      <c r="F36" s="20" t="n">
        <v>1.58735452</v>
      </c>
      <c r="G36" s="18" t="n">
        <v>41.66477163</v>
      </c>
      <c r="H36" s="20" t="n">
        <v>1.67584098</v>
      </c>
      <c r="I36" s="18" t="n">
        <v>0</v>
      </c>
      <c r="J36" s="20" t="n">
        <v>0</v>
      </c>
      <c r="K36" s="18" t="n">
        <v>0.40471337</v>
      </c>
      <c r="L36" s="20" t="n">
        <v>0.1973234</v>
      </c>
      <c r="M36" s="18" t="n">
        <v>0</v>
      </c>
      <c r="N36" s="20" t="n">
        <v>0</v>
      </c>
      <c r="O36" s="18" t="n">
        <v>0</v>
      </c>
      <c r="P36" s="20" t="n">
        <v>0</v>
      </c>
      <c r="Q36" s="18" t="n">
        <v>1.35384136</v>
      </c>
      <c r="R36" s="20" t="n">
        <v>0.45082971</v>
      </c>
    </row>
    <row r="37" spans="1:18">
      <c r="A37" s="15" t="s">
        <v>459</v>
      </c>
      <c r="B37" s="17" t="n">
        <v>5458</v>
      </c>
      <c r="C37" s="18">
        <f>(4777.0/B37*100)</f>
        <v/>
      </c>
      <c r="D37" s="19" t="n">
        <v>681</v>
      </c>
      <c r="E37" s="18" t="n">
        <v>56.29474357</v>
      </c>
      <c r="F37" s="20" t="n">
        <v>1.79624189</v>
      </c>
      <c r="G37" s="18" t="n">
        <v>42.28771679</v>
      </c>
      <c r="H37" s="20" t="n">
        <v>1.85868836</v>
      </c>
      <c r="I37" s="18" t="n">
        <v>0</v>
      </c>
      <c r="J37" s="20" t="n">
        <v>0</v>
      </c>
      <c r="K37" s="18" t="n">
        <v>0.11256427</v>
      </c>
      <c r="L37" s="20" t="n">
        <v>0.11269845</v>
      </c>
      <c r="M37" s="18" t="n">
        <v>0</v>
      </c>
      <c r="N37" s="20" t="n">
        <v>0</v>
      </c>
      <c r="O37" s="18" t="n">
        <v>0</v>
      </c>
      <c r="P37" s="20" t="n">
        <v>0</v>
      </c>
      <c r="Q37" s="18" t="n">
        <v>1.30497537</v>
      </c>
      <c r="R37" s="20" t="n">
        <v>0.49620175</v>
      </c>
    </row>
    <row r="38" spans="1:18">
      <c r="A38" s="15" t="s">
        <v>460</v>
      </c>
      <c r="B38" s="17" t="n">
        <v>5860</v>
      </c>
      <c r="C38" s="18">
        <f>(4865.0/B38*100)</f>
        <v/>
      </c>
      <c r="D38" s="19" t="n">
        <v>995</v>
      </c>
      <c r="E38" s="18" t="n">
        <v>51.52299531</v>
      </c>
      <c r="F38" s="20" t="n">
        <v>1.90698486</v>
      </c>
      <c r="G38" s="18" t="n">
        <v>46.49194049</v>
      </c>
      <c r="H38" s="20" t="n">
        <v>1.98174622</v>
      </c>
      <c r="I38" s="18" t="n">
        <v>0</v>
      </c>
      <c r="J38" s="20" t="n">
        <v>0</v>
      </c>
      <c r="K38" s="18" t="n">
        <v>0.37417444</v>
      </c>
      <c r="L38" s="20" t="n">
        <v>0.29219072</v>
      </c>
      <c r="M38" s="18" t="n">
        <v>0</v>
      </c>
      <c r="N38" s="20" t="n">
        <v>0</v>
      </c>
      <c r="O38" s="18" t="n">
        <v>0</v>
      </c>
      <c r="P38" s="20" t="n">
        <v>0</v>
      </c>
      <c r="Q38" s="18" t="n">
        <v>1.61088976</v>
      </c>
      <c r="R38" s="20" t="n">
        <v>0.39632394</v>
      </c>
    </row>
    <row r="39" spans="1:18">
      <c r="A39" s="15" t="s">
        <v>461</v>
      </c>
      <c r="B39" s="17" t="n">
        <v>5895</v>
      </c>
      <c r="C39" s="18">
        <f>(5160.0/B39*100)</f>
        <v/>
      </c>
      <c r="D39" s="19" t="n">
        <v>735</v>
      </c>
      <c r="E39" s="18" t="n">
        <v>71.70576299</v>
      </c>
      <c r="F39" s="20" t="n">
        <v>1.88598825</v>
      </c>
      <c r="G39" s="18" t="n">
        <v>24.18607238</v>
      </c>
      <c r="H39" s="20" t="n">
        <v>1.65128364</v>
      </c>
      <c r="I39" s="18" t="n">
        <v>0</v>
      </c>
      <c r="J39" s="20" t="n">
        <v>0</v>
      </c>
      <c r="K39" s="18" t="n">
        <v>0</v>
      </c>
      <c r="L39" s="20" t="n">
        <v>0</v>
      </c>
      <c r="M39" s="18" t="n">
        <v>0</v>
      </c>
      <c r="N39" s="20" t="n">
        <v>0</v>
      </c>
      <c r="O39" s="18" t="n">
        <v>0</v>
      </c>
      <c r="P39" s="20" t="n">
        <v>0</v>
      </c>
      <c r="Q39" s="18" t="n">
        <v>4.10816463</v>
      </c>
      <c r="R39" s="20" t="n">
        <v>1.11314587</v>
      </c>
    </row>
    <row r="40" spans="1:18">
      <c r="A40" s="15" t="s">
        <v>462</v>
      </c>
      <c r="B40" s="17" t="n">
        <v>14157</v>
      </c>
      <c r="C40" s="18">
        <f>(12441.0/B40*100)</f>
        <v/>
      </c>
      <c r="D40" s="19" t="n">
        <v>1716</v>
      </c>
      <c r="E40" s="18" t="n">
        <v>58.69892226</v>
      </c>
      <c r="F40" s="20" t="n">
        <v>2.02626876</v>
      </c>
      <c r="G40" s="18" t="n">
        <v>40.42856964</v>
      </c>
      <c r="H40" s="20" t="n">
        <v>2.02568793</v>
      </c>
      <c r="I40" s="18" t="n">
        <v>0</v>
      </c>
      <c r="J40" s="20" t="n">
        <v>0</v>
      </c>
      <c r="K40" s="18" t="n">
        <v>0.35031448</v>
      </c>
      <c r="L40" s="20" t="n">
        <v>0.24676174</v>
      </c>
      <c r="M40" s="18" t="n">
        <v>0</v>
      </c>
      <c r="N40" s="20" t="n">
        <v>0</v>
      </c>
      <c r="O40" s="18" t="n">
        <v>0</v>
      </c>
      <c r="P40" s="20" t="n">
        <v>0</v>
      </c>
      <c r="Q40" s="18" t="n">
        <v>0.52219362</v>
      </c>
      <c r="R40" s="20" t="n">
        <v>0.2463833</v>
      </c>
    </row>
    <row r="41" spans="1:18">
      <c r="A41" s="15" t="s">
        <v>463</v>
      </c>
      <c r="B41" s="17" t="n">
        <v>5712</v>
      </c>
      <c r="C41" s="18">
        <f>(5004.0/B41*100)</f>
        <v/>
      </c>
      <c r="D41" s="19" t="n">
        <v>708</v>
      </c>
      <c r="E41" s="18" t="n">
        <v>66.30328240999999</v>
      </c>
      <c r="F41" s="20" t="n">
        <v>1.95457123</v>
      </c>
      <c r="G41" s="18" t="n">
        <v>33.16510322</v>
      </c>
      <c r="H41" s="20" t="n">
        <v>1.97282317</v>
      </c>
      <c r="I41" s="18" t="n">
        <v>0</v>
      </c>
      <c r="J41" s="20" t="n">
        <v>0</v>
      </c>
      <c r="K41" s="18" t="n">
        <v>0</v>
      </c>
      <c r="L41" s="20" t="n">
        <v>0</v>
      </c>
      <c r="M41" s="18" t="n">
        <v>0</v>
      </c>
      <c r="N41" s="20" t="n">
        <v>0</v>
      </c>
      <c r="O41" s="18" t="n">
        <v>0</v>
      </c>
      <c r="P41" s="20" t="n">
        <v>0</v>
      </c>
      <c r="Q41" s="18" t="n">
        <v>0.53161437</v>
      </c>
      <c r="R41" s="20" t="n">
        <v>0.28784544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(20421.0/B46*100)</f>
        <v/>
      </c>
      <c r="D46" s="19" t="n">
        <v>2720</v>
      </c>
      <c r="E46" s="18" t="n">
        <v>70.79501839</v>
      </c>
      <c r="F46" s="20" t="n">
        <v>1.13897818</v>
      </c>
      <c r="G46" s="18" t="n">
        <v>25.78969079</v>
      </c>
      <c r="H46" s="20" t="n">
        <v>1.11289384</v>
      </c>
      <c r="I46" s="18" t="n">
        <v>0</v>
      </c>
      <c r="J46" s="20" t="n">
        <v>0</v>
      </c>
      <c r="K46" s="18" t="n">
        <v>0.27926173</v>
      </c>
      <c r="L46" s="20" t="n">
        <v>0.07692777000000001</v>
      </c>
      <c r="M46" s="18" t="n">
        <v>0</v>
      </c>
      <c r="N46" s="20" t="n">
        <v>0</v>
      </c>
      <c r="O46" s="18" t="n">
        <v>0</v>
      </c>
      <c r="P46" s="20" t="n">
        <v>0</v>
      </c>
      <c r="Q46" s="18" t="n">
        <v>3.13602909</v>
      </c>
      <c r="R46" s="20" t="n">
        <v>0.39943701</v>
      </c>
    </row>
    <row r="47" spans="1:18">
      <c r="A47" s="15" t="s">
        <v>470</v>
      </c>
      <c r="B47" s="17" t="n">
        <v>5928</v>
      </c>
      <c r="C47" s="18">
        <f>(5223.0/B47*100)</f>
        <v/>
      </c>
      <c r="D47" s="19" t="n">
        <v>705</v>
      </c>
      <c r="E47" s="18" t="n">
        <v>58.23612637</v>
      </c>
      <c r="F47" s="20" t="n">
        <v>2.08235217</v>
      </c>
      <c r="G47" s="18" t="n">
        <v>39.09702828</v>
      </c>
      <c r="H47" s="20" t="n">
        <v>2.15801971</v>
      </c>
      <c r="I47" s="18" t="n">
        <v>0</v>
      </c>
      <c r="J47" s="20" t="n">
        <v>0</v>
      </c>
      <c r="K47" s="18" t="n">
        <v>0</v>
      </c>
      <c r="L47" s="20" t="n">
        <v>0</v>
      </c>
      <c r="M47" s="18" t="n">
        <v>0</v>
      </c>
      <c r="N47" s="20" t="n">
        <v>0</v>
      </c>
      <c r="O47" s="18" t="n">
        <v>0</v>
      </c>
      <c r="P47" s="20" t="n">
        <v>0</v>
      </c>
      <c r="Q47" s="18" t="n">
        <v>2.66684535</v>
      </c>
      <c r="R47" s="20" t="n">
        <v>0.67173172</v>
      </c>
    </row>
    <row r="48" spans="1:18">
      <c r="A48" s="15" t="s">
        <v>471</v>
      </c>
      <c r="B48" s="17" t="n">
        <v>9841</v>
      </c>
      <c r="C48" s="18">
        <f>(8639.0/B48*100)</f>
        <v/>
      </c>
      <c r="D48" s="19" t="n">
        <v>1202</v>
      </c>
      <c r="E48" s="18" t="n">
        <v>71.55342647000001</v>
      </c>
      <c r="F48" s="20" t="n">
        <v>1.87596329</v>
      </c>
      <c r="G48" s="18" t="n">
        <v>26.78750822</v>
      </c>
      <c r="H48" s="20" t="n">
        <v>1.82558529</v>
      </c>
      <c r="I48" s="18" t="n">
        <v>0</v>
      </c>
      <c r="J48" s="20" t="n">
        <v>0</v>
      </c>
      <c r="K48" s="18" t="n">
        <v>0.26914107</v>
      </c>
      <c r="L48" s="20" t="n">
        <v>0.1686374</v>
      </c>
      <c r="M48" s="18" t="n">
        <v>0</v>
      </c>
      <c r="N48" s="20" t="n">
        <v>0</v>
      </c>
      <c r="O48" s="18" t="n">
        <v>0</v>
      </c>
      <c r="P48" s="20" t="n">
        <v>0</v>
      </c>
      <c r="Q48" s="18" t="n">
        <v>1.38992424</v>
      </c>
      <c r="R48" s="20" t="n">
        <v>0.45568023</v>
      </c>
    </row>
    <row r="49" spans="1:18">
      <c r="A49" s="15" t="s">
        <v>472</v>
      </c>
      <c r="B49" s="17" t="n">
        <v>11795</v>
      </c>
      <c r="C49" s="18">
        <f>(10354.0/B49*100)</f>
        <v/>
      </c>
      <c r="D49" s="19" t="n">
        <v>1441</v>
      </c>
      <c r="E49" s="18" t="n">
        <v>66.03316245000001</v>
      </c>
      <c r="F49" s="20" t="n">
        <v>1.69207021</v>
      </c>
      <c r="G49" s="18" t="n">
        <v>30.99302138</v>
      </c>
      <c r="H49" s="20" t="n">
        <v>1.58332339</v>
      </c>
      <c r="I49" s="18" t="n">
        <v>0</v>
      </c>
      <c r="J49" s="20" t="n">
        <v>0</v>
      </c>
      <c r="K49" s="18" t="n">
        <v>0.2503934</v>
      </c>
      <c r="L49" s="20" t="n">
        <v>0.14877257</v>
      </c>
      <c r="M49" s="18" t="n">
        <v>0</v>
      </c>
      <c r="N49" s="20" t="n">
        <v>0</v>
      </c>
      <c r="O49" s="18" t="n">
        <v>0</v>
      </c>
      <c r="P49" s="20" t="n">
        <v>0</v>
      </c>
      <c r="Q49" s="18" t="n">
        <v>2.72342277</v>
      </c>
      <c r="R49" s="20" t="n">
        <v>0.66288308</v>
      </c>
    </row>
    <row r="50" spans="1:18">
      <c r="A50" s="15" t="s">
        <v>473</v>
      </c>
      <c r="B50" s="17" t="n">
        <v>6866</v>
      </c>
      <c r="C50" s="18">
        <f>(6138.0/B50*100)</f>
        <v/>
      </c>
      <c r="D50" s="19" t="n">
        <v>728</v>
      </c>
      <c r="E50" s="18" t="n">
        <v>71.42399938</v>
      </c>
      <c r="F50" s="20" t="n">
        <v>1.99129037</v>
      </c>
      <c r="G50" s="18" t="n">
        <v>25.09652036</v>
      </c>
      <c r="H50" s="20" t="n">
        <v>1.91476713</v>
      </c>
      <c r="I50" s="18" t="n">
        <v>0</v>
      </c>
      <c r="J50" s="20" t="n">
        <v>0</v>
      </c>
      <c r="K50" s="18" t="n">
        <v>0.41685857</v>
      </c>
      <c r="L50" s="20" t="n">
        <v>0.27690021</v>
      </c>
      <c r="M50" s="18" t="n">
        <v>0</v>
      </c>
      <c r="N50" s="20" t="n">
        <v>0</v>
      </c>
      <c r="O50" s="18" t="n">
        <v>0</v>
      </c>
      <c r="P50" s="20" t="n">
        <v>0</v>
      </c>
      <c r="Q50" s="18" t="n">
        <v>3.0626217</v>
      </c>
      <c r="R50" s="20" t="n">
        <v>0.6925746699999999</v>
      </c>
    </row>
    <row r="51" spans="1:18">
      <c r="A51" s="15" t="s">
        <v>474</v>
      </c>
      <c r="B51" s="17" t="n">
        <v>5809</v>
      </c>
      <c r="C51" s="18">
        <f>(5092.0/B51*100)</f>
        <v/>
      </c>
      <c r="D51" s="19" t="n">
        <v>717</v>
      </c>
      <c r="E51" s="18" t="n">
        <v>56.23346499</v>
      </c>
      <c r="F51" s="20" t="n">
        <v>2.08526449</v>
      </c>
      <c r="G51" s="18" t="n">
        <v>42.17680346</v>
      </c>
      <c r="H51" s="20" t="n">
        <v>2.10399992</v>
      </c>
      <c r="I51" s="18" t="n">
        <v>0</v>
      </c>
      <c r="J51" s="20" t="n">
        <v>0</v>
      </c>
      <c r="K51" s="18" t="n">
        <v>0</v>
      </c>
      <c r="L51" s="20" t="n">
        <v>0</v>
      </c>
      <c r="M51" s="18" t="n">
        <v>0</v>
      </c>
      <c r="N51" s="20" t="n">
        <v>0</v>
      </c>
      <c r="O51" s="18" t="n">
        <v>0</v>
      </c>
      <c r="P51" s="20" t="n">
        <v>0</v>
      </c>
      <c r="Q51" s="18" t="n">
        <v>1.58973155</v>
      </c>
      <c r="R51" s="20" t="n">
        <v>0.47772897</v>
      </c>
    </row>
    <row r="52" spans="1:18">
      <c r="A52" s="15" t="s">
        <v>475</v>
      </c>
      <c r="B52" s="17" t="n">
        <v>5571</v>
      </c>
      <c r="C52" s="18">
        <f>(4878.0/B52*100)</f>
        <v/>
      </c>
      <c r="D52" s="19" t="n">
        <v>693</v>
      </c>
      <c r="E52" s="18" t="n">
        <v>62.76683299</v>
      </c>
      <c r="F52" s="20" t="n">
        <v>1.87963643</v>
      </c>
      <c r="G52" s="18" t="n">
        <v>33.6807357</v>
      </c>
      <c r="H52" s="20" t="n">
        <v>1.76922675</v>
      </c>
      <c r="I52" s="18" t="n">
        <v>0</v>
      </c>
      <c r="J52" s="20" t="n">
        <v>0</v>
      </c>
      <c r="K52" s="18" t="n">
        <v>0</v>
      </c>
      <c r="L52" s="20" t="n">
        <v>0</v>
      </c>
      <c r="M52" s="18" t="n">
        <v>0</v>
      </c>
      <c r="N52" s="20" t="n">
        <v>0</v>
      </c>
      <c r="O52" s="18" t="n">
        <v>0</v>
      </c>
      <c r="P52" s="20" t="n">
        <v>0</v>
      </c>
      <c r="Q52" s="18" t="n">
        <v>3.55243131</v>
      </c>
      <c r="R52" s="20" t="n">
        <v>0.74529387</v>
      </c>
    </row>
    <row r="53" spans="1:18">
      <c r="A53" s="15" t="s">
        <v>476</v>
      </c>
      <c r="B53" s="17" t="n">
        <v>4740</v>
      </c>
      <c r="C53" s="18">
        <f>(3950.0/B53*100)</f>
        <v/>
      </c>
      <c r="D53" s="19" t="n">
        <v>790</v>
      </c>
      <c r="E53" s="18" t="n">
        <v>72.65769671</v>
      </c>
      <c r="F53" s="20" t="n">
        <v>1.86349623</v>
      </c>
      <c r="G53" s="18" t="n">
        <v>16.18460017</v>
      </c>
      <c r="H53" s="20" t="n">
        <v>1.47103741</v>
      </c>
      <c r="I53" s="18" t="n">
        <v>0</v>
      </c>
      <c r="J53" s="20" t="n">
        <v>0</v>
      </c>
      <c r="K53" s="18" t="n">
        <v>3.19717851</v>
      </c>
      <c r="L53" s="20" t="n">
        <v>0.76218185</v>
      </c>
      <c r="M53" s="18" t="n">
        <v>0</v>
      </c>
      <c r="N53" s="20" t="n">
        <v>0</v>
      </c>
      <c r="O53" s="18" t="n">
        <v>0</v>
      </c>
      <c r="P53" s="20" t="n">
        <v>0</v>
      </c>
      <c r="Q53" s="18" t="n">
        <v>7.96052461</v>
      </c>
      <c r="R53" s="20" t="n">
        <v>1.10166966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(4695.0/B55*100)</f>
        <v/>
      </c>
      <c r="D55" s="19" t="n">
        <v>664</v>
      </c>
      <c r="E55" s="18" t="n">
        <v>69.64185157999999</v>
      </c>
      <c r="F55" s="20" t="n">
        <v>1.86889317</v>
      </c>
      <c r="G55" s="18" t="n">
        <v>28.29286293</v>
      </c>
      <c r="H55" s="20" t="n">
        <v>1.75598539</v>
      </c>
      <c r="I55" s="18" t="n">
        <v>0</v>
      </c>
      <c r="J55" s="20" t="n">
        <v>0</v>
      </c>
      <c r="K55" s="18" t="n">
        <v>0.12710789</v>
      </c>
      <c r="L55" s="20" t="n">
        <v>0.12726032</v>
      </c>
      <c r="M55" s="18" t="n">
        <v>0</v>
      </c>
      <c r="N55" s="20" t="n">
        <v>0</v>
      </c>
      <c r="O55" s="18" t="n">
        <v>0</v>
      </c>
      <c r="P55" s="20" t="n">
        <v>0</v>
      </c>
      <c r="Q55" s="18" t="n">
        <v>1.93817759</v>
      </c>
      <c r="R55" s="20" t="n">
        <v>0.50064246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(5748.0/B61*100)</f>
        <v/>
      </c>
      <c r="D61" s="19" t="n">
        <v>777</v>
      </c>
      <c r="E61" s="18" t="n">
        <v>64.47983901000001</v>
      </c>
      <c r="F61" s="20" t="n">
        <v>1.68022769</v>
      </c>
      <c r="G61" s="18" t="n">
        <v>34.57417397</v>
      </c>
      <c r="H61" s="20" t="n">
        <v>1.68762743</v>
      </c>
      <c r="I61" s="18" t="n">
        <v>0</v>
      </c>
      <c r="J61" s="20" t="n">
        <v>0</v>
      </c>
      <c r="K61" s="18" t="n">
        <v>0</v>
      </c>
      <c r="L61" s="20" t="n">
        <v>0</v>
      </c>
      <c r="M61" s="18" t="n">
        <v>0</v>
      </c>
      <c r="N61" s="20" t="n">
        <v>0</v>
      </c>
      <c r="O61" s="18" t="n">
        <v>0</v>
      </c>
      <c r="P61" s="20" t="n">
        <v>0</v>
      </c>
      <c r="Q61" s="18" t="n">
        <v>0.94598702</v>
      </c>
      <c r="R61" s="20" t="n">
        <v>0.37085175</v>
      </c>
    </row>
    <row r="62" spans="1:18">
      <c r="A62" s="15" t="s">
        <v>486</v>
      </c>
      <c r="B62" s="17" t="n">
        <v>4476</v>
      </c>
      <c r="C62" s="18">
        <f>(3921.0/B62*100)</f>
        <v/>
      </c>
      <c r="D62" s="19" t="n">
        <v>555</v>
      </c>
      <c r="E62" s="18" t="n">
        <v>69.33846681999999</v>
      </c>
      <c r="F62" s="20" t="n">
        <v>2.17367665</v>
      </c>
      <c r="G62" s="18" t="n">
        <v>30.29589646</v>
      </c>
      <c r="H62" s="20" t="n">
        <v>2.1058579</v>
      </c>
      <c r="I62" s="18" t="n">
        <v>0</v>
      </c>
      <c r="J62" s="20" t="n">
        <v>0</v>
      </c>
      <c r="K62" s="18" t="n">
        <v>0.18494948</v>
      </c>
      <c r="L62" s="20" t="n">
        <v>0.18334551</v>
      </c>
      <c r="M62" s="18" t="n">
        <v>0</v>
      </c>
      <c r="N62" s="20" t="n">
        <v>0</v>
      </c>
      <c r="O62" s="18" t="n">
        <v>0</v>
      </c>
      <c r="P62" s="20" t="n">
        <v>0</v>
      </c>
      <c r="Q62" s="18" t="n">
        <v>0.18068724</v>
      </c>
      <c r="R62" s="20" t="n">
        <v>0.17854199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(4965.0/B67*100)</f>
        <v/>
      </c>
      <c r="D67" s="19" t="n">
        <v>700</v>
      </c>
      <c r="E67" s="18" t="n">
        <v>63.76177291</v>
      </c>
      <c r="F67" s="20" t="n">
        <v>1.72624269</v>
      </c>
      <c r="G67" s="18" t="n">
        <v>32.33517116</v>
      </c>
      <c r="H67" s="20" t="n">
        <v>1.63959284</v>
      </c>
      <c r="I67" s="18" t="n">
        <v>0</v>
      </c>
      <c r="J67" s="20" t="n">
        <v>0</v>
      </c>
      <c r="K67" s="18" t="n">
        <v>0.43936831</v>
      </c>
      <c r="L67" s="20" t="n">
        <v>0.2568272</v>
      </c>
      <c r="M67" s="18" t="n">
        <v>0</v>
      </c>
      <c r="N67" s="20" t="n">
        <v>0</v>
      </c>
      <c r="O67" s="18" t="n">
        <v>0</v>
      </c>
      <c r="P67" s="20" t="n">
        <v>0</v>
      </c>
      <c r="Q67" s="18" t="n">
        <v>3.46368762</v>
      </c>
      <c r="R67" s="20" t="n">
        <v>0.60737761</v>
      </c>
    </row>
    <row r="68" spans="1:18">
      <c r="A68" s="15" t="s">
        <v>492</v>
      </c>
      <c r="B68" s="17" t="n">
        <v>6971</v>
      </c>
      <c r="C68" s="18">
        <f>(6131.0/B68*100)</f>
        <v/>
      </c>
      <c r="D68" s="19" t="n">
        <v>840</v>
      </c>
      <c r="E68" s="18" t="n">
        <v>68.50589770000001</v>
      </c>
      <c r="F68" s="20" t="n">
        <v>1.69728172</v>
      </c>
      <c r="G68" s="18" t="n">
        <v>28.75243123</v>
      </c>
      <c r="H68" s="20" t="n">
        <v>1.63435352</v>
      </c>
      <c r="I68" s="18" t="n">
        <v>0</v>
      </c>
      <c r="J68" s="20" t="n">
        <v>0</v>
      </c>
      <c r="K68" s="18" t="n">
        <v>0.09014460000000001</v>
      </c>
      <c r="L68" s="20" t="n">
        <v>0.08990143</v>
      </c>
      <c r="M68" s="18" t="n">
        <v>0</v>
      </c>
      <c r="N68" s="20" t="n">
        <v>0</v>
      </c>
      <c r="O68" s="18" t="n">
        <v>0</v>
      </c>
      <c r="P68" s="20" t="n">
        <v>0</v>
      </c>
      <c r="Q68" s="18" t="n">
        <v>2.65152648</v>
      </c>
      <c r="R68" s="20" t="n">
        <v>0.55109728</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(10060.0/B70*100)</f>
        <v/>
      </c>
      <c r="D70" s="19" t="n">
        <v>2023</v>
      </c>
      <c r="E70" s="18" t="n">
        <v>57.56527538</v>
      </c>
      <c r="F70" s="20" t="n">
        <v>1.10680637</v>
      </c>
      <c r="G70" s="18" t="n">
        <v>34.89533218</v>
      </c>
      <c r="H70" s="20" t="n">
        <v>0.99122605</v>
      </c>
      <c r="I70" s="18" t="n">
        <v>0</v>
      </c>
      <c r="J70" s="20" t="n">
        <v>0</v>
      </c>
      <c r="K70" s="18" t="n">
        <v>1.22265199</v>
      </c>
      <c r="L70" s="20" t="n">
        <v>0.25882774</v>
      </c>
      <c r="M70" s="18" t="n">
        <v>0</v>
      </c>
      <c r="N70" s="20" t="n">
        <v>0</v>
      </c>
      <c r="O70" s="18" t="n">
        <v>0</v>
      </c>
      <c r="P70" s="20" t="n">
        <v>0</v>
      </c>
      <c r="Q70" s="18" t="n">
        <v>6.31674045</v>
      </c>
      <c r="R70" s="20" t="n">
        <v>0.48300844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(5318.0/B72*100)</f>
        <v/>
      </c>
      <c r="D72" s="19" t="n">
        <v>718</v>
      </c>
      <c r="E72" s="18" t="n">
        <v>57.56135043</v>
      </c>
      <c r="F72" s="20" t="n">
        <v>1.95723416</v>
      </c>
      <c r="G72" s="18" t="n">
        <v>41.20486933</v>
      </c>
      <c r="H72" s="20" t="n">
        <v>1.98467949</v>
      </c>
      <c r="I72" s="18" t="n">
        <v>0</v>
      </c>
      <c r="J72" s="20" t="n">
        <v>0</v>
      </c>
      <c r="K72" s="18" t="n">
        <v>0.12632262</v>
      </c>
      <c r="L72" s="20" t="n">
        <v>0.12451597</v>
      </c>
      <c r="M72" s="18" t="n">
        <v>0</v>
      </c>
      <c r="N72" s="20" t="n">
        <v>0</v>
      </c>
      <c r="O72" s="18" t="n">
        <v>0</v>
      </c>
      <c r="P72" s="20" t="n">
        <v>0</v>
      </c>
      <c r="Q72" s="18" t="n">
        <v>1.10745762</v>
      </c>
      <c r="R72" s="20" t="n">
        <v>0.47900112</v>
      </c>
    </row>
    <row r="73" spans="1:18">
      <c r="A73" s="15" t="s">
        <v>497</v>
      </c>
      <c r="B73" s="17" t="n">
        <v>6115</v>
      </c>
      <c r="C73" s="18">
        <f>(5339.0/B73*100)</f>
        <v/>
      </c>
      <c r="D73" s="19" t="n">
        <v>776</v>
      </c>
      <c r="E73" s="18" t="n">
        <v>60.67780108</v>
      </c>
      <c r="F73" s="20" t="n">
        <v>1.88357896</v>
      </c>
      <c r="G73" s="18" t="n">
        <v>39.09096074</v>
      </c>
      <c r="H73" s="20" t="n">
        <v>1.88446379</v>
      </c>
      <c r="I73" s="18" t="n">
        <v>0</v>
      </c>
      <c r="J73" s="20" t="n">
        <v>0</v>
      </c>
      <c r="K73" s="18" t="n">
        <v>0</v>
      </c>
      <c r="L73" s="20" t="n">
        <v>0</v>
      </c>
      <c r="M73" s="18" t="n">
        <v>0</v>
      </c>
      <c r="N73" s="20" t="n">
        <v>0</v>
      </c>
      <c r="O73" s="18" t="n">
        <v>0</v>
      </c>
      <c r="P73" s="20" t="n">
        <v>0</v>
      </c>
      <c r="Q73" s="18" t="n">
        <v>0.23123817</v>
      </c>
      <c r="R73" s="20" t="n">
        <v>0.16082612</v>
      </c>
    </row>
    <row r="74" spans="1:18">
      <c r="A74" s="15" t="s">
        <v>498</v>
      </c>
      <c r="B74" s="17" t="n">
        <v>7708</v>
      </c>
      <c r="C74" s="18">
        <f>(6753.0/B74*100)</f>
        <v/>
      </c>
      <c r="D74" s="19" t="n">
        <v>955</v>
      </c>
      <c r="E74" s="18" t="n">
        <v>75.01937357</v>
      </c>
      <c r="F74" s="20" t="n">
        <v>1.49773757</v>
      </c>
      <c r="G74" s="18" t="n">
        <v>24.28459305</v>
      </c>
      <c r="H74" s="20" t="n">
        <v>1.50195767</v>
      </c>
      <c r="I74" s="18" t="n">
        <v>0</v>
      </c>
      <c r="J74" s="20" t="n">
        <v>0</v>
      </c>
      <c r="K74" s="18" t="n">
        <v>0.08315599999999999</v>
      </c>
      <c r="L74" s="20" t="n">
        <v>0.08335939000000001</v>
      </c>
      <c r="M74" s="18" t="n">
        <v>0</v>
      </c>
      <c r="N74" s="20" t="n">
        <v>0</v>
      </c>
      <c r="O74" s="18" t="n">
        <v>0</v>
      </c>
      <c r="P74" s="20" t="n">
        <v>0</v>
      </c>
      <c r="Q74" s="18" t="n">
        <v>0.61287738</v>
      </c>
      <c r="R74" s="20" t="n">
        <v>0.25750261</v>
      </c>
    </row>
    <row r="75" spans="1:18">
      <c r="A75" s="15" t="s">
        <v>499</v>
      </c>
      <c r="B75" s="17" t="n">
        <v>8249</v>
      </c>
      <c r="C75" s="18">
        <f>(7245.0/B75*100)</f>
        <v/>
      </c>
      <c r="D75" s="19" t="n">
        <v>1004</v>
      </c>
      <c r="E75" s="18" t="n">
        <v>73.49684641</v>
      </c>
      <c r="F75" s="20" t="n">
        <v>1.83212241</v>
      </c>
      <c r="G75" s="18" t="n">
        <v>25.23901557</v>
      </c>
      <c r="H75" s="20" t="n">
        <v>1.7647702</v>
      </c>
      <c r="I75" s="18" t="n">
        <v>0</v>
      </c>
      <c r="J75" s="20" t="n">
        <v>0</v>
      </c>
      <c r="K75" s="18" t="n">
        <v>0.14734325</v>
      </c>
      <c r="L75" s="20" t="n">
        <v>0.14726316</v>
      </c>
      <c r="M75" s="18" t="n">
        <v>0</v>
      </c>
      <c r="N75" s="20" t="n">
        <v>0</v>
      </c>
      <c r="O75" s="18" t="n">
        <v>0</v>
      </c>
      <c r="P75" s="20" t="n">
        <v>0</v>
      </c>
      <c r="Q75" s="18" t="n">
        <v>1.11679478</v>
      </c>
      <c r="R75" s="20" t="n">
        <v>0.40617008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(4747.0/B77*100)</f>
        <v/>
      </c>
      <c r="D77" s="19" t="n">
        <v>628</v>
      </c>
      <c r="E77" s="18" t="n">
        <v>66.60880276</v>
      </c>
      <c r="F77" s="20" t="n">
        <v>2.06318244</v>
      </c>
      <c r="G77" s="18" t="n">
        <v>29.16951276</v>
      </c>
      <c r="H77" s="20" t="n">
        <v>1.94662954</v>
      </c>
      <c r="I77" s="18" t="n">
        <v>0</v>
      </c>
      <c r="J77" s="20" t="n">
        <v>0</v>
      </c>
      <c r="K77" s="18" t="n">
        <v>0.91387246</v>
      </c>
      <c r="L77" s="20" t="n">
        <v>0.3571807</v>
      </c>
      <c r="M77" s="18" t="n">
        <v>0</v>
      </c>
      <c r="N77" s="20" t="n">
        <v>0</v>
      </c>
      <c r="O77" s="18" t="n">
        <v>0</v>
      </c>
      <c r="P77" s="20" t="n">
        <v>0</v>
      </c>
      <c r="Q77" s="18" t="n">
        <v>3.30781203</v>
      </c>
      <c r="R77" s="20" t="n">
        <v>0.70751779</v>
      </c>
    </row>
    <row r="78" spans="1:18">
      <c r="A78" s="15" t="s">
        <v>502</v>
      </c>
      <c r="B78" s="17" t="n">
        <v>14167</v>
      </c>
      <c r="C78" s="18">
        <f>(12404.0/B78*100)</f>
        <v/>
      </c>
      <c r="D78" s="19" t="n">
        <v>1763</v>
      </c>
      <c r="E78" s="18" t="n">
        <v>57.81428952</v>
      </c>
      <c r="F78" s="20" t="n">
        <v>1.35058001</v>
      </c>
      <c r="G78" s="18" t="n">
        <v>38.86402226</v>
      </c>
      <c r="H78" s="20" t="n">
        <v>1.40681274</v>
      </c>
      <c r="I78" s="18" t="n">
        <v>0</v>
      </c>
      <c r="J78" s="20" t="n">
        <v>0</v>
      </c>
      <c r="K78" s="18" t="n">
        <v>0.38264719</v>
      </c>
      <c r="L78" s="20" t="n">
        <v>0.15306965</v>
      </c>
      <c r="M78" s="18" t="n">
        <v>0</v>
      </c>
      <c r="N78" s="20" t="n">
        <v>0</v>
      </c>
      <c r="O78" s="18" t="n">
        <v>0</v>
      </c>
      <c r="P78" s="20" t="n">
        <v>0</v>
      </c>
      <c r="Q78" s="18" t="n">
        <v>2.93904103</v>
      </c>
      <c r="R78" s="20" t="n">
        <v>0.43353066</v>
      </c>
    </row>
    <row r="79" spans="1:18">
      <c r="A79" s="15" t="s">
        <v>503</v>
      </c>
      <c r="B79" s="17" t="n">
        <v>6062</v>
      </c>
      <c r="C79" s="18">
        <f>(5309.0/B79*100)</f>
        <v/>
      </c>
      <c r="D79" s="19" t="n">
        <v>753</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(28365.0/B82*100)</f>
        <v/>
      </c>
      <c r="D82" s="19" t="n">
        <v>3965</v>
      </c>
      <c r="E82" s="18" t="n">
        <v>57.32889207</v>
      </c>
      <c r="F82" s="20" t="n">
        <v>1.07145516</v>
      </c>
      <c r="G82" s="18" t="n">
        <v>41.06125846</v>
      </c>
      <c r="H82" s="20" t="n">
        <v>1.14478545</v>
      </c>
      <c r="I82" s="18" t="n">
        <v>0</v>
      </c>
      <c r="J82" s="20" t="n">
        <v>0</v>
      </c>
      <c r="K82" s="18" t="n">
        <v>0.15427413</v>
      </c>
      <c r="L82" s="20" t="n">
        <v>0.09163377</v>
      </c>
      <c r="M82" s="18" t="n">
        <v>0</v>
      </c>
      <c r="N82" s="20" t="n">
        <v>0</v>
      </c>
      <c r="O82" s="18" t="n">
        <v>0</v>
      </c>
      <c r="P82" s="20" t="n">
        <v>0</v>
      </c>
      <c r="Q82" s="18" t="n">
        <v>1.45557533</v>
      </c>
      <c r="R82" s="20" t="n">
        <v>0.31509421</v>
      </c>
    </row>
    <row r="83" spans="1:18">
      <c r="A83" s="15" t="s">
        <v>507</v>
      </c>
      <c r="B83" s="17" t="n">
        <v>1652</v>
      </c>
      <c r="C83" s="18">
        <f>(1456.0/B83*100)</f>
        <v/>
      </c>
      <c r="D83" s="19" t="n">
        <v>196</v>
      </c>
      <c r="E83" s="18" t="n">
        <v>61.62560538</v>
      </c>
      <c r="F83" s="20" t="n">
        <v>3.08522908</v>
      </c>
      <c r="G83" s="18" t="n">
        <v>38.37439462</v>
      </c>
      <c r="H83" s="20" t="n">
        <v>3.08522908</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(1654.0/B84*100)</f>
        <v/>
      </c>
      <c r="D84" s="19" t="n">
        <v>233</v>
      </c>
      <c r="E84" s="18" t="n">
        <v>68.47649883</v>
      </c>
      <c r="F84" s="20" t="n">
        <v>3.81019505</v>
      </c>
      <c r="G84" s="18" t="n">
        <v>31.52350117</v>
      </c>
      <c r="H84" s="20" t="n">
        <v>3.81019505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(12758.0/B7*100)</f>
        <v/>
      </c>
      <c r="D7" s="19" t="n">
        <v>1772</v>
      </c>
      <c r="E7" s="18" t="n">
        <v>42.83470525</v>
      </c>
      <c r="F7" s="20" t="n">
        <v>1.20874499</v>
      </c>
      <c r="G7" s="18" t="n">
        <v>56.00506831</v>
      </c>
      <c r="H7" s="20" t="n">
        <v>1.26872751</v>
      </c>
      <c r="I7" s="18" t="n">
        <v>0</v>
      </c>
      <c r="J7" s="20" t="n">
        <v>0</v>
      </c>
      <c r="K7" s="18" t="n">
        <v>0.01968447</v>
      </c>
      <c r="L7" s="20" t="n">
        <v>0.01412483</v>
      </c>
      <c r="M7" s="18" t="n">
        <v>0</v>
      </c>
      <c r="N7" s="20" t="n">
        <v>0</v>
      </c>
      <c r="O7" s="18" t="n">
        <v>0</v>
      </c>
      <c r="P7" s="20" t="n">
        <v>0</v>
      </c>
      <c r="Q7" s="18" t="n">
        <v>1.14054196</v>
      </c>
      <c r="R7" s="20" t="n">
        <v>0.28128398</v>
      </c>
    </row>
    <row r="8" spans="1:18">
      <c r="A8" s="15" t="s">
        <v>430</v>
      </c>
      <c r="B8" s="17" t="n">
        <v>7007</v>
      </c>
      <c r="C8" s="18">
        <f>(6123.0/B8*100)</f>
        <v/>
      </c>
      <c r="D8" s="19" t="n">
        <v>884</v>
      </c>
      <c r="E8" s="18" t="n">
        <v>37.18517971</v>
      </c>
      <c r="F8" s="20" t="n">
        <v>1.73124443</v>
      </c>
      <c r="G8" s="18" t="n">
        <v>62.1678173</v>
      </c>
      <c r="H8" s="20" t="n">
        <v>1.75470068</v>
      </c>
      <c r="I8" s="18" t="n">
        <v>0</v>
      </c>
      <c r="J8" s="20" t="n">
        <v>0</v>
      </c>
      <c r="K8" s="18" t="n">
        <v>0</v>
      </c>
      <c r="L8" s="20" t="n">
        <v>0</v>
      </c>
      <c r="M8" s="18" t="n">
        <v>0</v>
      </c>
      <c r="N8" s="20" t="n">
        <v>0</v>
      </c>
      <c r="O8" s="18" t="n">
        <v>0</v>
      </c>
      <c r="P8" s="20" t="n">
        <v>0</v>
      </c>
      <c r="Q8" s="18" t="n">
        <v>0.6470029899999999</v>
      </c>
      <c r="R8" s="20" t="n">
        <v>0.24147336</v>
      </c>
    </row>
    <row r="9" spans="1:18">
      <c r="A9" s="15" t="s">
        <v>431</v>
      </c>
      <c r="B9" s="17" t="n">
        <v>9651</v>
      </c>
      <c r="C9" s="18">
        <f>(8495.0/B9*100)</f>
        <v/>
      </c>
      <c r="D9" s="19" t="n">
        <v>1156</v>
      </c>
      <c r="E9" s="18" t="n">
        <v>40.45854924</v>
      </c>
      <c r="F9" s="20" t="n">
        <v>1.5363976</v>
      </c>
      <c r="G9" s="18" t="n">
        <v>57.19730039</v>
      </c>
      <c r="H9" s="20" t="n">
        <v>1.65253641</v>
      </c>
      <c r="I9" s="18" t="n">
        <v>0</v>
      </c>
      <c r="J9" s="20" t="n">
        <v>0</v>
      </c>
      <c r="K9" s="18" t="n">
        <v>0.08285168</v>
      </c>
      <c r="L9" s="20" t="n">
        <v>0.08678244</v>
      </c>
      <c r="M9" s="18" t="n">
        <v>0</v>
      </c>
      <c r="N9" s="20" t="n">
        <v>0</v>
      </c>
      <c r="O9" s="18" t="n">
        <v>0</v>
      </c>
      <c r="P9" s="20" t="n">
        <v>0</v>
      </c>
      <c r="Q9" s="18" t="n">
        <v>2.26129869</v>
      </c>
      <c r="R9" s="20" t="n">
        <v>0.48532307</v>
      </c>
    </row>
    <row r="10" spans="1:18">
      <c r="A10" s="15" t="s">
        <v>432</v>
      </c>
      <c r="B10" s="17" t="n">
        <v>20058</v>
      </c>
      <c r="C10" s="18">
        <f>(17525.0/B10*100)</f>
        <v/>
      </c>
      <c r="D10" s="19" t="n">
        <v>2533</v>
      </c>
      <c r="E10" s="18" t="n">
        <v>36.85577166</v>
      </c>
      <c r="F10" s="20" t="n">
        <v>1.32553716</v>
      </c>
      <c r="G10" s="18" t="n">
        <v>62.4477164</v>
      </c>
      <c r="H10" s="20" t="n">
        <v>1.31472801</v>
      </c>
      <c r="I10" s="18" t="n">
        <v>0</v>
      </c>
      <c r="J10" s="20" t="n">
        <v>0</v>
      </c>
      <c r="K10" s="18" t="n">
        <v>0.10934301</v>
      </c>
      <c r="L10" s="20" t="n">
        <v>0.08831712</v>
      </c>
      <c r="M10" s="18" t="n">
        <v>0</v>
      </c>
      <c r="N10" s="20" t="n">
        <v>0</v>
      </c>
      <c r="O10" s="18" t="n">
        <v>0</v>
      </c>
      <c r="P10" s="20" t="n">
        <v>0</v>
      </c>
      <c r="Q10" s="18" t="n">
        <v>0.58716893</v>
      </c>
      <c r="R10" s="20" t="n">
        <v>0.16311572</v>
      </c>
    </row>
    <row r="11" spans="1:18">
      <c r="A11" s="15" t="s">
        <v>433</v>
      </c>
      <c r="B11" s="17" t="n">
        <v>7053</v>
      </c>
      <c r="C11" s="18">
        <f>(6213.0/B11*100)</f>
        <v/>
      </c>
      <c r="D11" s="19" t="n">
        <v>840</v>
      </c>
      <c r="E11" s="18" t="n">
        <v>45.99164262</v>
      </c>
      <c r="F11" s="20" t="n">
        <v>1.92379952</v>
      </c>
      <c r="G11" s="18" t="n">
        <v>51.6462426</v>
      </c>
      <c r="H11" s="20" t="n">
        <v>1.87186901</v>
      </c>
      <c r="I11" s="18" t="n">
        <v>0</v>
      </c>
      <c r="J11" s="20" t="n">
        <v>0</v>
      </c>
      <c r="K11" s="18" t="n">
        <v>0.34369228</v>
      </c>
      <c r="L11" s="20" t="n">
        <v>0.24353842</v>
      </c>
      <c r="M11" s="18" t="n">
        <v>0</v>
      </c>
      <c r="N11" s="20" t="n">
        <v>0</v>
      </c>
      <c r="O11" s="18" t="n">
        <v>0</v>
      </c>
      <c r="P11" s="20" t="n">
        <v>0</v>
      </c>
      <c r="Q11" s="18" t="n">
        <v>2.0184225</v>
      </c>
      <c r="R11" s="20" t="n">
        <v>0.56612408</v>
      </c>
    </row>
    <row r="12" spans="1:18">
      <c r="A12" s="15" t="s">
        <v>434</v>
      </c>
      <c r="B12" s="17" t="n">
        <v>6894</v>
      </c>
      <c r="C12" s="18">
        <f>(6053.0/B12*100)</f>
        <v/>
      </c>
      <c r="D12" s="19" t="n">
        <v>841</v>
      </c>
      <c r="E12" s="18" t="n">
        <v>47.88574248</v>
      </c>
      <c r="F12" s="20" t="n">
        <v>2.15779761</v>
      </c>
      <c r="G12" s="18" t="n">
        <v>51.49546872</v>
      </c>
      <c r="H12" s="20" t="n">
        <v>2.12897554</v>
      </c>
      <c r="I12" s="18" t="n">
        <v>0</v>
      </c>
      <c r="J12" s="20" t="n">
        <v>0</v>
      </c>
      <c r="K12" s="18" t="n">
        <v>0.10809755</v>
      </c>
      <c r="L12" s="20" t="n">
        <v>0.10589213</v>
      </c>
      <c r="M12" s="18" t="n">
        <v>0</v>
      </c>
      <c r="N12" s="20" t="n">
        <v>0</v>
      </c>
      <c r="O12" s="18" t="n">
        <v>0</v>
      </c>
      <c r="P12" s="20" t="n">
        <v>0</v>
      </c>
      <c r="Q12" s="18" t="n">
        <v>0.51069125</v>
      </c>
      <c r="R12" s="20" t="n">
        <v>0.25629297</v>
      </c>
    </row>
    <row r="13" spans="1:18">
      <c r="A13" s="15" t="s">
        <v>435</v>
      </c>
      <c r="B13" s="17" t="n">
        <v>7161</v>
      </c>
      <c r="C13" s="18">
        <f>(6313.0/B13*100)</f>
        <v/>
      </c>
      <c r="D13" s="19" t="n">
        <v>848</v>
      </c>
      <c r="E13" s="18" t="n">
        <v>47.63250918</v>
      </c>
      <c r="F13" s="20" t="n">
        <v>2.21313256</v>
      </c>
      <c r="G13" s="18" t="n">
        <v>51.22181073</v>
      </c>
      <c r="H13" s="20" t="n">
        <v>2.20179621</v>
      </c>
      <c r="I13" s="18" t="n">
        <v>0</v>
      </c>
      <c r="J13" s="20" t="n">
        <v>0</v>
      </c>
      <c r="K13" s="18" t="n">
        <v>0.27823757</v>
      </c>
      <c r="L13" s="20" t="n">
        <v>0.17551898</v>
      </c>
      <c r="M13" s="18" t="n">
        <v>0</v>
      </c>
      <c r="N13" s="20" t="n">
        <v>0</v>
      </c>
      <c r="O13" s="18" t="n">
        <v>0</v>
      </c>
      <c r="P13" s="20" t="n">
        <v>0</v>
      </c>
      <c r="Q13" s="18" t="n">
        <v>0.86744252</v>
      </c>
      <c r="R13" s="20" t="n">
        <v>0.36586278</v>
      </c>
    </row>
    <row r="14" spans="1:18">
      <c r="A14" s="15" t="s">
        <v>436</v>
      </c>
      <c r="B14" s="17" t="n">
        <v>5587</v>
      </c>
      <c r="C14" s="18">
        <f>(4922.0/B14*100)</f>
        <v/>
      </c>
      <c r="D14" s="19" t="n">
        <v>665</v>
      </c>
      <c r="E14" s="18" t="n">
        <v>34.65138798</v>
      </c>
      <c r="F14" s="20" t="n">
        <v>1.82297543</v>
      </c>
      <c r="G14" s="18" t="n">
        <v>64.90432831</v>
      </c>
      <c r="H14" s="20" t="n">
        <v>1.81052779</v>
      </c>
      <c r="I14" s="18" t="n">
        <v>0</v>
      </c>
      <c r="J14" s="20" t="n">
        <v>0</v>
      </c>
      <c r="K14" s="18" t="n">
        <v>0</v>
      </c>
      <c r="L14" s="20" t="n">
        <v>0</v>
      </c>
      <c r="M14" s="18" t="n">
        <v>0</v>
      </c>
      <c r="N14" s="20" t="n">
        <v>0</v>
      </c>
      <c r="O14" s="18" t="n">
        <v>0</v>
      </c>
      <c r="P14" s="20" t="n">
        <v>0</v>
      </c>
      <c r="Q14" s="18" t="n">
        <v>0.44428371</v>
      </c>
      <c r="R14" s="20" t="n">
        <v>0.22753754</v>
      </c>
    </row>
    <row r="15" spans="1:18">
      <c r="A15" s="15" t="s">
        <v>437</v>
      </c>
      <c r="B15" s="17" t="n">
        <v>5882</v>
      </c>
      <c r="C15" s="18">
        <f>(5152.0/B15*100)</f>
        <v/>
      </c>
      <c r="D15" s="19" t="n">
        <v>730</v>
      </c>
      <c r="E15" s="18" t="n">
        <v>37.5416917</v>
      </c>
      <c r="F15" s="20" t="n">
        <v>1.85148086</v>
      </c>
      <c r="G15" s="18" t="n">
        <v>61.48604716</v>
      </c>
      <c r="H15" s="20" t="n">
        <v>1.7950311</v>
      </c>
      <c r="I15" s="18" t="n">
        <v>0</v>
      </c>
      <c r="J15" s="20" t="n">
        <v>0</v>
      </c>
      <c r="K15" s="18" t="n">
        <v>0</v>
      </c>
      <c r="L15" s="20" t="n">
        <v>0</v>
      </c>
      <c r="M15" s="18" t="n">
        <v>0</v>
      </c>
      <c r="N15" s="20" t="n">
        <v>0</v>
      </c>
      <c r="O15" s="18" t="n">
        <v>0</v>
      </c>
      <c r="P15" s="20" t="n">
        <v>0</v>
      </c>
      <c r="Q15" s="18" t="n">
        <v>0.97226115</v>
      </c>
      <c r="R15" s="20" t="n">
        <v>0.4206445</v>
      </c>
    </row>
    <row r="16" spans="1:18">
      <c r="A16" s="15" t="s">
        <v>438</v>
      </c>
      <c r="B16" s="17" t="n">
        <v>6108</v>
      </c>
      <c r="C16" s="18">
        <f>(5364.0/B16*100)</f>
        <v/>
      </c>
      <c r="D16" s="19" t="n">
        <v>744</v>
      </c>
      <c r="E16" s="18" t="n">
        <v>41.45095958</v>
      </c>
      <c r="F16" s="20" t="n">
        <v>1.75836765</v>
      </c>
      <c r="G16" s="18" t="n">
        <v>54.77101348</v>
      </c>
      <c r="H16" s="20" t="n">
        <v>1.93489313</v>
      </c>
      <c r="I16" s="18" t="n">
        <v>0</v>
      </c>
      <c r="J16" s="20" t="n">
        <v>0</v>
      </c>
      <c r="K16" s="18" t="n">
        <v>0.82779157</v>
      </c>
      <c r="L16" s="20" t="n">
        <v>0.38338422</v>
      </c>
      <c r="M16" s="18" t="n">
        <v>0</v>
      </c>
      <c r="N16" s="20" t="n">
        <v>0</v>
      </c>
      <c r="O16" s="18" t="n">
        <v>0</v>
      </c>
      <c r="P16" s="20" t="n">
        <v>0</v>
      </c>
      <c r="Q16" s="18" t="n">
        <v>2.95023537</v>
      </c>
      <c r="R16" s="20" t="n">
        <v>0.60866871</v>
      </c>
    </row>
    <row r="17" spans="1:18">
      <c r="A17" s="15" t="s">
        <v>439</v>
      </c>
      <c r="B17" s="17" t="n">
        <v>6504</v>
      </c>
      <c r="C17" s="18">
        <f>(5739.0/B17*100)</f>
        <v/>
      </c>
      <c r="D17" s="19" t="n">
        <v>765</v>
      </c>
      <c r="E17" s="18" t="n">
        <v>35.78303681</v>
      </c>
      <c r="F17" s="20" t="n">
        <v>1.95435112</v>
      </c>
      <c r="G17" s="18" t="n">
        <v>62.74910459</v>
      </c>
      <c r="H17" s="20" t="n">
        <v>1.96482121</v>
      </c>
      <c r="I17" s="18" t="n">
        <v>0</v>
      </c>
      <c r="J17" s="20" t="n">
        <v>0</v>
      </c>
      <c r="K17" s="18" t="n">
        <v>0.09860698</v>
      </c>
      <c r="L17" s="20" t="n">
        <v>0.09885627</v>
      </c>
      <c r="M17" s="18" t="n">
        <v>0</v>
      </c>
      <c r="N17" s="20" t="n">
        <v>0</v>
      </c>
      <c r="O17" s="18" t="n">
        <v>0</v>
      </c>
      <c r="P17" s="20" t="n">
        <v>0</v>
      </c>
      <c r="Q17" s="18" t="n">
        <v>1.36925162</v>
      </c>
      <c r="R17" s="20" t="n">
        <v>0.42198387</v>
      </c>
    </row>
    <row r="18" spans="1:18">
      <c r="A18" s="15" t="s">
        <v>440</v>
      </c>
      <c r="B18" s="17" t="n">
        <v>5532</v>
      </c>
      <c r="C18" s="18">
        <f>(4838.0/B18*100)</f>
        <v/>
      </c>
      <c r="D18" s="19" t="n">
        <v>694</v>
      </c>
      <c r="E18" s="18" t="n">
        <v>51.5019641</v>
      </c>
      <c r="F18" s="20" t="n">
        <v>2.317927</v>
      </c>
      <c r="G18" s="18" t="n">
        <v>46.28803426</v>
      </c>
      <c r="H18" s="20" t="n">
        <v>2.28497253</v>
      </c>
      <c r="I18" s="18" t="n">
        <v>0</v>
      </c>
      <c r="J18" s="20" t="n">
        <v>0</v>
      </c>
      <c r="K18" s="18" t="n">
        <v>0</v>
      </c>
      <c r="L18" s="20" t="n">
        <v>0</v>
      </c>
      <c r="M18" s="18" t="n">
        <v>0</v>
      </c>
      <c r="N18" s="20" t="n">
        <v>0</v>
      </c>
      <c r="O18" s="18" t="n">
        <v>0</v>
      </c>
      <c r="P18" s="20" t="n">
        <v>0</v>
      </c>
      <c r="Q18" s="18" t="n">
        <v>2.21000164</v>
      </c>
      <c r="R18" s="20" t="n">
        <v>0.613726</v>
      </c>
    </row>
    <row r="19" spans="1:18">
      <c r="A19" s="15" t="s">
        <v>441</v>
      </c>
      <c r="B19" s="17" t="n">
        <v>5658</v>
      </c>
      <c r="C19" s="18">
        <f>(4964.0/B19*100)</f>
        <v/>
      </c>
      <c r="D19" s="19" t="n">
        <v>694</v>
      </c>
      <c r="E19" s="18" t="n">
        <v>45.28065272</v>
      </c>
      <c r="F19" s="20" t="n">
        <v>2.18580032</v>
      </c>
      <c r="G19" s="18" t="n">
        <v>53.00307251</v>
      </c>
      <c r="H19" s="20" t="n">
        <v>2.17797706</v>
      </c>
      <c r="I19" s="18" t="n">
        <v>0</v>
      </c>
      <c r="J19" s="20" t="n">
        <v>0</v>
      </c>
      <c r="K19" s="18" t="n">
        <v>0.29731614</v>
      </c>
      <c r="L19" s="20" t="n">
        <v>0.32535658</v>
      </c>
      <c r="M19" s="18" t="n">
        <v>0</v>
      </c>
      <c r="N19" s="20" t="n">
        <v>0</v>
      </c>
      <c r="O19" s="18" t="n">
        <v>0</v>
      </c>
      <c r="P19" s="20" t="n">
        <v>0</v>
      </c>
      <c r="Q19" s="18" t="n">
        <v>1.41895863</v>
      </c>
      <c r="R19" s="20" t="n">
        <v>0.49706264</v>
      </c>
    </row>
    <row r="20" spans="1:18">
      <c r="A20" s="15" t="s">
        <v>442</v>
      </c>
      <c r="B20" s="17" t="n">
        <v>3371</v>
      </c>
      <c r="C20" s="18">
        <f>(2960.0/B20*100)</f>
        <v/>
      </c>
      <c r="D20" s="19" t="n">
        <v>411</v>
      </c>
      <c r="E20" s="18" t="n">
        <v>50.70718331</v>
      </c>
      <c r="F20" s="20" t="n">
        <v>2.51014321</v>
      </c>
      <c r="G20" s="18" t="n">
        <v>45.98166799</v>
      </c>
      <c r="H20" s="20" t="n">
        <v>2.58866782</v>
      </c>
      <c r="I20" s="18" t="n">
        <v>0</v>
      </c>
      <c r="J20" s="20" t="n">
        <v>0</v>
      </c>
      <c r="K20" s="18" t="n">
        <v>0.6118393</v>
      </c>
      <c r="L20" s="20" t="n">
        <v>0.44545143</v>
      </c>
      <c r="M20" s="18" t="n">
        <v>0</v>
      </c>
      <c r="N20" s="20" t="n">
        <v>0</v>
      </c>
      <c r="O20" s="18" t="n">
        <v>0</v>
      </c>
      <c r="P20" s="20" t="n">
        <v>0</v>
      </c>
      <c r="Q20" s="18" t="n">
        <v>2.69930941</v>
      </c>
      <c r="R20" s="20" t="n">
        <v>0.74593422</v>
      </c>
    </row>
    <row r="21" spans="1:18">
      <c r="A21" s="15" t="s">
        <v>443</v>
      </c>
      <c r="B21" s="17" t="n">
        <v>5741</v>
      </c>
      <c r="C21" s="18">
        <f>(4787.0/B21*100)</f>
        <v/>
      </c>
      <c r="D21" s="19" t="n">
        <v>954</v>
      </c>
      <c r="E21" s="18" t="n">
        <v>45.45399882</v>
      </c>
      <c r="F21" s="20" t="n">
        <v>1.73555117</v>
      </c>
      <c r="G21" s="18" t="n">
        <v>53.14119017</v>
      </c>
      <c r="H21" s="20" t="n">
        <v>1.78998868</v>
      </c>
      <c r="I21" s="18" t="n">
        <v>0</v>
      </c>
      <c r="J21" s="20" t="n">
        <v>0</v>
      </c>
      <c r="K21" s="18" t="n">
        <v>0</v>
      </c>
      <c r="L21" s="20" t="n">
        <v>0</v>
      </c>
      <c r="M21" s="18" t="n">
        <v>0</v>
      </c>
      <c r="N21" s="20" t="n">
        <v>0</v>
      </c>
      <c r="O21" s="18" t="n">
        <v>0</v>
      </c>
      <c r="P21" s="20" t="n">
        <v>0</v>
      </c>
      <c r="Q21" s="18" t="n">
        <v>1.40481101</v>
      </c>
      <c r="R21" s="20" t="n">
        <v>0.36607082</v>
      </c>
    </row>
    <row r="22" spans="1:18">
      <c r="A22" s="15" t="s">
        <v>444</v>
      </c>
      <c r="B22" s="17" t="n">
        <v>6598</v>
      </c>
      <c r="C22" s="18">
        <f>(5840.0/B22*100)</f>
        <v/>
      </c>
      <c r="D22" s="19" t="n">
        <v>758</v>
      </c>
      <c r="E22" s="18" t="n">
        <v>50.34723437</v>
      </c>
      <c r="F22" s="20" t="n">
        <v>1.80496671</v>
      </c>
      <c r="G22" s="18" t="n">
        <v>43.58645679</v>
      </c>
      <c r="H22" s="20" t="n">
        <v>1.85543271</v>
      </c>
      <c r="I22" s="18" t="n">
        <v>0</v>
      </c>
      <c r="J22" s="20" t="n">
        <v>0</v>
      </c>
      <c r="K22" s="18" t="n">
        <v>0.92032064</v>
      </c>
      <c r="L22" s="20" t="n">
        <v>0.39178238</v>
      </c>
      <c r="M22" s="18" t="n">
        <v>0</v>
      </c>
      <c r="N22" s="20" t="n">
        <v>0</v>
      </c>
      <c r="O22" s="18" t="n">
        <v>0</v>
      </c>
      <c r="P22" s="20" t="n">
        <v>0</v>
      </c>
      <c r="Q22" s="18" t="n">
        <v>5.1459882</v>
      </c>
      <c r="R22" s="20" t="n">
        <v>0.86775421</v>
      </c>
    </row>
    <row r="23" spans="1:18">
      <c r="A23" s="15" t="s">
        <v>445</v>
      </c>
      <c r="B23" s="17" t="n">
        <v>11583</v>
      </c>
      <c r="C23" s="18">
        <f>(10152.0/B23*100)</f>
        <v/>
      </c>
      <c r="D23" s="19" t="n">
        <v>1431</v>
      </c>
      <c r="E23" s="18" t="n">
        <v>46.84958671</v>
      </c>
      <c r="F23" s="20" t="n">
        <v>1.88765149</v>
      </c>
      <c r="G23" s="18" t="n">
        <v>51.2772171</v>
      </c>
      <c r="H23" s="20" t="n">
        <v>1.87960954</v>
      </c>
      <c r="I23" s="18" t="n">
        <v>0</v>
      </c>
      <c r="J23" s="20" t="n">
        <v>0</v>
      </c>
      <c r="K23" s="18" t="n">
        <v>0.27682122</v>
      </c>
      <c r="L23" s="20" t="n">
        <v>0.24443619</v>
      </c>
      <c r="M23" s="18" t="n">
        <v>0</v>
      </c>
      <c r="N23" s="20" t="n">
        <v>0</v>
      </c>
      <c r="O23" s="18" t="n">
        <v>0</v>
      </c>
      <c r="P23" s="20" t="n">
        <v>0</v>
      </c>
      <c r="Q23" s="18" t="n">
        <v>1.59637497</v>
      </c>
      <c r="R23" s="20" t="n">
        <v>0.50362661</v>
      </c>
    </row>
    <row r="24" spans="1:18">
      <c r="A24" s="15" t="s">
        <v>446</v>
      </c>
      <c r="B24" s="17" t="n">
        <v>6647</v>
      </c>
      <c r="C24" s="18">
        <f>(5846.0/B24*100)</f>
        <v/>
      </c>
      <c r="D24" s="19" t="n">
        <v>801</v>
      </c>
      <c r="E24" s="18" t="n">
        <v>36.52851166</v>
      </c>
      <c r="F24" s="20" t="n">
        <v>1.81672211</v>
      </c>
      <c r="G24" s="18" t="n">
        <v>61.85131015</v>
      </c>
      <c r="H24" s="20" t="n">
        <v>1.77149034</v>
      </c>
      <c r="I24" s="18" t="n">
        <v>0</v>
      </c>
      <c r="J24" s="20" t="n">
        <v>0</v>
      </c>
      <c r="K24" s="18" t="n">
        <v>0.12702673</v>
      </c>
      <c r="L24" s="20" t="n">
        <v>0.12123151</v>
      </c>
      <c r="M24" s="18" t="n">
        <v>0</v>
      </c>
      <c r="N24" s="20" t="n">
        <v>0</v>
      </c>
      <c r="O24" s="18" t="n">
        <v>0</v>
      </c>
      <c r="P24" s="20" t="n">
        <v>0</v>
      </c>
      <c r="Q24" s="18" t="n">
        <v>1.49315147</v>
      </c>
      <c r="R24" s="20" t="n">
        <v>0.43263485</v>
      </c>
    </row>
    <row r="25" spans="1:18">
      <c r="A25" s="15" t="s">
        <v>447</v>
      </c>
      <c r="B25" s="17" t="n">
        <v>5581</v>
      </c>
      <c r="C25" s="18">
        <f>(4891.0/B25*100)</f>
        <v/>
      </c>
      <c r="D25" s="19" t="n">
        <v>690</v>
      </c>
      <c r="E25" s="18" t="n">
        <v>33.98428922</v>
      </c>
      <c r="F25" s="20" t="n">
        <v>1.65356896</v>
      </c>
      <c r="G25" s="18" t="n">
        <v>65.43020878</v>
      </c>
      <c r="H25" s="20" t="n">
        <v>1.6958687</v>
      </c>
      <c r="I25" s="18" t="n">
        <v>0</v>
      </c>
      <c r="J25" s="20" t="n">
        <v>0</v>
      </c>
      <c r="K25" s="18" t="n">
        <v>0.28741602</v>
      </c>
      <c r="L25" s="20" t="n">
        <v>0.20301638</v>
      </c>
      <c r="M25" s="18" t="n">
        <v>0</v>
      </c>
      <c r="N25" s="20" t="n">
        <v>0</v>
      </c>
      <c r="O25" s="18" t="n">
        <v>0</v>
      </c>
      <c r="P25" s="20" t="n">
        <v>0</v>
      </c>
      <c r="Q25" s="18" t="n">
        <v>0.29808598</v>
      </c>
      <c r="R25" s="20" t="n">
        <v>0.21187546</v>
      </c>
    </row>
    <row r="26" spans="1:18">
      <c r="A26" s="15" t="s">
        <v>448</v>
      </c>
      <c r="B26" s="17" t="n">
        <v>4869</v>
      </c>
      <c r="C26" s="18">
        <f>(4263.0/B26*100)</f>
        <v/>
      </c>
      <c r="D26" s="19" t="n">
        <v>606</v>
      </c>
      <c r="E26" s="18" t="n">
        <v>53.77957249</v>
      </c>
      <c r="F26" s="20" t="n">
        <v>1.9231388</v>
      </c>
      <c r="G26" s="18" t="n">
        <v>45.06526693</v>
      </c>
      <c r="H26" s="20" t="n">
        <v>1.90985355</v>
      </c>
      <c r="I26" s="18" t="n">
        <v>0</v>
      </c>
      <c r="J26" s="20" t="n">
        <v>0</v>
      </c>
      <c r="K26" s="18" t="n">
        <v>0</v>
      </c>
      <c r="L26" s="20" t="n">
        <v>0</v>
      </c>
      <c r="M26" s="18" t="n">
        <v>0</v>
      </c>
      <c r="N26" s="20" t="n">
        <v>0</v>
      </c>
      <c r="O26" s="18" t="n">
        <v>0</v>
      </c>
      <c r="P26" s="20" t="n">
        <v>0</v>
      </c>
      <c r="Q26" s="18" t="n">
        <v>1.15516058</v>
      </c>
      <c r="R26" s="20" t="n">
        <v>0.3869688</v>
      </c>
    </row>
    <row r="27" spans="1:18">
      <c r="A27" s="15" t="s">
        <v>449</v>
      </c>
      <c r="B27" s="17" t="n">
        <v>5299</v>
      </c>
      <c r="C27" s="18">
        <f>(4630.0/B27*100)</f>
        <v/>
      </c>
      <c r="D27" s="19" t="n">
        <v>669</v>
      </c>
      <c r="E27" s="18" t="n">
        <v>45.08408797</v>
      </c>
      <c r="F27" s="20" t="n">
        <v>1.76913696</v>
      </c>
      <c r="G27" s="18" t="n">
        <v>53.71794367</v>
      </c>
      <c r="H27" s="20" t="n">
        <v>1.75440938</v>
      </c>
      <c r="I27" s="18" t="n">
        <v>0</v>
      </c>
      <c r="J27" s="20" t="n">
        <v>0</v>
      </c>
      <c r="K27" s="18" t="n">
        <v>0.15166867</v>
      </c>
      <c r="L27" s="20" t="n">
        <v>0.15142902</v>
      </c>
      <c r="M27" s="18" t="n">
        <v>0</v>
      </c>
      <c r="N27" s="20" t="n">
        <v>0</v>
      </c>
      <c r="O27" s="18" t="n">
        <v>0</v>
      </c>
      <c r="P27" s="20" t="n">
        <v>0</v>
      </c>
      <c r="Q27" s="18" t="n">
        <v>1.0462997</v>
      </c>
      <c r="R27" s="20" t="n">
        <v>0.39598829</v>
      </c>
    </row>
    <row r="28" spans="1:18">
      <c r="A28" s="15" t="s">
        <v>450</v>
      </c>
      <c r="B28" s="17" t="n">
        <v>7568</v>
      </c>
      <c r="C28" s="18">
        <f>(6659.0/B28*100)</f>
        <v/>
      </c>
      <c r="D28" s="19" t="n">
        <v>909</v>
      </c>
      <c r="E28" s="18" t="n">
        <v>58.18860902</v>
      </c>
      <c r="F28" s="20" t="n">
        <v>1.86521099</v>
      </c>
      <c r="G28" s="18" t="n">
        <v>40.00137296</v>
      </c>
      <c r="H28" s="20" t="n">
        <v>1.90117558</v>
      </c>
      <c r="I28" s="18" t="n">
        <v>0</v>
      </c>
      <c r="J28" s="20" t="n">
        <v>0</v>
      </c>
      <c r="K28" s="18" t="n">
        <v>0</v>
      </c>
      <c r="L28" s="20" t="n">
        <v>0</v>
      </c>
      <c r="M28" s="18" t="n">
        <v>0</v>
      </c>
      <c r="N28" s="20" t="n">
        <v>0</v>
      </c>
      <c r="O28" s="18" t="n">
        <v>0</v>
      </c>
      <c r="P28" s="20" t="n">
        <v>0</v>
      </c>
      <c r="Q28" s="18" t="n">
        <v>1.81001802</v>
      </c>
      <c r="R28" s="20" t="n">
        <v>0.52243067</v>
      </c>
    </row>
    <row r="29" spans="1:18">
      <c r="A29" s="15" t="s">
        <v>451</v>
      </c>
      <c r="B29" s="17" t="n">
        <v>5385</v>
      </c>
      <c r="C29" s="18">
        <f>(4753.0/B29*100)</f>
        <v/>
      </c>
      <c r="D29" s="19" t="n">
        <v>632</v>
      </c>
      <c r="E29" s="18" t="n">
        <v>32.63065452</v>
      </c>
      <c r="F29" s="20" t="n">
        <v>1.79626279</v>
      </c>
      <c r="G29" s="18" t="n">
        <v>66.9426004</v>
      </c>
      <c r="H29" s="20" t="n">
        <v>1.82702662</v>
      </c>
      <c r="I29" s="18" t="n">
        <v>0</v>
      </c>
      <c r="J29" s="20" t="n">
        <v>0</v>
      </c>
      <c r="K29" s="18" t="n">
        <v>0</v>
      </c>
      <c r="L29" s="20" t="n">
        <v>0</v>
      </c>
      <c r="M29" s="18" t="n">
        <v>0</v>
      </c>
      <c r="N29" s="20" t="n">
        <v>0</v>
      </c>
      <c r="O29" s="18" t="n">
        <v>0</v>
      </c>
      <c r="P29" s="20" t="n">
        <v>0</v>
      </c>
      <c r="Q29" s="18" t="n">
        <v>0.42674508</v>
      </c>
      <c r="R29" s="20" t="n">
        <v>0.11741907</v>
      </c>
    </row>
    <row r="30" spans="1:18">
      <c r="A30" s="15" t="s">
        <v>452</v>
      </c>
      <c r="B30" s="17" t="n">
        <v>4520</v>
      </c>
      <c r="C30" s="18">
        <f>(3990.0/B30*100)</f>
        <v/>
      </c>
      <c r="D30" s="19" t="n">
        <v>530</v>
      </c>
      <c r="E30" s="18" t="n">
        <v>44.88459195</v>
      </c>
      <c r="F30" s="20" t="n">
        <v>2.14375258</v>
      </c>
      <c r="G30" s="18" t="n">
        <v>52.93405141</v>
      </c>
      <c r="H30" s="20" t="n">
        <v>2.22701212</v>
      </c>
      <c r="I30" s="18" t="n">
        <v>0</v>
      </c>
      <c r="J30" s="20" t="n">
        <v>0</v>
      </c>
      <c r="K30" s="18" t="n">
        <v>0.17111824</v>
      </c>
      <c r="L30" s="20" t="n">
        <v>0.17278887</v>
      </c>
      <c r="M30" s="18" t="n">
        <v>0</v>
      </c>
      <c r="N30" s="20" t="n">
        <v>0</v>
      </c>
      <c r="O30" s="18" t="n">
        <v>0</v>
      </c>
      <c r="P30" s="20" t="n">
        <v>0</v>
      </c>
      <c r="Q30" s="18" t="n">
        <v>2.01023841</v>
      </c>
      <c r="R30" s="20" t="n">
        <v>0.64627486</v>
      </c>
    </row>
    <row r="31" spans="1:18">
      <c r="A31" s="15" t="s">
        <v>453</v>
      </c>
      <c r="B31" s="17" t="n">
        <v>5456</v>
      </c>
      <c r="C31" s="18">
        <f>(4780.0/B31*100)</f>
        <v/>
      </c>
      <c r="D31" s="19" t="n">
        <v>676</v>
      </c>
      <c r="E31" s="18" t="n">
        <v>43.14289872</v>
      </c>
      <c r="F31" s="20" t="n">
        <v>1.76929635</v>
      </c>
      <c r="G31" s="18" t="n">
        <v>54.80631806</v>
      </c>
      <c r="H31" s="20" t="n">
        <v>1.78279428</v>
      </c>
      <c r="I31" s="18" t="n">
        <v>0</v>
      </c>
      <c r="J31" s="20" t="n">
        <v>0</v>
      </c>
      <c r="K31" s="18" t="n">
        <v>0.4924055</v>
      </c>
      <c r="L31" s="20" t="n">
        <v>0.25466043</v>
      </c>
      <c r="M31" s="18" t="n">
        <v>0</v>
      </c>
      <c r="N31" s="20" t="n">
        <v>0</v>
      </c>
      <c r="O31" s="18" t="n">
        <v>0</v>
      </c>
      <c r="P31" s="20" t="n">
        <v>0</v>
      </c>
      <c r="Q31" s="18" t="n">
        <v>1.55837773</v>
      </c>
      <c r="R31" s="20" t="n">
        <v>0.6048921</v>
      </c>
    </row>
    <row r="32" spans="1:18">
      <c r="A32" s="15" t="s">
        <v>454</v>
      </c>
      <c r="B32" s="17" t="n">
        <v>4478</v>
      </c>
      <c r="C32" s="18">
        <f>(3719.0/B32*100)</f>
        <v/>
      </c>
      <c r="D32" s="19" t="n">
        <v>759</v>
      </c>
      <c r="E32" s="18" t="n">
        <v>48.83667016</v>
      </c>
      <c r="F32" s="20" t="n">
        <v>1.70537306</v>
      </c>
      <c r="G32" s="18" t="n">
        <v>49.88862019</v>
      </c>
      <c r="H32" s="20" t="n">
        <v>1.75459779</v>
      </c>
      <c r="I32" s="18" t="n">
        <v>0</v>
      </c>
      <c r="J32" s="20" t="n">
        <v>0</v>
      </c>
      <c r="K32" s="18" t="n">
        <v>0</v>
      </c>
      <c r="L32" s="20" t="n">
        <v>0</v>
      </c>
      <c r="M32" s="18" t="n">
        <v>0</v>
      </c>
      <c r="N32" s="20" t="n">
        <v>0</v>
      </c>
      <c r="O32" s="18" t="n">
        <v>0</v>
      </c>
      <c r="P32" s="20" t="n">
        <v>0</v>
      </c>
      <c r="Q32" s="18" t="n">
        <v>1.27470964</v>
      </c>
      <c r="R32" s="20" t="n">
        <v>0.4240231</v>
      </c>
    </row>
    <row r="33" spans="1:18">
      <c r="A33" s="15" t="s">
        <v>455</v>
      </c>
      <c r="B33" s="17" t="n">
        <v>7325</v>
      </c>
      <c r="C33" s="18">
        <f>(6433.0/B33*100)</f>
        <v/>
      </c>
      <c r="D33" s="19" t="n">
        <v>892</v>
      </c>
      <c r="E33" s="18" t="n">
        <v>45.25109778</v>
      </c>
      <c r="F33" s="20" t="n">
        <v>1.92320164</v>
      </c>
      <c r="G33" s="18" t="n">
        <v>54.32038771</v>
      </c>
      <c r="H33" s="20" t="n">
        <v>1.90972948</v>
      </c>
      <c r="I33" s="18" t="n">
        <v>0</v>
      </c>
      <c r="J33" s="20" t="n">
        <v>0</v>
      </c>
      <c r="K33" s="18" t="n">
        <v>0</v>
      </c>
      <c r="L33" s="20" t="n">
        <v>0</v>
      </c>
      <c r="M33" s="18" t="n">
        <v>0</v>
      </c>
      <c r="N33" s="20" t="n">
        <v>0</v>
      </c>
      <c r="O33" s="18" t="n">
        <v>0</v>
      </c>
      <c r="P33" s="20" t="n">
        <v>0</v>
      </c>
      <c r="Q33" s="18" t="n">
        <v>0.42851451</v>
      </c>
      <c r="R33" s="20" t="n">
        <v>0.32374774</v>
      </c>
    </row>
    <row r="34" spans="1:18">
      <c r="A34" s="15" t="s">
        <v>456</v>
      </c>
      <c r="B34" s="17" t="n">
        <v>6350</v>
      </c>
      <c r="C34" s="18">
        <f>(5623.0/B34*100)</f>
        <v/>
      </c>
      <c r="D34" s="19" t="n">
        <v>727</v>
      </c>
      <c r="E34" s="18" t="n">
        <v>51.21235153</v>
      </c>
      <c r="F34" s="20" t="n">
        <v>1.86896104</v>
      </c>
      <c r="G34" s="18" t="n">
        <v>47.39444892</v>
      </c>
      <c r="H34" s="20" t="n">
        <v>1.85834803</v>
      </c>
      <c r="I34" s="18" t="n">
        <v>0</v>
      </c>
      <c r="J34" s="20" t="n">
        <v>0</v>
      </c>
      <c r="K34" s="18" t="n">
        <v>0.0435162</v>
      </c>
      <c r="L34" s="20" t="n">
        <v>0.04369053</v>
      </c>
      <c r="M34" s="18" t="n">
        <v>0</v>
      </c>
      <c r="N34" s="20" t="n">
        <v>0</v>
      </c>
      <c r="O34" s="18" t="n">
        <v>0</v>
      </c>
      <c r="P34" s="20" t="n">
        <v>0</v>
      </c>
      <c r="Q34" s="18" t="n">
        <v>1.34968334</v>
      </c>
      <c r="R34" s="20" t="n">
        <v>0.50881432</v>
      </c>
    </row>
    <row r="35" spans="1:18">
      <c r="A35" s="15" t="s">
        <v>457</v>
      </c>
      <c r="B35" s="17" t="n">
        <v>6406</v>
      </c>
      <c r="C35" s="18">
        <f>(5647.0/B35*100)</f>
        <v/>
      </c>
      <c r="D35" s="19" t="n">
        <v>759</v>
      </c>
      <c r="E35" s="18" t="n">
        <v>46.86917242</v>
      </c>
      <c r="F35" s="20" t="n">
        <v>2.37647853</v>
      </c>
      <c r="G35" s="18" t="n">
        <v>51.73441144</v>
      </c>
      <c r="H35" s="20" t="n">
        <v>2.31988248</v>
      </c>
      <c r="I35" s="18" t="n">
        <v>0</v>
      </c>
      <c r="J35" s="20" t="n">
        <v>0</v>
      </c>
      <c r="K35" s="18" t="n">
        <v>0.0773997</v>
      </c>
      <c r="L35" s="20" t="n">
        <v>0.07675497000000001</v>
      </c>
      <c r="M35" s="18" t="n">
        <v>0</v>
      </c>
      <c r="N35" s="20" t="n">
        <v>0</v>
      </c>
      <c r="O35" s="18" t="n">
        <v>0</v>
      </c>
      <c r="P35" s="20" t="n">
        <v>0</v>
      </c>
      <c r="Q35" s="18" t="n">
        <v>1.31901644</v>
      </c>
      <c r="R35" s="20" t="n">
        <v>0.4710898</v>
      </c>
    </row>
    <row r="36" spans="1:18">
      <c r="A36" s="15" t="s">
        <v>458</v>
      </c>
      <c r="B36" s="17" t="n">
        <v>6736</v>
      </c>
      <c r="C36" s="18">
        <f>(5917.0/B36*100)</f>
        <v/>
      </c>
      <c r="D36" s="19" t="n">
        <v>819</v>
      </c>
      <c r="E36" s="18" t="n">
        <v>37.19855648</v>
      </c>
      <c r="F36" s="20" t="n">
        <v>2.17477288</v>
      </c>
      <c r="G36" s="18" t="n">
        <v>60.34520077</v>
      </c>
      <c r="H36" s="20" t="n">
        <v>2.03478292</v>
      </c>
      <c r="I36" s="18" t="n">
        <v>0</v>
      </c>
      <c r="J36" s="20" t="n">
        <v>0</v>
      </c>
      <c r="K36" s="18" t="n">
        <v>0.40471337</v>
      </c>
      <c r="L36" s="20" t="n">
        <v>0.1973234</v>
      </c>
      <c r="M36" s="18" t="n">
        <v>0</v>
      </c>
      <c r="N36" s="20" t="n">
        <v>0</v>
      </c>
      <c r="O36" s="18" t="n">
        <v>0</v>
      </c>
      <c r="P36" s="20" t="n">
        <v>0</v>
      </c>
      <c r="Q36" s="18" t="n">
        <v>2.05152938</v>
      </c>
      <c r="R36" s="20" t="n">
        <v>0.62014191</v>
      </c>
    </row>
    <row r="37" spans="1:18">
      <c r="A37" s="15" t="s">
        <v>459</v>
      </c>
      <c r="B37" s="17" t="n">
        <v>5458</v>
      </c>
      <c r="C37" s="18">
        <f>(4777.0/B37*100)</f>
        <v/>
      </c>
      <c r="D37" s="19" t="n">
        <v>681</v>
      </c>
      <c r="E37" s="18" t="n">
        <v>52.65829531</v>
      </c>
      <c r="F37" s="20" t="n">
        <v>1.75917673</v>
      </c>
      <c r="G37" s="18" t="n">
        <v>45.07029851</v>
      </c>
      <c r="H37" s="20" t="n">
        <v>1.93633166</v>
      </c>
      <c r="I37" s="18" t="n">
        <v>0</v>
      </c>
      <c r="J37" s="20" t="n">
        <v>0</v>
      </c>
      <c r="K37" s="18" t="n">
        <v>0.11256427</v>
      </c>
      <c r="L37" s="20" t="n">
        <v>0.11269845</v>
      </c>
      <c r="M37" s="18" t="n">
        <v>0</v>
      </c>
      <c r="N37" s="20" t="n">
        <v>0</v>
      </c>
      <c r="O37" s="18" t="n">
        <v>0</v>
      </c>
      <c r="P37" s="20" t="n">
        <v>0</v>
      </c>
      <c r="Q37" s="18" t="n">
        <v>2.15884192</v>
      </c>
      <c r="R37" s="20" t="n">
        <v>0.63622373</v>
      </c>
    </row>
    <row r="38" spans="1:18">
      <c r="A38" s="15" t="s">
        <v>460</v>
      </c>
      <c r="B38" s="17" t="n">
        <v>5860</v>
      </c>
      <c r="C38" s="18">
        <f>(4865.0/B38*100)</f>
        <v/>
      </c>
      <c r="D38" s="19" t="n">
        <v>995</v>
      </c>
      <c r="E38" s="18" t="n">
        <v>38.92596625</v>
      </c>
      <c r="F38" s="20" t="n">
        <v>1.90146902</v>
      </c>
      <c r="G38" s="18" t="n">
        <v>58.12842028</v>
      </c>
      <c r="H38" s="20" t="n">
        <v>1.87058378</v>
      </c>
      <c r="I38" s="18" t="n">
        <v>0</v>
      </c>
      <c r="J38" s="20" t="n">
        <v>0</v>
      </c>
      <c r="K38" s="18" t="n">
        <v>0.46218054</v>
      </c>
      <c r="L38" s="20" t="n">
        <v>0.30577984</v>
      </c>
      <c r="M38" s="18" t="n">
        <v>0</v>
      </c>
      <c r="N38" s="20" t="n">
        <v>0</v>
      </c>
      <c r="O38" s="18" t="n">
        <v>0</v>
      </c>
      <c r="P38" s="20" t="n">
        <v>0</v>
      </c>
      <c r="Q38" s="18" t="n">
        <v>2.48343294</v>
      </c>
      <c r="R38" s="20" t="n">
        <v>0.57316478</v>
      </c>
    </row>
    <row r="39" spans="1:18">
      <c r="A39" s="15" t="s">
        <v>461</v>
      </c>
      <c r="B39" s="17" t="n">
        <v>5895</v>
      </c>
      <c r="C39" s="18">
        <f>(5160.0/B39*100)</f>
        <v/>
      </c>
      <c r="D39" s="19" t="n">
        <v>735</v>
      </c>
      <c r="E39" s="18" t="n">
        <v>58.97446554</v>
      </c>
      <c r="F39" s="20" t="n">
        <v>2.09767642</v>
      </c>
      <c r="G39" s="18" t="n">
        <v>38.72173032</v>
      </c>
      <c r="H39" s="20" t="n">
        <v>2.14665562</v>
      </c>
      <c r="I39" s="18" t="n">
        <v>0</v>
      </c>
      <c r="J39" s="20" t="n">
        <v>0</v>
      </c>
      <c r="K39" s="18" t="n">
        <v>0</v>
      </c>
      <c r="L39" s="20" t="n">
        <v>0</v>
      </c>
      <c r="M39" s="18" t="n">
        <v>0</v>
      </c>
      <c r="N39" s="20" t="n">
        <v>0</v>
      </c>
      <c r="O39" s="18" t="n">
        <v>0</v>
      </c>
      <c r="P39" s="20" t="n">
        <v>0</v>
      </c>
      <c r="Q39" s="18" t="n">
        <v>2.30380414</v>
      </c>
      <c r="R39" s="20" t="n">
        <v>0.57164286</v>
      </c>
    </row>
    <row r="40" spans="1:18">
      <c r="A40" s="15" t="s">
        <v>462</v>
      </c>
      <c r="B40" s="17" t="n">
        <v>14157</v>
      </c>
      <c r="C40" s="18">
        <f>(12441.0/B40*100)</f>
        <v/>
      </c>
      <c r="D40" s="19" t="n">
        <v>1716</v>
      </c>
      <c r="E40" s="18" t="n">
        <v>44.52268112</v>
      </c>
      <c r="F40" s="20" t="n">
        <v>2.02401358</v>
      </c>
      <c r="G40" s="18" t="n">
        <v>53.47886892</v>
      </c>
      <c r="H40" s="20" t="n">
        <v>1.94822986</v>
      </c>
      <c r="I40" s="18" t="n">
        <v>0</v>
      </c>
      <c r="J40" s="20" t="n">
        <v>0</v>
      </c>
      <c r="K40" s="18" t="n">
        <v>0.36789347</v>
      </c>
      <c r="L40" s="20" t="n">
        <v>0.24702831</v>
      </c>
      <c r="M40" s="18" t="n">
        <v>0</v>
      </c>
      <c r="N40" s="20" t="n">
        <v>0</v>
      </c>
      <c r="O40" s="18" t="n">
        <v>0</v>
      </c>
      <c r="P40" s="20" t="n">
        <v>0</v>
      </c>
      <c r="Q40" s="18" t="n">
        <v>1.63055649</v>
      </c>
      <c r="R40" s="20" t="n">
        <v>0.48863035</v>
      </c>
    </row>
    <row r="41" spans="1:18">
      <c r="A41" s="15" t="s">
        <v>463</v>
      </c>
      <c r="B41" s="17" t="n">
        <v>5712</v>
      </c>
      <c r="C41" s="18">
        <f>(5004.0/B41*100)</f>
        <v/>
      </c>
      <c r="D41" s="19" t="n">
        <v>708</v>
      </c>
      <c r="E41" s="18" t="n">
        <v>42.79656744</v>
      </c>
      <c r="F41" s="20" t="n">
        <v>1.7916756</v>
      </c>
      <c r="G41" s="18" t="n">
        <v>56.90173871</v>
      </c>
      <c r="H41" s="20" t="n">
        <v>1.82818207</v>
      </c>
      <c r="I41" s="18" t="n">
        <v>0</v>
      </c>
      <c r="J41" s="20" t="n">
        <v>0</v>
      </c>
      <c r="K41" s="18" t="n">
        <v>0</v>
      </c>
      <c r="L41" s="20" t="n">
        <v>0</v>
      </c>
      <c r="M41" s="18" t="n">
        <v>0</v>
      </c>
      <c r="N41" s="20" t="n">
        <v>0</v>
      </c>
      <c r="O41" s="18" t="n">
        <v>0</v>
      </c>
      <c r="P41" s="20" t="n">
        <v>0</v>
      </c>
      <c r="Q41" s="18" t="n">
        <v>0.30169385</v>
      </c>
      <c r="R41" s="20" t="n">
        <v>0.21103936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(20441.0/B46*100)</f>
        <v/>
      </c>
      <c r="D46" s="19" t="n">
        <v>2700</v>
      </c>
      <c r="E46" s="18" t="n">
        <v>57.824668</v>
      </c>
      <c r="F46" s="20" t="n">
        <v>1.17684251</v>
      </c>
      <c r="G46" s="18" t="n">
        <v>39.50238414</v>
      </c>
      <c r="H46" s="20" t="n">
        <v>1.18971503</v>
      </c>
      <c r="I46" s="18" t="n">
        <v>0</v>
      </c>
      <c r="J46" s="20" t="n">
        <v>0</v>
      </c>
      <c r="K46" s="18" t="n">
        <v>0.34700299</v>
      </c>
      <c r="L46" s="20" t="n">
        <v>0.10097644</v>
      </c>
      <c r="M46" s="18" t="n">
        <v>0</v>
      </c>
      <c r="N46" s="20" t="n">
        <v>0</v>
      </c>
      <c r="O46" s="18" t="n">
        <v>0</v>
      </c>
      <c r="P46" s="20" t="n">
        <v>0</v>
      </c>
      <c r="Q46" s="18" t="n">
        <v>2.32594486</v>
      </c>
      <c r="R46" s="20" t="n">
        <v>0.35922097</v>
      </c>
    </row>
    <row r="47" spans="1:18">
      <c r="A47" s="15" t="s">
        <v>470</v>
      </c>
      <c r="B47" s="17" t="n">
        <v>5928</v>
      </c>
      <c r="C47" s="18">
        <f>(5223.0/B47*100)</f>
        <v/>
      </c>
      <c r="D47" s="19" t="n">
        <v>705</v>
      </c>
      <c r="E47" s="18" t="n">
        <v>56.8531568</v>
      </c>
      <c r="F47" s="20" t="n">
        <v>1.90253027</v>
      </c>
      <c r="G47" s="18" t="n">
        <v>41.4536227</v>
      </c>
      <c r="H47" s="20" t="n">
        <v>1.97407487</v>
      </c>
      <c r="I47" s="18" t="n">
        <v>0</v>
      </c>
      <c r="J47" s="20" t="n">
        <v>0</v>
      </c>
      <c r="K47" s="18" t="n">
        <v>0</v>
      </c>
      <c r="L47" s="20" t="n">
        <v>0</v>
      </c>
      <c r="M47" s="18" t="n">
        <v>0</v>
      </c>
      <c r="N47" s="20" t="n">
        <v>0</v>
      </c>
      <c r="O47" s="18" t="n">
        <v>0</v>
      </c>
      <c r="P47" s="20" t="n">
        <v>0</v>
      </c>
      <c r="Q47" s="18" t="n">
        <v>1.69322049</v>
      </c>
      <c r="R47" s="20" t="n">
        <v>0.46979701</v>
      </c>
    </row>
    <row r="48" spans="1:18">
      <c r="A48" s="15" t="s">
        <v>471</v>
      </c>
      <c r="B48" s="17" t="n">
        <v>9841</v>
      </c>
      <c r="C48" s="18">
        <f>(8639.0/B48*100)</f>
        <v/>
      </c>
      <c r="D48" s="19" t="n">
        <v>1202</v>
      </c>
      <c r="E48" s="18" t="n">
        <v>39.61208627</v>
      </c>
      <c r="F48" s="20" t="n">
        <v>1.79767896</v>
      </c>
      <c r="G48" s="18" t="n">
        <v>58.12513985</v>
      </c>
      <c r="H48" s="20" t="n">
        <v>1.83832985</v>
      </c>
      <c r="I48" s="18" t="n">
        <v>0</v>
      </c>
      <c r="J48" s="20" t="n">
        <v>0</v>
      </c>
      <c r="K48" s="18" t="n">
        <v>0.26914107</v>
      </c>
      <c r="L48" s="20" t="n">
        <v>0.1686374</v>
      </c>
      <c r="M48" s="18" t="n">
        <v>0</v>
      </c>
      <c r="N48" s="20" t="n">
        <v>0</v>
      </c>
      <c r="O48" s="18" t="n">
        <v>0</v>
      </c>
      <c r="P48" s="20" t="n">
        <v>0</v>
      </c>
      <c r="Q48" s="18" t="n">
        <v>1.99363281</v>
      </c>
      <c r="R48" s="20" t="n">
        <v>0.45233926</v>
      </c>
    </row>
    <row r="49" spans="1:18">
      <c r="A49" s="15" t="s">
        <v>472</v>
      </c>
      <c r="B49" s="17" t="n">
        <v>11795</v>
      </c>
      <c r="C49" s="18">
        <f>(10355.0/B49*100)</f>
        <v/>
      </c>
      <c r="D49" s="19" t="n">
        <v>1440</v>
      </c>
      <c r="E49" s="18" t="n">
        <v>54.57202465</v>
      </c>
      <c r="F49" s="20" t="n">
        <v>1.93876233</v>
      </c>
      <c r="G49" s="18" t="n">
        <v>43.44855506</v>
      </c>
      <c r="H49" s="20" t="n">
        <v>1.77717437</v>
      </c>
      <c r="I49" s="18" t="n">
        <v>0</v>
      </c>
      <c r="J49" s="20" t="n">
        <v>0</v>
      </c>
      <c r="K49" s="18" t="n">
        <v>0.25641633</v>
      </c>
      <c r="L49" s="20" t="n">
        <v>0.14900776</v>
      </c>
      <c r="M49" s="18" t="n">
        <v>0</v>
      </c>
      <c r="N49" s="20" t="n">
        <v>0</v>
      </c>
      <c r="O49" s="18" t="n">
        <v>0</v>
      </c>
      <c r="P49" s="20" t="n">
        <v>0</v>
      </c>
      <c r="Q49" s="18" t="n">
        <v>1.72300396</v>
      </c>
      <c r="R49" s="20" t="n">
        <v>0.52731223</v>
      </c>
    </row>
    <row r="50" spans="1:18">
      <c r="A50" s="15" t="s">
        <v>473</v>
      </c>
      <c r="B50" s="17" t="n">
        <v>6866</v>
      </c>
      <c r="C50" s="18">
        <f>(6139.0/B50*100)</f>
        <v/>
      </c>
      <c r="D50" s="19" t="n">
        <v>727</v>
      </c>
      <c r="E50" s="18" t="n">
        <v>59.85461372</v>
      </c>
      <c r="F50" s="20" t="n">
        <v>1.97223206</v>
      </c>
      <c r="G50" s="18" t="n">
        <v>36.67665953</v>
      </c>
      <c r="H50" s="20" t="n">
        <v>1.92905167</v>
      </c>
      <c r="I50" s="18" t="n">
        <v>0</v>
      </c>
      <c r="J50" s="20" t="n">
        <v>0</v>
      </c>
      <c r="K50" s="18" t="n">
        <v>0.41716768</v>
      </c>
      <c r="L50" s="20" t="n">
        <v>0.27709169</v>
      </c>
      <c r="M50" s="18" t="n">
        <v>0</v>
      </c>
      <c r="N50" s="20" t="n">
        <v>0</v>
      </c>
      <c r="O50" s="18" t="n">
        <v>0</v>
      </c>
      <c r="P50" s="20" t="n">
        <v>0</v>
      </c>
      <c r="Q50" s="18" t="n">
        <v>3.05155907</v>
      </c>
      <c r="R50" s="20" t="n">
        <v>0.7415239300000001</v>
      </c>
    </row>
    <row r="51" spans="1:18">
      <c r="A51" s="15" t="s">
        <v>474</v>
      </c>
      <c r="B51" s="17" t="n">
        <v>5809</v>
      </c>
      <c r="C51" s="18">
        <f>(5092.0/B51*100)</f>
        <v/>
      </c>
      <c r="D51" s="19" t="n">
        <v>717</v>
      </c>
      <c r="E51" s="18" t="n">
        <v>52.25505419</v>
      </c>
      <c r="F51" s="20" t="n">
        <v>1.94552814</v>
      </c>
      <c r="G51" s="18" t="n">
        <v>47.0605835</v>
      </c>
      <c r="H51" s="20" t="n">
        <v>1.97151773</v>
      </c>
      <c r="I51" s="18" t="n">
        <v>0</v>
      </c>
      <c r="J51" s="20" t="n">
        <v>0</v>
      </c>
      <c r="K51" s="18" t="n">
        <v>0</v>
      </c>
      <c r="L51" s="20" t="n">
        <v>0</v>
      </c>
      <c r="M51" s="18" t="n">
        <v>0</v>
      </c>
      <c r="N51" s="20" t="n">
        <v>0</v>
      </c>
      <c r="O51" s="18" t="n">
        <v>0</v>
      </c>
      <c r="P51" s="20" t="n">
        <v>0</v>
      </c>
      <c r="Q51" s="18" t="n">
        <v>0.68436231</v>
      </c>
      <c r="R51" s="20" t="n">
        <v>0.3309934</v>
      </c>
    </row>
    <row r="52" spans="1:18">
      <c r="A52" s="15" t="s">
        <v>475</v>
      </c>
      <c r="B52" s="17" t="n">
        <v>5571</v>
      </c>
      <c r="C52" s="18">
        <f>(4878.0/B52*100)</f>
        <v/>
      </c>
      <c r="D52" s="19" t="n">
        <v>693</v>
      </c>
      <c r="E52" s="18" t="n">
        <v>51.14323571</v>
      </c>
      <c r="F52" s="20" t="n">
        <v>2.14465978</v>
      </c>
      <c r="G52" s="18" t="n">
        <v>46.04966886</v>
      </c>
      <c r="H52" s="20" t="n">
        <v>2.10990626</v>
      </c>
      <c r="I52" s="18" t="n">
        <v>0</v>
      </c>
      <c r="J52" s="20" t="n">
        <v>0</v>
      </c>
      <c r="K52" s="18" t="n">
        <v>0</v>
      </c>
      <c r="L52" s="20" t="n">
        <v>0</v>
      </c>
      <c r="M52" s="18" t="n">
        <v>0</v>
      </c>
      <c r="N52" s="20" t="n">
        <v>0</v>
      </c>
      <c r="O52" s="18" t="n">
        <v>0</v>
      </c>
      <c r="P52" s="20" t="n">
        <v>0</v>
      </c>
      <c r="Q52" s="18" t="n">
        <v>2.80709543</v>
      </c>
      <c r="R52" s="20" t="n">
        <v>0.70096851</v>
      </c>
    </row>
    <row r="53" spans="1:18">
      <c r="A53" s="15" t="s">
        <v>476</v>
      </c>
      <c r="B53" s="17" t="n">
        <v>4740</v>
      </c>
      <c r="C53" s="18">
        <f>(3950.0/B53*100)</f>
        <v/>
      </c>
      <c r="D53" s="19" t="n">
        <v>790</v>
      </c>
      <c r="E53" s="18" t="n">
        <v>58.22948959</v>
      </c>
      <c r="F53" s="20" t="n">
        <v>1.87575688</v>
      </c>
      <c r="G53" s="18" t="n">
        <v>29.71588012</v>
      </c>
      <c r="H53" s="20" t="n">
        <v>1.6290765</v>
      </c>
      <c r="I53" s="18" t="n">
        <v>0</v>
      </c>
      <c r="J53" s="20" t="n">
        <v>0</v>
      </c>
      <c r="K53" s="18" t="n">
        <v>3.28175045</v>
      </c>
      <c r="L53" s="20" t="n">
        <v>0.75246013</v>
      </c>
      <c r="M53" s="18" t="n">
        <v>0</v>
      </c>
      <c r="N53" s="20" t="n">
        <v>0</v>
      </c>
      <c r="O53" s="18" t="n">
        <v>0</v>
      </c>
      <c r="P53" s="20" t="n">
        <v>0</v>
      </c>
      <c r="Q53" s="18" t="n">
        <v>8.772879850000001</v>
      </c>
      <c r="R53" s="20" t="n">
        <v>1.13192123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(4695.0/B55*100)</f>
        <v/>
      </c>
      <c r="D55" s="19" t="n">
        <v>664</v>
      </c>
      <c r="E55" s="18" t="n">
        <v>61.45644726</v>
      </c>
      <c r="F55" s="20" t="n">
        <v>2.17773603</v>
      </c>
      <c r="G55" s="18" t="n">
        <v>37.28936395</v>
      </c>
      <c r="H55" s="20" t="n">
        <v>2.18710974</v>
      </c>
      <c r="I55" s="18" t="n">
        <v>0</v>
      </c>
      <c r="J55" s="20" t="n">
        <v>0</v>
      </c>
      <c r="K55" s="18" t="n">
        <v>0.12710789</v>
      </c>
      <c r="L55" s="20" t="n">
        <v>0.12726032</v>
      </c>
      <c r="M55" s="18" t="n">
        <v>0</v>
      </c>
      <c r="N55" s="20" t="n">
        <v>0</v>
      </c>
      <c r="O55" s="18" t="n">
        <v>0</v>
      </c>
      <c r="P55" s="20" t="n">
        <v>0</v>
      </c>
      <c r="Q55" s="18" t="n">
        <v>1.12708089</v>
      </c>
      <c r="R55" s="20" t="n">
        <v>0.43008414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(5748.0/B61*100)</f>
        <v/>
      </c>
      <c r="D61" s="19" t="n">
        <v>777</v>
      </c>
      <c r="E61" s="18" t="n">
        <v>54.68358373</v>
      </c>
      <c r="F61" s="20" t="n">
        <v>1.87678806</v>
      </c>
      <c r="G61" s="18" t="n">
        <v>44.38372626</v>
      </c>
      <c r="H61" s="20" t="n">
        <v>1.93020048</v>
      </c>
      <c r="I61" s="18" t="n">
        <v>0</v>
      </c>
      <c r="J61" s="20" t="n">
        <v>0</v>
      </c>
      <c r="K61" s="18" t="n">
        <v>0</v>
      </c>
      <c r="L61" s="20" t="n">
        <v>0</v>
      </c>
      <c r="M61" s="18" t="n">
        <v>0</v>
      </c>
      <c r="N61" s="20" t="n">
        <v>0</v>
      </c>
      <c r="O61" s="18" t="n">
        <v>0</v>
      </c>
      <c r="P61" s="20" t="n">
        <v>0</v>
      </c>
      <c r="Q61" s="18" t="n">
        <v>0.93269001</v>
      </c>
      <c r="R61" s="20" t="n">
        <v>0.42597125</v>
      </c>
    </row>
    <row r="62" spans="1:18">
      <c r="A62" s="15" t="s">
        <v>486</v>
      </c>
      <c r="B62" s="17" t="n">
        <v>4476</v>
      </c>
      <c r="C62" s="18">
        <f>(3921.0/B62*100)</f>
        <v/>
      </c>
      <c r="D62" s="19" t="n">
        <v>555</v>
      </c>
      <c r="E62" s="18" t="n">
        <v>44.73297776</v>
      </c>
      <c r="F62" s="20" t="n">
        <v>2.0315892</v>
      </c>
      <c r="G62" s="18" t="n">
        <v>55.08207276</v>
      </c>
      <c r="H62" s="20" t="n">
        <v>2.02152277</v>
      </c>
      <c r="I62" s="18" t="n">
        <v>0</v>
      </c>
      <c r="J62" s="20" t="n">
        <v>0</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(4965.0/B67*100)</f>
        <v/>
      </c>
      <c r="D67" s="19" t="n">
        <v>700</v>
      </c>
      <c r="E67" s="18" t="n">
        <v>60.47730787</v>
      </c>
      <c r="F67" s="20" t="n">
        <v>1.64069988</v>
      </c>
      <c r="G67" s="18" t="n">
        <v>34.34421492</v>
      </c>
      <c r="H67" s="20" t="n">
        <v>1.62424695</v>
      </c>
      <c r="I67" s="18" t="n">
        <v>0</v>
      </c>
      <c r="J67" s="20" t="n">
        <v>0</v>
      </c>
      <c r="K67" s="18" t="n">
        <v>0.43936831</v>
      </c>
      <c r="L67" s="20" t="n">
        <v>0.2568272</v>
      </c>
      <c r="M67" s="18" t="n">
        <v>0</v>
      </c>
      <c r="N67" s="20" t="n">
        <v>0</v>
      </c>
      <c r="O67" s="18" t="n">
        <v>0</v>
      </c>
      <c r="P67" s="20" t="n">
        <v>0</v>
      </c>
      <c r="Q67" s="18" t="n">
        <v>4.7391089</v>
      </c>
      <c r="R67" s="20" t="n">
        <v>0.79757645</v>
      </c>
    </row>
    <row r="68" spans="1:18">
      <c r="A68" s="15" t="s">
        <v>492</v>
      </c>
      <c r="B68" s="17" t="n">
        <v>6971</v>
      </c>
      <c r="C68" s="18">
        <f>(6132.0/B68*100)</f>
        <v/>
      </c>
      <c r="D68" s="19" t="n">
        <v>839</v>
      </c>
      <c r="E68" s="18" t="n">
        <v>50.97306031</v>
      </c>
      <c r="F68" s="20" t="n">
        <v>1.89011152</v>
      </c>
      <c r="G68" s="18" t="n">
        <v>46.59537353</v>
      </c>
      <c r="H68" s="20" t="n">
        <v>1.84740229</v>
      </c>
      <c r="I68" s="18" t="n">
        <v>0</v>
      </c>
      <c r="J68" s="20" t="n">
        <v>0</v>
      </c>
      <c r="K68" s="18" t="n">
        <v>0.09024306999999999</v>
      </c>
      <c r="L68" s="20" t="n">
        <v>0.09000031</v>
      </c>
      <c r="M68" s="18" t="n">
        <v>0</v>
      </c>
      <c r="N68" s="20" t="n">
        <v>0</v>
      </c>
      <c r="O68" s="18" t="n">
        <v>0</v>
      </c>
      <c r="P68" s="20" t="n">
        <v>0</v>
      </c>
      <c r="Q68" s="18" t="n">
        <v>2.34132309</v>
      </c>
      <c r="R68" s="20" t="n">
        <v>0.52528136</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51.06363236</v>
      </c>
      <c r="F70" s="20" t="n">
        <v>1.086458</v>
      </c>
      <c r="G70" s="18" t="n">
        <v>41.68425261</v>
      </c>
      <c r="H70" s="20" t="n">
        <v>1.05804595</v>
      </c>
      <c r="I70" s="18" t="n">
        <v>0</v>
      </c>
      <c r="J70" s="20" t="n">
        <v>0</v>
      </c>
      <c r="K70" s="18" t="n">
        <v>1.22324045</v>
      </c>
      <c r="L70" s="20" t="n">
        <v>0.25886531</v>
      </c>
      <c r="M70" s="18" t="n">
        <v>0</v>
      </c>
      <c r="N70" s="20" t="n">
        <v>0</v>
      </c>
      <c r="O70" s="18" t="n">
        <v>0</v>
      </c>
      <c r="P70" s="20" t="n">
        <v>0</v>
      </c>
      <c r="Q70" s="18" t="n">
        <v>6.02887457</v>
      </c>
      <c r="R70" s="20" t="n">
        <v>0.47751498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(5321.0/B72*100)</f>
        <v/>
      </c>
      <c r="D72" s="19" t="n">
        <v>715</v>
      </c>
      <c r="E72" s="18" t="n">
        <v>52.14088948</v>
      </c>
      <c r="F72" s="20" t="n">
        <v>1.60813504</v>
      </c>
      <c r="G72" s="18" t="n">
        <v>46.79765133</v>
      </c>
      <c r="H72" s="20" t="n">
        <v>1.68883546</v>
      </c>
      <c r="I72" s="18" t="n">
        <v>0</v>
      </c>
      <c r="J72" s="20" t="n">
        <v>0</v>
      </c>
      <c r="K72" s="18" t="n">
        <v>0.12742183</v>
      </c>
      <c r="L72" s="20" t="n">
        <v>0.12558484</v>
      </c>
      <c r="M72" s="18" t="n">
        <v>0</v>
      </c>
      <c r="N72" s="20" t="n">
        <v>0</v>
      </c>
      <c r="O72" s="18" t="n">
        <v>0</v>
      </c>
      <c r="P72" s="20" t="n">
        <v>0</v>
      </c>
      <c r="Q72" s="18" t="n">
        <v>0.93403736</v>
      </c>
      <c r="R72" s="20" t="n">
        <v>0.36057269</v>
      </c>
    </row>
    <row r="73" spans="1:18">
      <c r="A73" s="15" t="s">
        <v>497</v>
      </c>
      <c r="B73" s="17" t="n">
        <v>6115</v>
      </c>
      <c r="C73" s="18">
        <f>(5339.0/B73*100)</f>
        <v/>
      </c>
      <c r="D73" s="19" t="n">
        <v>776</v>
      </c>
      <c r="E73" s="18" t="n">
        <v>37.22623574</v>
      </c>
      <c r="F73" s="20" t="n">
        <v>1.60190259</v>
      </c>
      <c r="G73" s="18" t="n">
        <v>62.39251173</v>
      </c>
      <c r="H73" s="20" t="n">
        <v>1.60918184</v>
      </c>
      <c r="I73" s="18" t="n">
        <v>0</v>
      </c>
      <c r="J73" s="20" t="n">
        <v>0</v>
      </c>
      <c r="K73" s="18" t="n">
        <v>0</v>
      </c>
      <c r="L73" s="20" t="n">
        <v>0</v>
      </c>
      <c r="M73" s="18" t="n">
        <v>0</v>
      </c>
      <c r="N73" s="20" t="n">
        <v>0</v>
      </c>
      <c r="O73" s="18" t="n">
        <v>0</v>
      </c>
      <c r="P73" s="20" t="n">
        <v>0</v>
      </c>
      <c r="Q73" s="18" t="n">
        <v>0.38125253</v>
      </c>
      <c r="R73" s="20" t="n">
        <v>0.22201286</v>
      </c>
    </row>
    <row r="74" spans="1:18">
      <c r="A74" s="15" t="s">
        <v>498</v>
      </c>
      <c r="B74" s="17" t="n">
        <v>7708</v>
      </c>
      <c r="C74" s="18">
        <f>(6753.0/B74*100)</f>
        <v/>
      </c>
      <c r="D74" s="19" t="n">
        <v>955</v>
      </c>
      <c r="E74" s="18" t="n">
        <v>42.07818309</v>
      </c>
      <c r="F74" s="20" t="n">
        <v>1.81278908</v>
      </c>
      <c r="G74" s="18" t="n">
        <v>56.98123717</v>
      </c>
      <c r="H74" s="20" t="n">
        <v>1.87207516</v>
      </c>
      <c r="I74" s="18" t="n">
        <v>0</v>
      </c>
      <c r="J74" s="20" t="n">
        <v>0</v>
      </c>
      <c r="K74" s="18" t="n">
        <v>0.08315599999999999</v>
      </c>
      <c r="L74" s="20" t="n">
        <v>0.08335939000000001</v>
      </c>
      <c r="M74" s="18" t="n">
        <v>0</v>
      </c>
      <c r="N74" s="20" t="n">
        <v>0</v>
      </c>
      <c r="O74" s="18" t="n">
        <v>0</v>
      </c>
      <c r="P74" s="20" t="n">
        <v>0</v>
      </c>
      <c r="Q74" s="18" t="n">
        <v>0.85742374</v>
      </c>
      <c r="R74" s="20" t="n">
        <v>0.31376994</v>
      </c>
    </row>
    <row r="75" spans="1:18">
      <c r="A75" s="15" t="s">
        <v>499</v>
      </c>
      <c r="B75" s="17" t="n">
        <v>8249</v>
      </c>
      <c r="C75" s="18">
        <f>(7246.0/B75*100)</f>
        <v/>
      </c>
      <c r="D75" s="19" t="n">
        <v>1003</v>
      </c>
      <c r="E75" s="18" t="n">
        <v>66.01972704000001</v>
      </c>
      <c r="F75" s="20" t="n">
        <v>1.7893661</v>
      </c>
      <c r="G75" s="18" t="n">
        <v>32.70016599</v>
      </c>
      <c r="H75" s="20" t="n">
        <v>1.78477463</v>
      </c>
      <c r="I75" s="18" t="n">
        <v>0</v>
      </c>
      <c r="J75" s="20" t="n">
        <v>0</v>
      </c>
      <c r="K75" s="18" t="n">
        <v>0.14756085</v>
      </c>
      <c r="L75" s="20" t="n">
        <v>0.14748104</v>
      </c>
      <c r="M75" s="18" t="n">
        <v>0</v>
      </c>
      <c r="N75" s="20" t="n">
        <v>0</v>
      </c>
      <c r="O75" s="18" t="n">
        <v>0</v>
      </c>
      <c r="P75" s="20" t="n">
        <v>0</v>
      </c>
      <c r="Q75" s="18" t="n">
        <v>1.13254613</v>
      </c>
      <c r="R75" s="20" t="n">
        <v>0.40877149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(4748.0/B77*100)</f>
        <v/>
      </c>
      <c r="D77" s="19" t="n">
        <v>627</v>
      </c>
      <c r="E77" s="18" t="n">
        <v>49.82383412</v>
      </c>
      <c r="F77" s="20" t="n">
        <v>1.96898245</v>
      </c>
      <c r="G77" s="18" t="n">
        <v>44.61190771</v>
      </c>
      <c r="H77" s="20" t="n">
        <v>2.04478211</v>
      </c>
      <c r="I77" s="18" t="n">
        <v>0</v>
      </c>
      <c r="J77" s="20" t="n">
        <v>0</v>
      </c>
      <c r="K77" s="18" t="n">
        <v>0.91559205</v>
      </c>
      <c r="L77" s="20" t="n">
        <v>0.35785173</v>
      </c>
      <c r="M77" s="18" t="n">
        <v>0</v>
      </c>
      <c r="N77" s="20" t="n">
        <v>0</v>
      </c>
      <c r="O77" s="18" t="n">
        <v>0</v>
      </c>
      <c r="P77" s="20" t="n">
        <v>0</v>
      </c>
      <c r="Q77" s="18" t="n">
        <v>4.64866613</v>
      </c>
      <c r="R77" s="20" t="n">
        <v>0.84143595</v>
      </c>
    </row>
    <row r="78" spans="1:18">
      <c r="A78" s="15" t="s">
        <v>502</v>
      </c>
      <c r="B78" s="17" t="n">
        <v>14167</v>
      </c>
      <c r="C78" s="18">
        <f>(12404.0/B78*100)</f>
        <v/>
      </c>
      <c r="D78" s="19" t="n">
        <v>1763</v>
      </c>
      <c r="E78" s="18" t="n">
        <v>50.15298069</v>
      </c>
      <c r="F78" s="20" t="n">
        <v>1.49712614</v>
      </c>
      <c r="G78" s="18" t="n">
        <v>46.27197064</v>
      </c>
      <c r="H78" s="20" t="n">
        <v>1.5327008</v>
      </c>
      <c r="I78" s="18" t="n">
        <v>0</v>
      </c>
      <c r="J78" s="20" t="n">
        <v>0</v>
      </c>
      <c r="K78" s="18" t="n">
        <v>0.38264719</v>
      </c>
      <c r="L78" s="20" t="n">
        <v>0.15306965</v>
      </c>
      <c r="M78" s="18" t="n">
        <v>0</v>
      </c>
      <c r="N78" s="20" t="n">
        <v>0</v>
      </c>
      <c r="O78" s="18" t="n">
        <v>0</v>
      </c>
      <c r="P78" s="20" t="n">
        <v>0</v>
      </c>
      <c r="Q78" s="18" t="n">
        <v>3.19240148</v>
      </c>
      <c r="R78" s="20" t="n">
        <v>0.45909765</v>
      </c>
    </row>
    <row r="79" spans="1:18">
      <c r="A79" s="15" t="s">
        <v>503</v>
      </c>
      <c r="B79" s="17" t="n">
        <v>6062</v>
      </c>
      <c r="C79" s="18">
        <f>(5312.0/B79*100)</f>
        <v/>
      </c>
      <c r="D79" s="19" t="n">
        <v>750</v>
      </c>
      <c r="E79" s="18" t="n">
        <v>48.88878172</v>
      </c>
      <c r="F79" s="20" t="n">
        <v>2.05410416</v>
      </c>
      <c r="G79" s="18" t="n">
        <v>47.93814952</v>
      </c>
      <c r="H79" s="20" t="n">
        <v>2.08537165</v>
      </c>
      <c r="I79" s="18" t="n">
        <v>0</v>
      </c>
      <c r="J79" s="20" t="n">
        <v>0</v>
      </c>
      <c r="K79" s="18" t="n">
        <v>0.48689127</v>
      </c>
      <c r="L79" s="20" t="n">
        <v>0.28213114</v>
      </c>
      <c r="M79" s="18" t="n">
        <v>0</v>
      </c>
      <c r="N79" s="20" t="n">
        <v>0</v>
      </c>
      <c r="O79" s="18" t="n">
        <v>0</v>
      </c>
      <c r="P79" s="20" t="n">
        <v>0</v>
      </c>
      <c r="Q79" s="18" t="n">
        <v>2.68617749</v>
      </c>
      <c r="R79" s="20" t="n">
        <v>0.6115364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(28365.0/B82*100)</f>
        <v/>
      </c>
      <c r="D82" s="19" t="n">
        <v>3965</v>
      </c>
      <c r="E82" s="18" t="n">
        <v>38.72287866</v>
      </c>
      <c r="F82" s="20" t="n">
        <v>1.36179286</v>
      </c>
      <c r="G82" s="18" t="n">
        <v>59.25786552</v>
      </c>
      <c r="H82" s="20" t="n">
        <v>1.29308775</v>
      </c>
      <c r="I82" s="18" t="n">
        <v>0</v>
      </c>
      <c r="J82" s="20" t="n">
        <v>0</v>
      </c>
      <c r="K82" s="18" t="n">
        <v>0.15427413</v>
      </c>
      <c r="L82" s="20" t="n">
        <v>0.09163377</v>
      </c>
      <c r="M82" s="18" t="n">
        <v>0</v>
      </c>
      <c r="N82" s="20" t="n">
        <v>0</v>
      </c>
      <c r="O82" s="18" t="n">
        <v>0</v>
      </c>
      <c r="P82" s="20" t="n">
        <v>0</v>
      </c>
      <c r="Q82" s="18" t="n">
        <v>1.86498169</v>
      </c>
      <c r="R82" s="20" t="n">
        <v>0.37141415</v>
      </c>
    </row>
    <row r="83" spans="1:18">
      <c r="A83" s="15" t="s">
        <v>507</v>
      </c>
      <c r="B83" s="17" t="n">
        <v>1652</v>
      </c>
      <c r="C83" s="18">
        <f>(1456.0/B83*100)</f>
        <v/>
      </c>
      <c r="D83" s="19" t="n">
        <v>196</v>
      </c>
      <c r="E83" s="18" t="n">
        <v>40.08711697</v>
      </c>
      <c r="F83" s="20" t="n">
        <v>3.58623436</v>
      </c>
      <c r="G83" s="18" t="n">
        <v>59.91288303</v>
      </c>
      <c r="H83" s="20" t="n">
        <v>3.58623436</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(1654.0/B84*100)</f>
        <v/>
      </c>
      <c r="D84" s="19" t="n">
        <v>233</v>
      </c>
      <c r="E84" s="18" t="n">
        <v>43.22111034</v>
      </c>
      <c r="F84" s="20" t="n">
        <v>3.23203339</v>
      </c>
      <c r="G84" s="18" t="n">
        <v>56.35033476</v>
      </c>
      <c r="H84" s="20" t="n">
        <v>3.14358859</v>
      </c>
      <c r="I84" s="18" t="n">
        <v>0</v>
      </c>
      <c r="J84" s="20" t="n">
        <v>0</v>
      </c>
      <c r="K84" s="18" t="n">
        <v>0</v>
      </c>
      <c r="L84" s="20" t="n">
        <v>0</v>
      </c>
      <c r="M84" s="18" t="n">
        <v>0</v>
      </c>
      <c r="N84" s="20" t="n">
        <v>0</v>
      </c>
      <c r="O84" s="18" t="n">
        <v>0</v>
      </c>
      <c r="P84" s="20" t="n">
        <v>0</v>
      </c>
      <c r="Q84" s="18" t="n">
        <v>0.42855489</v>
      </c>
      <c r="R84" s="20" t="n">
        <v>0.43441691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(12759.0/B7*100)</f>
        <v/>
      </c>
      <c r="D7" s="19" t="n">
        <v>1771</v>
      </c>
      <c r="E7" s="18" t="n">
        <v>22.81677479</v>
      </c>
      <c r="F7" s="20" t="n">
        <v>1.21425846</v>
      </c>
      <c r="G7" s="18" t="n">
        <v>76.40184239</v>
      </c>
      <c r="H7" s="20" t="n">
        <v>1.21007059</v>
      </c>
      <c r="I7" s="18" t="n">
        <v>0</v>
      </c>
      <c r="J7" s="20" t="n">
        <v>0</v>
      </c>
      <c r="K7" s="18" t="n">
        <v>0.01969354</v>
      </c>
      <c r="L7" s="20" t="n">
        <v>0.01413108</v>
      </c>
      <c r="M7" s="18" t="n">
        <v>0</v>
      </c>
      <c r="N7" s="20" t="n">
        <v>0</v>
      </c>
      <c r="O7" s="18" t="n">
        <v>0</v>
      </c>
      <c r="P7" s="20" t="n">
        <v>0</v>
      </c>
      <c r="Q7" s="18" t="n">
        <v>0.76168928</v>
      </c>
      <c r="R7" s="20" t="n">
        <v>0.22222203</v>
      </c>
    </row>
    <row r="8" spans="1:18">
      <c r="A8" s="15" t="s">
        <v>430</v>
      </c>
      <c r="B8" s="17" t="n">
        <v>7007</v>
      </c>
      <c r="C8" s="18">
        <f>(6123.0/B8*100)</f>
        <v/>
      </c>
      <c r="D8" s="19" t="n">
        <v>884</v>
      </c>
      <c r="E8" s="18" t="n">
        <v>23.13005812</v>
      </c>
      <c r="F8" s="20" t="n">
        <v>1.44803742</v>
      </c>
      <c r="G8" s="18" t="n">
        <v>75.89543157</v>
      </c>
      <c r="H8" s="20" t="n">
        <v>1.45104397</v>
      </c>
      <c r="I8" s="18" t="n">
        <v>0</v>
      </c>
      <c r="J8" s="20" t="n">
        <v>0</v>
      </c>
      <c r="K8" s="18" t="n">
        <v>0</v>
      </c>
      <c r="L8" s="20" t="n">
        <v>0</v>
      </c>
      <c r="M8" s="18" t="n">
        <v>0</v>
      </c>
      <c r="N8" s="20" t="n">
        <v>0</v>
      </c>
      <c r="O8" s="18" t="n">
        <v>0</v>
      </c>
      <c r="P8" s="20" t="n">
        <v>0</v>
      </c>
      <c r="Q8" s="18" t="n">
        <v>0.9745103000000001</v>
      </c>
      <c r="R8" s="20" t="n">
        <v>0.34623339</v>
      </c>
    </row>
    <row r="9" spans="1:18">
      <c r="A9" s="15" t="s">
        <v>431</v>
      </c>
      <c r="B9" s="17" t="n">
        <v>9651</v>
      </c>
      <c r="C9" s="18">
        <f>(8495.0/B9*100)</f>
        <v/>
      </c>
      <c r="D9" s="19" t="n">
        <v>1156</v>
      </c>
      <c r="E9" s="18" t="n">
        <v>21.26410594</v>
      </c>
      <c r="F9" s="20" t="n">
        <v>1.21384613</v>
      </c>
      <c r="G9" s="18" t="n">
        <v>77.25209424000001</v>
      </c>
      <c r="H9" s="20" t="n">
        <v>1.25860684</v>
      </c>
      <c r="I9" s="18" t="n">
        <v>0</v>
      </c>
      <c r="J9" s="20" t="n">
        <v>0</v>
      </c>
      <c r="K9" s="18" t="n">
        <v>0.08285168</v>
      </c>
      <c r="L9" s="20" t="n">
        <v>0.08678244</v>
      </c>
      <c r="M9" s="18" t="n">
        <v>0</v>
      </c>
      <c r="N9" s="20" t="n">
        <v>0</v>
      </c>
      <c r="O9" s="18" t="n">
        <v>0</v>
      </c>
      <c r="P9" s="20" t="n">
        <v>0</v>
      </c>
      <c r="Q9" s="18" t="n">
        <v>1.40094814</v>
      </c>
      <c r="R9" s="20" t="n">
        <v>0.3326422</v>
      </c>
    </row>
    <row r="10" spans="1:18">
      <c r="A10" s="15" t="s">
        <v>432</v>
      </c>
      <c r="B10" s="17" t="n">
        <v>20058</v>
      </c>
      <c r="C10" s="18">
        <f>(17525.0/B10*100)</f>
        <v/>
      </c>
      <c r="D10" s="19" t="n">
        <v>2533</v>
      </c>
      <c r="E10" s="18" t="n">
        <v>19.36315536</v>
      </c>
      <c r="F10" s="20" t="n">
        <v>1.15233426</v>
      </c>
      <c r="G10" s="18" t="n">
        <v>79.95398584</v>
      </c>
      <c r="H10" s="20" t="n">
        <v>1.15530905</v>
      </c>
      <c r="I10" s="18" t="n">
        <v>0</v>
      </c>
      <c r="J10" s="20" t="n">
        <v>0</v>
      </c>
      <c r="K10" s="18" t="n">
        <v>0.10934301</v>
      </c>
      <c r="L10" s="20" t="n">
        <v>0.08831712</v>
      </c>
      <c r="M10" s="18" t="n">
        <v>0</v>
      </c>
      <c r="N10" s="20" t="n">
        <v>0</v>
      </c>
      <c r="O10" s="18" t="n">
        <v>0</v>
      </c>
      <c r="P10" s="20" t="n">
        <v>0</v>
      </c>
      <c r="Q10" s="18" t="n">
        <v>0.57351578</v>
      </c>
      <c r="R10" s="20" t="n">
        <v>0.13372113</v>
      </c>
    </row>
    <row r="11" spans="1:18">
      <c r="A11" s="15" t="s">
        <v>433</v>
      </c>
      <c r="B11" s="17" t="n">
        <v>7053</v>
      </c>
      <c r="C11" s="18">
        <f>(6212.0/B11*100)</f>
        <v/>
      </c>
      <c r="D11" s="19" t="n">
        <v>841</v>
      </c>
      <c r="E11" s="18" t="n">
        <v>25.74805767</v>
      </c>
      <c r="F11" s="20" t="n">
        <v>2.03418662</v>
      </c>
      <c r="G11" s="18" t="n">
        <v>71.39559463000001</v>
      </c>
      <c r="H11" s="20" t="n">
        <v>2.27626333</v>
      </c>
      <c r="I11" s="18" t="n">
        <v>0</v>
      </c>
      <c r="J11" s="20" t="n">
        <v>0</v>
      </c>
      <c r="K11" s="18" t="n">
        <v>0.69268174</v>
      </c>
      <c r="L11" s="20" t="n">
        <v>0.4219595</v>
      </c>
      <c r="M11" s="18" t="n">
        <v>0</v>
      </c>
      <c r="N11" s="20" t="n">
        <v>0</v>
      </c>
      <c r="O11" s="18" t="n">
        <v>0</v>
      </c>
      <c r="P11" s="20" t="n">
        <v>0</v>
      </c>
      <c r="Q11" s="18" t="n">
        <v>2.16366597</v>
      </c>
      <c r="R11" s="20" t="n">
        <v>0.68550483</v>
      </c>
    </row>
    <row r="12" spans="1:18">
      <c r="A12" s="15" t="s">
        <v>434</v>
      </c>
      <c r="B12" s="17" t="n">
        <v>6894</v>
      </c>
      <c r="C12" s="18">
        <f>(6053.0/B12*100)</f>
        <v/>
      </c>
      <c r="D12" s="19" t="n">
        <v>841</v>
      </c>
      <c r="E12" s="18" t="n">
        <v>18.97175222</v>
      </c>
      <c r="F12" s="20" t="n">
        <v>1.51919757</v>
      </c>
      <c r="G12" s="18" t="n">
        <v>80.70189392</v>
      </c>
      <c r="H12" s="20" t="n">
        <v>1.54517049</v>
      </c>
      <c r="I12" s="18" t="n">
        <v>0</v>
      </c>
      <c r="J12" s="20" t="n">
        <v>0</v>
      </c>
      <c r="K12" s="18" t="n">
        <v>0.10809755</v>
      </c>
      <c r="L12" s="20" t="n">
        <v>0.10589213</v>
      </c>
      <c r="M12" s="18" t="n">
        <v>0</v>
      </c>
      <c r="N12" s="20" t="n">
        <v>0</v>
      </c>
      <c r="O12" s="18" t="n">
        <v>0</v>
      </c>
      <c r="P12" s="20" t="n">
        <v>0</v>
      </c>
      <c r="Q12" s="18" t="n">
        <v>0.21825632</v>
      </c>
      <c r="R12" s="20" t="n">
        <v>0.12567029</v>
      </c>
    </row>
    <row r="13" spans="1:18">
      <c r="A13" s="15" t="s">
        <v>435</v>
      </c>
      <c r="B13" s="17" t="n">
        <v>7161</v>
      </c>
      <c r="C13" s="18">
        <f>(6313.0/B13*100)</f>
        <v/>
      </c>
      <c r="D13" s="19" t="n">
        <v>848</v>
      </c>
      <c r="E13" s="18" t="n">
        <v>22.63647568</v>
      </c>
      <c r="F13" s="20" t="n">
        <v>1.85189442</v>
      </c>
      <c r="G13" s="18" t="n">
        <v>76.07474784</v>
      </c>
      <c r="H13" s="20" t="n">
        <v>1.97389024</v>
      </c>
      <c r="I13" s="18" t="n">
        <v>0</v>
      </c>
      <c r="J13" s="20" t="n">
        <v>0</v>
      </c>
      <c r="K13" s="18" t="n">
        <v>0.27823757</v>
      </c>
      <c r="L13" s="20" t="n">
        <v>0.17551898</v>
      </c>
      <c r="M13" s="18" t="n">
        <v>0</v>
      </c>
      <c r="N13" s="20" t="n">
        <v>0</v>
      </c>
      <c r="O13" s="18" t="n">
        <v>0</v>
      </c>
      <c r="P13" s="20" t="n">
        <v>0</v>
      </c>
      <c r="Q13" s="18" t="n">
        <v>1.01053891</v>
      </c>
      <c r="R13" s="20" t="n">
        <v>0.38385031</v>
      </c>
    </row>
    <row r="14" spans="1:18">
      <c r="A14" s="15" t="s">
        <v>436</v>
      </c>
      <c r="B14" s="17" t="n">
        <v>5587</v>
      </c>
      <c r="C14" s="18">
        <f>(4922.0/B14*100)</f>
        <v/>
      </c>
      <c r="D14" s="19" t="n">
        <v>665</v>
      </c>
      <c r="E14" s="18" t="n">
        <v>17.59558219</v>
      </c>
      <c r="F14" s="20" t="n">
        <v>1.80962483</v>
      </c>
      <c r="G14" s="18" t="n">
        <v>82.27422875000001</v>
      </c>
      <c r="H14" s="20" t="n">
        <v>1.80140765</v>
      </c>
      <c r="I14" s="18" t="n">
        <v>0</v>
      </c>
      <c r="J14" s="20" t="n">
        <v>0</v>
      </c>
      <c r="K14" s="18" t="n">
        <v>0</v>
      </c>
      <c r="L14" s="20" t="n">
        <v>0</v>
      </c>
      <c r="M14" s="18" t="n">
        <v>0</v>
      </c>
      <c r="N14" s="20" t="n">
        <v>0</v>
      </c>
      <c r="O14" s="18" t="n">
        <v>0</v>
      </c>
      <c r="P14" s="20" t="n">
        <v>0</v>
      </c>
      <c r="Q14" s="18" t="n">
        <v>0.13018906</v>
      </c>
      <c r="R14" s="20" t="n">
        <v>0.13093021</v>
      </c>
    </row>
    <row r="15" spans="1:18">
      <c r="A15" s="15" t="s">
        <v>437</v>
      </c>
      <c r="B15" s="17" t="n">
        <v>5882</v>
      </c>
      <c r="C15" s="18">
        <f>(5152.0/B15*100)</f>
        <v/>
      </c>
      <c r="D15" s="19" t="n">
        <v>730</v>
      </c>
      <c r="E15" s="18" t="n">
        <v>16.00372897</v>
      </c>
      <c r="F15" s="20" t="n">
        <v>1.46451118</v>
      </c>
      <c r="G15" s="18" t="n">
        <v>83.15603154999999</v>
      </c>
      <c r="H15" s="20" t="n">
        <v>1.50813508</v>
      </c>
      <c r="I15" s="18" t="n">
        <v>0</v>
      </c>
      <c r="J15" s="20" t="n">
        <v>0</v>
      </c>
      <c r="K15" s="18" t="n">
        <v>0</v>
      </c>
      <c r="L15" s="20" t="n">
        <v>0</v>
      </c>
      <c r="M15" s="18" t="n">
        <v>0</v>
      </c>
      <c r="N15" s="20" t="n">
        <v>0</v>
      </c>
      <c r="O15" s="18" t="n">
        <v>0</v>
      </c>
      <c r="P15" s="20" t="n">
        <v>0</v>
      </c>
      <c r="Q15" s="18" t="n">
        <v>0.84023948</v>
      </c>
      <c r="R15" s="20" t="n">
        <v>0.3465593</v>
      </c>
    </row>
    <row r="16" spans="1:18">
      <c r="A16" s="15" t="s">
        <v>438</v>
      </c>
      <c r="B16" s="17" t="n">
        <v>6108</v>
      </c>
      <c r="C16" s="18">
        <f>(5364.0/B16*100)</f>
        <v/>
      </c>
      <c r="D16" s="19" t="n">
        <v>744</v>
      </c>
      <c r="E16" s="18" t="n">
        <v>22.08881629</v>
      </c>
      <c r="F16" s="20" t="n">
        <v>1.77927787</v>
      </c>
      <c r="G16" s="18" t="n">
        <v>74.10960294</v>
      </c>
      <c r="H16" s="20" t="n">
        <v>1.91289706</v>
      </c>
      <c r="I16" s="18" t="n">
        <v>0</v>
      </c>
      <c r="J16" s="20" t="n">
        <v>0</v>
      </c>
      <c r="K16" s="18" t="n">
        <v>0.82779157</v>
      </c>
      <c r="L16" s="20" t="n">
        <v>0.38338422</v>
      </c>
      <c r="M16" s="18" t="n">
        <v>0</v>
      </c>
      <c r="N16" s="20" t="n">
        <v>0</v>
      </c>
      <c r="O16" s="18" t="n">
        <v>0</v>
      </c>
      <c r="P16" s="20" t="n">
        <v>0</v>
      </c>
      <c r="Q16" s="18" t="n">
        <v>2.9737892</v>
      </c>
      <c r="R16" s="20" t="n">
        <v>0.67496734</v>
      </c>
    </row>
    <row r="17" spans="1:18">
      <c r="A17" s="15" t="s">
        <v>439</v>
      </c>
      <c r="B17" s="17" t="n">
        <v>6504</v>
      </c>
      <c r="C17" s="18">
        <f>(5739.0/B17*100)</f>
        <v/>
      </c>
      <c r="D17" s="19" t="n">
        <v>765</v>
      </c>
      <c r="E17" s="18" t="n">
        <v>20.85473827</v>
      </c>
      <c r="F17" s="20" t="n">
        <v>1.3244652</v>
      </c>
      <c r="G17" s="18" t="n">
        <v>77.60708522</v>
      </c>
      <c r="H17" s="20" t="n">
        <v>1.3329015</v>
      </c>
      <c r="I17" s="18" t="n">
        <v>0</v>
      </c>
      <c r="J17" s="20" t="n">
        <v>0</v>
      </c>
      <c r="K17" s="18" t="n">
        <v>0.09860698</v>
      </c>
      <c r="L17" s="20" t="n">
        <v>0.09885627</v>
      </c>
      <c r="M17" s="18" t="n">
        <v>0</v>
      </c>
      <c r="N17" s="20" t="n">
        <v>0</v>
      </c>
      <c r="O17" s="18" t="n">
        <v>0</v>
      </c>
      <c r="P17" s="20" t="n">
        <v>0</v>
      </c>
      <c r="Q17" s="18" t="n">
        <v>1.43956953</v>
      </c>
      <c r="R17" s="20" t="n">
        <v>0.46092092</v>
      </c>
    </row>
    <row r="18" spans="1:18">
      <c r="A18" s="15" t="s">
        <v>440</v>
      </c>
      <c r="B18" s="17" t="n">
        <v>5532</v>
      </c>
      <c r="C18" s="18">
        <f>(4839.0/B18*100)</f>
        <v/>
      </c>
      <c r="D18" s="19" t="n">
        <v>693</v>
      </c>
      <c r="E18" s="18" t="n">
        <v>33.56068506</v>
      </c>
      <c r="F18" s="20" t="n">
        <v>2.60524403</v>
      </c>
      <c r="G18" s="18" t="n">
        <v>64.9618286</v>
      </c>
      <c r="H18" s="20" t="n">
        <v>2.56374019</v>
      </c>
      <c r="I18" s="18" t="n">
        <v>0</v>
      </c>
      <c r="J18" s="20" t="n">
        <v>0</v>
      </c>
      <c r="K18" s="18" t="n">
        <v>0</v>
      </c>
      <c r="L18" s="20" t="n">
        <v>0</v>
      </c>
      <c r="M18" s="18" t="n">
        <v>0</v>
      </c>
      <c r="N18" s="20" t="n">
        <v>0</v>
      </c>
      <c r="O18" s="18" t="n">
        <v>0</v>
      </c>
      <c r="P18" s="20" t="n">
        <v>0</v>
      </c>
      <c r="Q18" s="18" t="n">
        <v>1.47748634</v>
      </c>
      <c r="R18" s="20" t="n">
        <v>0.51520656</v>
      </c>
    </row>
    <row r="19" spans="1:18">
      <c r="A19" s="15" t="s">
        <v>441</v>
      </c>
      <c r="B19" s="17" t="n">
        <v>5658</v>
      </c>
      <c r="C19" s="18">
        <f>(4964.0/B19*100)</f>
        <v/>
      </c>
      <c r="D19" s="19" t="n">
        <v>694</v>
      </c>
      <c r="E19" s="18" t="n">
        <v>27.21639382</v>
      </c>
      <c r="F19" s="20" t="n">
        <v>1.47298434</v>
      </c>
      <c r="G19" s="18" t="n">
        <v>71.00034269</v>
      </c>
      <c r="H19" s="20" t="n">
        <v>1.54053636</v>
      </c>
      <c r="I19" s="18" t="n">
        <v>0</v>
      </c>
      <c r="J19" s="20" t="n">
        <v>0</v>
      </c>
      <c r="K19" s="18" t="n">
        <v>0.29731614</v>
      </c>
      <c r="L19" s="20" t="n">
        <v>0.32535658</v>
      </c>
      <c r="M19" s="18" t="n">
        <v>0</v>
      </c>
      <c r="N19" s="20" t="n">
        <v>0</v>
      </c>
      <c r="O19" s="18" t="n">
        <v>0</v>
      </c>
      <c r="P19" s="20" t="n">
        <v>0</v>
      </c>
      <c r="Q19" s="18" t="n">
        <v>1.48594736</v>
      </c>
      <c r="R19" s="20" t="n">
        <v>0.5802514</v>
      </c>
    </row>
    <row r="20" spans="1:18">
      <c r="A20" s="15" t="s">
        <v>442</v>
      </c>
      <c r="B20" s="17" t="n">
        <v>3371</v>
      </c>
      <c r="C20" s="18">
        <f>(2960.0/B20*100)</f>
        <v/>
      </c>
      <c r="D20" s="19" t="n">
        <v>411</v>
      </c>
      <c r="E20" s="18" t="n">
        <v>30.81797014</v>
      </c>
      <c r="F20" s="20" t="n">
        <v>2.41013193</v>
      </c>
      <c r="G20" s="18" t="n">
        <v>66.1558821</v>
      </c>
      <c r="H20" s="20" t="n">
        <v>2.41410188</v>
      </c>
      <c r="I20" s="18" t="n">
        <v>0</v>
      </c>
      <c r="J20" s="20" t="n">
        <v>0</v>
      </c>
      <c r="K20" s="18" t="n">
        <v>0.6118393</v>
      </c>
      <c r="L20" s="20" t="n">
        <v>0.44545143</v>
      </c>
      <c r="M20" s="18" t="n">
        <v>0</v>
      </c>
      <c r="N20" s="20" t="n">
        <v>0</v>
      </c>
      <c r="O20" s="18" t="n">
        <v>0</v>
      </c>
      <c r="P20" s="20" t="n">
        <v>0</v>
      </c>
      <c r="Q20" s="18" t="n">
        <v>2.41430846</v>
      </c>
      <c r="R20" s="20" t="n">
        <v>0.74941105</v>
      </c>
    </row>
    <row r="21" spans="1:18">
      <c r="A21" s="15" t="s">
        <v>443</v>
      </c>
      <c r="B21" s="17" t="n">
        <v>5741</v>
      </c>
      <c r="C21" s="18">
        <f>(4787.0/B21*100)</f>
        <v/>
      </c>
      <c r="D21" s="19" t="n">
        <v>954</v>
      </c>
      <c r="E21" s="18" t="n">
        <v>20.14401455</v>
      </c>
      <c r="F21" s="20" t="n">
        <v>1.34253692</v>
      </c>
      <c r="G21" s="18" t="n">
        <v>78.59132374000001</v>
      </c>
      <c r="H21" s="20" t="n">
        <v>1.37919481</v>
      </c>
      <c r="I21" s="18" t="n">
        <v>0</v>
      </c>
      <c r="J21" s="20" t="n">
        <v>0</v>
      </c>
      <c r="K21" s="18" t="n">
        <v>0</v>
      </c>
      <c r="L21" s="20" t="n">
        <v>0</v>
      </c>
      <c r="M21" s="18" t="n">
        <v>0</v>
      </c>
      <c r="N21" s="20" t="n">
        <v>0</v>
      </c>
      <c r="O21" s="18" t="n">
        <v>0</v>
      </c>
      <c r="P21" s="20" t="n">
        <v>0</v>
      </c>
      <c r="Q21" s="18" t="n">
        <v>1.2646617</v>
      </c>
      <c r="R21" s="20" t="n">
        <v>0.38862668</v>
      </c>
    </row>
    <row r="22" spans="1:18">
      <c r="A22" s="15" t="s">
        <v>444</v>
      </c>
      <c r="B22" s="17" t="n">
        <v>6598</v>
      </c>
      <c r="C22" s="18">
        <f>(5841.0/B22*100)</f>
        <v/>
      </c>
      <c r="D22" s="19" t="n">
        <v>757</v>
      </c>
      <c r="E22" s="18" t="n">
        <v>20.61561207</v>
      </c>
      <c r="F22" s="20" t="n">
        <v>1.7918864</v>
      </c>
      <c r="G22" s="18" t="n">
        <v>74.52147746</v>
      </c>
      <c r="H22" s="20" t="n">
        <v>2.01190815</v>
      </c>
      <c r="I22" s="18" t="n">
        <v>0</v>
      </c>
      <c r="J22" s="20" t="n">
        <v>0</v>
      </c>
      <c r="K22" s="18" t="n">
        <v>0.92132291</v>
      </c>
      <c r="L22" s="20" t="n">
        <v>0.39221223</v>
      </c>
      <c r="M22" s="18" t="n">
        <v>0</v>
      </c>
      <c r="N22" s="20" t="n">
        <v>0</v>
      </c>
      <c r="O22" s="18" t="n">
        <v>0</v>
      </c>
      <c r="P22" s="20" t="n">
        <v>0</v>
      </c>
      <c r="Q22" s="18" t="n">
        <v>3.94158756</v>
      </c>
      <c r="R22" s="20" t="n">
        <v>0.75823303</v>
      </c>
    </row>
    <row r="23" spans="1:18">
      <c r="A23" s="15" t="s">
        <v>445</v>
      </c>
      <c r="B23" s="17" t="n">
        <v>11583</v>
      </c>
      <c r="C23" s="18">
        <f>(10153.0/B23*100)</f>
        <v/>
      </c>
      <c r="D23" s="19" t="n">
        <v>1430</v>
      </c>
      <c r="E23" s="18" t="n">
        <v>17.85871157</v>
      </c>
      <c r="F23" s="20" t="n">
        <v>1.58875938</v>
      </c>
      <c r="G23" s="18" t="n">
        <v>80.14657794999999</v>
      </c>
      <c r="H23" s="20" t="n">
        <v>1.61128441</v>
      </c>
      <c r="I23" s="18" t="n">
        <v>0</v>
      </c>
      <c r="J23" s="20" t="n">
        <v>0</v>
      </c>
      <c r="K23" s="18" t="n">
        <v>0.27720942</v>
      </c>
      <c r="L23" s="20" t="n">
        <v>0.24478204</v>
      </c>
      <c r="M23" s="18" t="n">
        <v>0</v>
      </c>
      <c r="N23" s="20" t="n">
        <v>0</v>
      </c>
      <c r="O23" s="18" t="n">
        <v>0</v>
      </c>
      <c r="P23" s="20" t="n">
        <v>0</v>
      </c>
      <c r="Q23" s="18" t="n">
        <v>1.71750106</v>
      </c>
      <c r="R23" s="20" t="n">
        <v>0.54047659</v>
      </c>
    </row>
    <row r="24" spans="1:18">
      <c r="A24" s="15" t="s">
        <v>446</v>
      </c>
      <c r="B24" s="17" t="n">
        <v>6647</v>
      </c>
      <c r="C24" s="18">
        <f>(5846.0/B24*100)</f>
        <v/>
      </c>
      <c r="D24" s="19" t="n">
        <v>801</v>
      </c>
      <c r="E24" s="18" t="n">
        <v>22.97210249</v>
      </c>
      <c r="F24" s="20" t="n">
        <v>1.65806077</v>
      </c>
      <c r="G24" s="18" t="n">
        <v>75.80974474999999</v>
      </c>
      <c r="H24" s="20" t="n">
        <v>1.6738225</v>
      </c>
      <c r="I24" s="18" t="n">
        <v>0</v>
      </c>
      <c r="J24" s="20" t="n">
        <v>0</v>
      </c>
      <c r="K24" s="18" t="n">
        <v>0.12702673</v>
      </c>
      <c r="L24" s="20" t="n">
        <v>0.12123151</v>
      </c>
      <c r="M24" s="18" t="n">
        <v>0</v>
      </c>
      <c r="N24" s="20" t="n">
        <v>0</v>
      </c>
      <c r="O24" s="18" t="n">
        <v>0</v>
      </c>
      <c r="P24" s="20" t="n">
        <v>0</v>
      </c>
      <c r="Q24" s="18" t="n">
        <v>1.09112603</v>
      </c>
      <c r="R24" s="20" t="n">
        <v>0.36715135</v>
      </c>
    </row>
    <row r="25" spans="1:18">
      <c r="A25" s="15" t="s">
        <v>447</v>
      </c>
      <c r="B25" s="17" t="n">
        <v>5581</v>
      </c>
      <c r="C25" s="18">
        <f>(4891.0/B25*100)</f>
        <v/>
      </c>
      <c r="D25" s="19" t="n">
        <v>690</v>
      </c>
      <c r="E25" s="18" t="n">
        <v>25.88166415</v>
      </c>
      <c r="F25" s="20" t="n">
        <v>1.77614151</v>
      </c>
      <c r="G25" s="18" t="n">
        <v>73.45065208</v>
      </c>
      <c r="H25" s="20" t="n">
        <v>1.78754639</v>
      </c>
      <c r="I25" s="18" t="n">
        <v>0</v>
      </c>
      <c r="J25" s="20" t="n">
        <v>0</v>
      </c>
      <c r="K25" s="18" t="n">
        <v>0.28741602</v>
      </c>
      <c r="L25" s="20" t="n">
        <v>0.20301638</v>
      </c>
      <c r="M25" s="18" t="n">
        <v>0</v>
      </c>
      <c r="N25" s="20" t="n">
        <v>0</v>
      </c>
      <c r="O25" s="18" t="n">
        <v>0</v>
      </c>
      <c r="P25" s="20" t="n">
        <v>0</v>
      </c>
      <c r="Q25" s="18" t="n">
        <v>0.38026775</v>
      </c>
      <c r="R25" s="20" t="n">
        <v>0.22003717</v>
      </c>
    </row>
    <row r="26" spans="1:18">
      <c r="A26" s="15" t="s">
        <v>448</v>
      </c>
      <c r="B26" s="17" t="n">
        <v>4869</v>
      </c>
      <c r="C26" s="18">
        <f>(4264.0/B26*100)</f>
        <v/>
      </c>
      <c r="D26" s="19" t="n">
        <v>605</v>
      </c>
      <c r="E26" s="18" t="n">
        <v>18.49372604</v>
      </c>
      <c r="F26" s="20" t="n">
        <v>1.75041377</v>
      </c>
      <c r="G26" s="18" t="n">
        <v>80.83564778</v>
      </c>
      <c r="H26" s="20" t="n">
        <v>1.75012494</v>
      </c>
      <c r="I26" s="18" t="n">
        <v>0</v>
      </c>
      <c r="J26" s="20" t="n">
        <v>0</v>
      </c>
      <c r="K26" s="18" t="n">
        <v>0</v>
      </c>
      <c r="L26" s="20" t="n">
        <v>0</v>
      </c>
      <c r="M26" s="18" t="n">
        <v>0</v>
      </c>
      <c r="N26" s="20" t="n">
        <v>0</v>
      </c>
      <c r="O26" s="18" t="n">
        <v>0</v>
      </c>
      <c r="P26" s="20" t="n">
        <v>0</v>
      </c>
      <c r="Q26" s="18" t="n">
        <v>0.67062618</v>
      </c>
      <c r="R26" s="20" t="n">
        <v>0.30406681</v>
      </c>
    </row>
    <row r="27" spans="1:18">
      <c r="A27" s="15" t="s">
        <v>449</v>
      </c>
      <c r="B27" s="17" t="n">
        <v>5299</v>
      </c>
      <c r="C27" s="18">
        <f>(4630.0/B27*100)</f>
        <v/>
      </c>
      <c r="D27" s="19" t="n">
        <v>669</v>
      </c>
      <c r="E27" s="18" t="n">
        <v>27.50232892</v>
      </c>
      <c r="F27" s="20" t="n">
        <v>1.7550706</v>
      </c>
      <c r="G27" s="18" t="n">
        <v>70.81403037</v>
      </c>
      <c r="H27" s="20" t="n">
        <v>1.76545997</v>
      </c>
      <c r="I27" s="18" t="n">
        <v>0</v>
      </c>
      <c r="J27" s="20" t="n">
        <v>0</v>
      </c>
      <c r="K27" s="18" t="n">
        <v>0.15166867</v>
      </c>
      <c r="L27" s="20" t="n">
        <v>0.15142902</v>
      </c>
      <c r="M27" s="18" t="n">
        <v>0</v>
      </c>
      <c r="N27" s="20" t="n">
        <v>0</v>
      </c>
      <c r="O27" s="18" t="n">
        <v>0</v>
      </c>
      <c r="P27" s="20" t="n">
        <v>0</v>
      </c>
      <c r="Q27" s="18" t="n">
        <v>1.53197204</v>
      </c>
      <c r="R27" s="20" t="n">
        <v>0.49408321</v>
      </c>
    </row>
    <row r="28" spans="1:18">
      <c r="A28" s="15" t="s">
        <v>450</v>
      </c>
      <c r="B28" s="17" t="n">
        <v>7568</v>
      </c>
      <c r="C28" s="18">
        <f>(6659.0/B28*100)</f>
        <v/>
      </c>
      <c r="D28" s="19" t="n">
        <v>909</v>
      </c>
      <c r="E28" s="18" t="n">
        <v>26.08485594</v>
      </c>
      <c r="F28" s="20" t="n">
        <v>1.57088693</v>
      </c>
      <c r="G28" s="18" t="n">
        <v>73.03829784</v>
      </c>
      <c r="H28" s="20" t="n">
        <v>1.55276693</v>
      </c>
      <c r="I28" s="18" t="n">
        <v>0</v>
      </c>
      <c r="J28" s="20" t="n">
        <v>0</v>
      </c>
      <c r="K28" s="18" t="n">
        <v>0</v>
      </c>
      <c r="L28" s="20" t="n">
        <v>0</v>
      </c>
      <c r="M28" s="18" t="n">
        <v>0</v>
      </c>
      <c r="N28" s="20" t="n">
        <v>0</v>
      </c>
      <c r="O28" s="18" t="n">
        <v>0</v>
      </c>
      <c r="P28" s="20" t="n">
        <v>0</v>
      </c>
      <c r="Q28" s="18" t="n">
        <v>0.87684622</v>
      </c>
      <c r="R28" s="20" t="n">
        <v>0.29459283</v>
      </c>
    </row>
    <row r="29" spans="1:18">
      <c r="A29" s="15" t="s">
        <v>451</v>
      </c>
      <c r="B29" s="17" t="n">
        <v>5385</v>
      </c>
      <c r="C29" s="18">
        <f>(4753.0/B29*100)</f>
        <v/>
      </c>
      <c r="D29" s="19" t="n">
        <v>632</v>
      </c>
      <c r="E29" s="18" t="n">
        <v>19.58101911</v>
      </c>
      <c r="F29" s="20" t="n">
        <v>1.49532952</v>
      </c>
      <c r="G29" s="18" t="n">
        <v>79.85420876000001</v>
      </c>
      <c r="H29" s="20" t="n">
        <v>1.49830428</v>
      </c>
      <c r="I29" s="18" t="n">
        <v>0</v>
      </c>
      <c r="J29" s="20" t="n">
        <v>0</v>
      </c>
      <c r="K29" s="18" t="n">
        <v>0</v>
      </c>
      <c r="L29" s="20" t="n">
        <v>0</v>
      </c>
      <c r="M29" s="18" t="n">
        <v>0</v>
      </c>
      <c r="N29" s="20" t="n">
        <v>0</v>
      </c>
      <c r="O29" s="18" t="n">
        <v>0</v>
      </c>
      <c r="P29" s="20" t="n">
        <v>0</v>
      </c>
      <c r="Q29" s="18" t="n">
        <v>0.56477213</v>
      </c>
      <c r="R29" s="20" t="n">
        <v>0.1892946</v>
      </c>
    </row>
    <row r="30" spans="1:18">
      <c r="A30" s="15" t="s">
        <v>452</v>
      </c>
      <c r="B30" s="17" t="n">
        <v>4520</v>
      </c>
      <c r="C30" s="18">
        <f>(3990.0/B30*100)</f>
        <v/>
      </c>
      <c r="D30" s="19" t="n">
        <v>530</v>
      </c>
      <c r="E30" s="18" t="n">
        <v>19.93515677</v>
      </c>
      <c r="F30" s="20" t="n">
        <v>1.91639911</v>
      </c>
      <c r="G30" s="18" t="n">
        <v>77.81546264000001</v>
      </c>
      <c r="H30" s="20" t="n">
        <v>1.78975241</v>
      </c>
      <c r="I30" s="18" t="n">
        <v>0</v>
      </c>
      <c r="J30" s="20" t="n">
        <v>0</v>
      </c>
      <c r="K30" s="18" t="n">
        <v>0.17111824</v>
      </c>
      <c r="L30" s="20" t="n">
        <v>0.17278887</v>
      </c>
      <c r="M30" s="18" t="n">
        <v>0</v>
      </c>
      <c r="N30" s="20" t="n">
        <v>0</v>
      </c>
      <c r="O30" s="18" t="n">
        <v>0</v>
      </c>
      <c r="P30" s="20" t="n">
        <v>0</v>
      </c>
      <c r="Q30" s="18" t="n">
        <v>2.07826235</v>
      </c>
      <c r="R30" s="20" t="n">
        <v>0.70069284</v>
      </c>
    </row>
    <row r="31" spans="1:18">
      <c r="A31" s="15" t="s">
        <v>453</v>
      </c>
      <c r="B31" s="17" t="n">
        <v>5456</v>
      </c>
      <c r="C31" s="18">
        <f>(4780.0/B31*100)</f>
        <v/>
      </c>
      <c r="D31" s="19" t="n">
        <v>676</v>
      </c>
      <c r="E31" s="18" t="n">
        <v>16.62866712</v>
      </c>
      <c r="F31" s="20" t="n">
        <v>1.34837142</v>
      </c>
      <c r="G31" s="18" t="n">
        <v>81.10786428999999</v>
      </c>
      <c r="H31" s="20" t="n">
        <v>1.35645727</v>
      </c>
      <c r="I31" s="18" t="n">
        <v>0</v>
      </c>
      <c r="J31" s="20" t="n">
        <v>0</v>
      </c>
      <c r="K31" s="18" t="n">
        <v>0.4924055</v>
      </c>
      <c r="L31" s="20" t="n">
        <v>0.25466043</v>
      </c>
      <c r="M31" s="18" t="n">
        <v>0</v>
      </c>
      <c r="N31" s="20" t="n">
        <v>0</v>
      </c>
      <c r="O31" s="18" t="n">
        <v>0</v>
      </c>
      <c r="P31" s="20" t="n">
        <v>0</v>
      </c>
      <c r="Q31" s="18" t="n">
        <v>1.77106309</v>
      </c>
      <c r="R31" s="20" t="n">
        <v>0.5864232</v>
      </c>
    </row>
    <row r="32" spans="1:18">
      <c r="A32" s="15" t="s">
        <v>454</v>
      </c>
      <c r="B32" s="17" t="n">
        <v>4478</v>
      </c>
      <c r="C32" s="18">
        <f>(3719.0/B32*100)</f>
        <v/>
      </c>
      <c r="D32" s="19" t="n">
        <v>759</v>
      </c>
      <c r="E32" s="18" t="n">
        <v>17.90424363</v>
      </c>
      <c r="F32" s="20" t="n">
        <v>1.37472254</v>
      </c>
      <c r="G32" s="18" t="n">
        <v>81.3961335</v>
      </c>
      <c r="H32" s="20" t="n">
        <v>1.35741674</v>
      </c>
      <c r="I32" s="18" t="n">
        <v>0</v>
      </c>
      <c r="J32" s="20" t="n">
        <v>0</v>
      </c>
      <c r="K32" s="18" t="n">
        <v>0</v>
      </c>
      <c r="L32" s="20" t="n">
        <v>0</v>
      </c>
      <c r="M32" s="18" t="n">
        <v>0</v>
      </c>
      <c r="N32" s="20" t="n">
        <v>0</v>
      </c>
      <c r="O32" s="18" t="n">
        <v>0</v>
      </c>
      <c r="P32" s="20" t="n">
        <v>0</v>
      </c>
      <c r="Q32" s="18" t="n">
        <v>0.69962287</v>
      </c>
      <c r="R32" s="20" t="n">
        <v>0.23113374</v>
      </c>
    </row>
    <row r="33" spans="1:18">
      <c r="A33" s="15" t="s">
        <v>455</v>
      </c>
      <c r="B33" s="17" t="n">
        <v>7325</v>
      </c>
      <c r="C33" s="18">
        <f>(6432.0/B33*100)</f>
        <v/>
      </c>
      <c r="D33" s="19" t="n">
        <v>893</v>
      </c>
      <c r="E33" s="18" t="n">
        <v>19.86386977</v>
      </c>
      <c r="F33" s="20" t="n">
        <v>1.33657388</v>
      </c>
      <c r="G33" s="18" t="n">
        <v>79.7458831</v>
      </c>
      <c r="H33" s="20" t="n">
        <v>1.30332278</v>
      </c>
      <c r="I33" s="18" t="n">
        <v>0</v>
      </c>
      <c r="J33" s="20" t="n">
        <v>0</v>
      </c>
      <c r="K33" s="18" t="n">
        <v>0</v>
      </c>
      <c r="L33" s="20" t="n">
        <v>0</v>
      </c>
      <c r="M33" s="18" t="n">
        <v>0</v>
      </c>
      <c r="N33" s="20" t="n">
        <v>0</v>
      </c>
      <c r="O33" s="18" t="n">
        <v>0</v>
      </c>
      <c r="P33" s="20" t="n">
        <v>0</v>
      </c>
      <c r="Q33" s="18" t="n">
        <v>0.39024714</v>
      </c>
      <c r="R33" s="20" t="n">
        <v>0.31947833</v>
      </c>
    </row>
    <row r="34" spans="1:18">
      <c r="A34" s="15" t="s">
        <v>456</v>
      </c>
      <c r="B34" s="17" t="n">
        <v>6350</v>
      </c>
      <c r="C34" s="18">
        <f>(5622.0/B34*100)</f>
        <v/>
      </c>
      <c r="D34" s="19" t="n">
        <v>728</v>
      </c>
      <c r="E34" s="18" t="n">
        <v>33.71378364</v>
      </c>
      <c r="F34" s="20" t="n">
        <v>2.19671487</v>
      </c>
      <c r="G34" s="18" t="n">
        <v>65.09405012000001</v>
      </c>
      <c r="H34" s="20" t="n">
        <v>2.22041003</v>
      </c>
      <c r="I34" s="18" t="n">
        <v>0</v>
      </c>
      <c r="J34" s="20" t="n">
        <v>0</v>
      </c>
      <c r="K34" s="18" t="n">
        <v>0.16967352</v>
      </c>
      <c r="L34" s="20" t="n">
        <v>0.12648035</v>
      </c>
      <c r="M34" s="18" t="n">
        <v>0</v>
      </c>
      <c r="N34" s="20" t="n">
        <v>0</v>
      </c>
      <c r="O34" s="18" t="n">
        <v>0</v>
      </c>
      <c r="P34" s="20" t="n">
        <v>0</v>
      </c>
      <c r="Q34" s="18" t="n">
        <v>1.02249271</v>
      </c>
      <c r="R34" s="20" t="n">
        <v>0.27071513</v>
      </c>
    </row>
    <row r="35" spans="1:18">
      <c r="A35" s="15" t="s">
        <v>457</v>
      </c>
      <c r="B35" s="17" t="n">
        <v>6406</v>
      </c>
      <c r="C35" s="18">
        <f>(5647.0/B35*100)</f>
        <v/>
      </c>
      <c r="D35" s="19" t="n">
        <v>759</v>
      </c>
      <c r="E35" s="18" t="n">
        <v>19.5616873</v>
      </c>
      <c r="F35" s="20" t="n">
        <v>1.79848858</v>
      </c>
      <c r="G35" s="18" t="n">
        <v>79.12721881</v>
      </c>
      <c r="H35" s="20" t="n">
        <v>1.82830415</v>
      </c>
      <c r="I35" s="18" t="n">
        <v>0</v>
      </c>
      <c r="J35" s="20" t="n">
        <v>0</v>
      </c>
      <c r="K35" s="18" t="n">
        <v>0.0773997</v>
      </c>
      <c r="L35" s="20" t="n">
        <v>0.07675497000000001</v>
      </c>
      <c r="M35" s="18" t="n">
        <v>0</v>
      </c>
      <c r="N35" s="20" t="n">
        <v>0</v>
      </c>
      <c r="O35" s="18" t="n">
        <v>0</v>
      </c>
      <c r="P35" s="20" t="n">
        <v>0</v>
      </c>
      <c r="Q35" s="18" t="n">
        <v>1.23369419</v>
      </c>
      <c r="R35" s="20" t="n">
        <v>0.49003698</v>
      </c>
    </row>
    <row r="36" spans="1:18">
      <c r="A36" s="15" t="s">
        <v>458</v>
      </c>
      <c r="B36" s="17" t="n">
        <v>6736</v>
      </c>
      <c r="C36" s="18">
        <f>(5917.0/B36*100)</f>
        <v/>
      </c>
      <c r="D36" s="19" t="n">
        <v>819</v>
      </c>
      <c r="E36" s="18" t="n">
        <v>20.12922343</v>
      </c>
      <c r="F36" s="20" t="n">
        <v>1.56500721</v>
      </c>
      <c r="G36" s="18" t="n">
        <v>78.4315747</v>
      </c>
      <c r="H36" s="20" t="n">
        <v>1.58670369</v>
      </c>
      <c r="I36" s="18" t="n">
        <v>0</v>
      </c>
      <c r="J36" s="20" t="n">
        <v>0</v>
      </c>
      <c r="K36" s="18" t="n">
        <v>0.40471337</v>
      </c>
      <c r="L36" s="20" t="n">
        <v>0.1973234</v>
      </c>
      <c r="M36" s="18" t="n">
        <v>0</v>
      </c>
      <c r="N36" s="20" t="n">
        <v>0</v>
      </c>
      <c r="O36" s="18" t="n">
        <v>0</v>
      </c>
      <c r="P36" s="20" t="n">
        <v>0</v>
      </c>
      <c r="Q36" s="18" t="n">
        <v>1.0344885</v>
      </c>
      <c r="R36" s="20" t="n">
        <v>0.5415165</v>
      </c>
    </row>
    <row r="37" spans="1:18">
      <c r="A37" s="15" t="s">
        <v>459</v>
      </c>
      <c r="B37" s="17" t="n">
        <v>5458</v>
      </c>
      <c r="C37" s="18">
        <f>(4777.0/B37*100)</f>
        <v/>
      </c>
      <c r="D37" s="19" t="n">
        <v>681</v>
      </c>
      <c r="E37" s="18" t="n">
        <v>21.51938051</v>
      </c>
      <c r="F37" s="20" t="n">
        <v>1.84318922</v>
      </c>
      <c r="G37" s="18" t="n">
        <v>75.72320898</v>
      </c>
      <c r="H37" s="20" t="n">
        <v>1.94848504</v>
      </c>
      <c r="I37" s="18" t="n">
        <v>0</v>
      </c>
      <c r="J37" s="20" t="n">
        <v>0</v>
      </c>
      <c r="K37" s="18" t="n">
        <v>0.11256427</v>
      </c>
      <c r="L37" s="20" t="n">
        <v>0.11269845</v>
      </c>
      <c r="M37" s="18" t="n">
        <v>0</v>
      </c>
      <c r="N37" s="20" t="n">
        <v>0</v>
      </c>
      <c r="O37" s="18" t="n">
        <v>0</v>
      </c>
      <c r="P37" s="20" t="n">
        <v>0</v>
      </c>
      <c r="Q37" s="18" t="n">
        <v>2.64484624</v>
      </c>
      <c r="R37" s="20" t="n">
        <v>0.68327952</v>
      </c>
    </row>
    <row r="38" spans="1:18">
      <c r="A38" s="15" t="s">
        <v>460</v>
      </c>
      <c r="B38" s="17" t="n">
        <v>5860</v>
      </c>
      <c r="C38" s="18">
        <f>(4865.0/B38*100)</f>
        <v/>
      </c>
      <c r="D38" s="19" t="n">
        <v>995</v>
      </c>
      <c r="E38" s="18" t="n">
        <v>22.62495337</v>
      </c>
      <c r="F38" s="20" t="n">
        <v>1.5882682</v>
      </c>
      <c r="G38" s="18" t="n">
        <v>74.37964119</v>
      </c>
      <c r="H38" s="20" t="n">
        <v>1.7071696</v>
      </c>
      <c r="I38" s="18" t="n">
        <v>0</v>
      </c>
      <c r="J38" s="20" t="n">
        <v>0</v>
      </c>
      <c r="K38" s="18" t="n">
        <v>0.46218054</v>
      </c>
      <c r="L38" s="20" t="n">
        <v>0.30577984</v>
      </c>
      <c r="M38" s="18" t="n">
        <v>0</v>
      </c>
      <c r="N38" s="20" t="n">
        <v>0</v>
      </c>
      <c r="O38" s="18" t="n">
        <v>0</v>
      </c>
      <c r="P38" s="20" t="n">
        <v>0</v>
      </c>
      <c r="Q38" s="18" t="n">
        <v>2.5332249</v>
      </c>
      <c r="R38" s="20" t="n">
        <v>0.51371702</v>
      </c>
    </row>
    <row r="39" spans="1:18">
      <c r="A39" s="15" t="s">
        <v>461</v>
      </c>
      <c r="B39" s="17" t="n">
        <v>5895</v>
      </c>
      <c r="C39" s="18">
        <f>(5160.0/B39*100)</f>
        <v/>
      </c>
      <c r="D39" s="19" t="n">
        <v>735</v>
      </c>
      <c r="E39" s="18" t="n">
        <v>23.76523611</v>
      </c>
      <c r="F39" s="20" t="n">
        <v>1.95318957</v>
      </c>
      <c r="G39" s="18" t="n">
        <v>73.91796443</v>
      </c>
      <c r="H39" s="20" t="n">
        <v>2.04844759</v>
      </c>
      <c r="I39" s="18" t="n">
        <v>0</v>
      </c>
      <c r="J39" s="20" t="n">
        <v>0</v>
      </c>
      <c r="K39" s="18" t="n">
        <v>0</v>
      </c>
      <c r="L39" s="20" t="n">
        <v>0</v>
      </c>
      <c r="M39" s="18" t="n">
        <v>0</v>
      </c>
      <c r="N39" s="20" t="n">
        <v>0</v>
      </c>
      <c r="O39" s="18" t="n">
        <v>0</v>
      </c>
      <c r="P39" s="20" t="n">
        <v>0</v>
      </c>
      <c r="Q39" s="18" t="n">
        <v>2.31679946</v>
      </c>
      <c r="R39" s="20" t="n">
        <v>0.62350985</v>
      </c>
    </row>
    <row r="40" spans="1:18">
      <c r="A40" s="15" t="s">
        <v>462</v>
      </c>
      <c r="B40" s="17" t="n">
        <v>14157</v>
      </c>
      <c r="C40" s="18">
        <f>(12441.0/B40*100)</f>
        <v/>
      </c>
      <c r="D40" s="19" t="n">
        <v>1716</v>
      </c>
      <c r="E40" s="18" t="n">
        <v>20.59937807</v>
      </c>
      <c r="F40" s="20" t="n">
        <v>1.5591937</v>
      </c>
      <c r="G40" s="18" t="n">
        <v>78.04061652999999</v>
      </c>
      <c r="H40" s="20" t="n">
        <v>1.53393985</v>
      </c>
      <c r="I40" s="18" t="n">
        <v>0</v>
      </c>
      <c r="J40" s="20" t="n">
        <v>0</v>
      </c>
      <c r="K40" s="18" t="n">
        <v>0.37833667</v>
      </c>
      <c r="L40" s="20" t="n">
        <v>0.24724949</v>
      </c>
      <c r="M40" s="18" t="n">
        <v>0</v>
      </c>
      <c r="N40" s="20" t="n">
        <v>0</v>
      </c>
      <c r="O40" s="18" t="n">
        <v>0</v>
      </c>
      <c r="P40" s="20" t="n">
        <v>0</v>
      </c>
      <c r="Q40" s="18" t="n">
        <v>0.98166873</v>
      </c>
      <c r="R40" s="20" t="n">
        <v>0.45382965</v>
      </c>
    </row>
    <row r="41" spans="1:18">
      <c r="A41" s="15" t="s">
        <v>463</v>
      </c>
      <c r="B41" s="17" t="n">
        <v>5712</v>
      </c>
      <c r="C41" s="18">
        <f>(5004.0/B41*100)</f>
        <v/>
      </c>
      <c r="D41" s="19" t="n">
        <v>708</v>
      </c>
      <c r="E41" s="18" t="n">
        <v>24.8293635</v>
      </c>
      <c r="F41" s="20" t="n">
        <v>1.5705477</v>
      </c>
      <c r="G41" s="18" t="n">
        <v>74.94168309</v>
      </c>
      <c r="H41" s="20" t="n">
        <v>1.58502981</v>
      </c>
      <c r="I41" s="18" t="n">
        <v>0</v>
      </c>
      <c r="J41" s="20" t="n">
        <v>0</v>
      </c>
      <c r="K41" s="18" t="n">
        <v>0</v>
      </c>
      <c r="L41" s="20" t="n">
        <v>0</v>
      </c>
      <c r="M41" s="18" t="n">
        <v>0</v>
      </c>
      <c r="N41" s="20" t="n">
        <v>0</v>
      </c>
      <c r="O41" s="18" t="n">
        <v>0</v>
      </c>
      <c r="P41" s="20" t="n">
        <v>0</v>
      </c>
      <c r="Q41" s="18" t="n">
        <v>0.22895341</v>
      </c>
      <c r="R41" s="20" t="n">
        <v>0.15582536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(20463.0/B46*100)</f>
        <v/>
      </c>
      <c r="D46" s="19" t="n">
        <v>2678</v>
      </c>
      <c r="E46" s="18" t="n">
        <v>30.4784986</v>
      </c>
      <c r="F46" s="20" t="n">
        <v>1.12907595</v>
      </c>
      <c r="G46" s="18" t="n">
        <v>66.82105727</v>
      </c>
      <c r="H46" s="20" t="n">
        <v>1.16614846</v>
      </c>
      <c r="I46" s="18" t="n">
        <v>0</v>
      </c>
      <c r="J46" s="20" t="n">
        <v>0</v>
      </c>
      <c r="K46" s="18" t="n">
        <v>0.34919714</v>
      </c>
      <c r="L46" s="20" t="n">
        <v>0.10165096</v>
      </c>
      <c r="M46" s="18" t="n">
        <v>0</v>
      </c>
      <c r="N46" s="20" t="n">
        <v>0</v>
      </c>
      <c r="O46" s="18" t="n">
        <v>0</v>
      </c>
      <c r="P46" s="20" t="n">
        <v>0</v>
      </c>
      <c r="Q46" s="18" t="n">
        <v>2.35124699</v>
      </c>
      <c r="R46" s="20" t="n">
        <v>0.38114873</v>
      </c>
    </row>
    <row r="47" spans="1:18">
      <c r="A47" s="15" t="s">
        <v>470</v>
      </c>
      <c r="B47" s="17" t="n">
        <v>5928</v>
      </c>
      <c r="C47" s="18">
        <f>(5224.0/B47*100)</f>
        <v/>
      </c>
      <c r="D47" s="19" t="n">
        <v>704</v>
      </c>
      <c r="E47" s="18" t="n">
        <v>29.69727458</v>
      </c>
      <c r="F47" s="20" t="n">
        <v>1.81276723</v>
      </c>
      <c r="G47" s="18" t="n">
        <v>68.76106313</v>
      </c>
      <c r="H47" s="20" t="n">
        <v>1.89596382</v>
      </c>
      <c r="I47" s="18" t="n">
        <v>0</v>
      </c>
      <c r="J47" s="20" t="n">
        <v>0</v>
      </c>
      <c r="K47" s="18" t="n">
        <v>0</v>
      </c>
      <c r="L47" s="20" t="n">
        <v>0</v>
      </c>
      <c r="M47" s="18" t="n">
        <v>0</v>
      </c>
      <c r="N47" s="20" t="n">
        <v>0</v>
      </c>
      <c r="O47" s="18" t="n">
        <v>0</v>
      </c>
      <c r="P47" s="20" t="n">
        <v>0</v>
      </c>
      <c r="Q47" s="18" t="n">
        <v>1.54166228</v>
      </c>
      <c r="R47" s="20" t="n">
        <v>0.4308164</v>
      </c>
    </row>
    <row r="48" spans="1:18">
      <c r="A48" s="15" t="s">
        <v>471</v>
      </c>
      <c r="B48" s="17" t="n">
        <v>9841</v>
      </c>
      <c r="C48" s="18">
        <f>(8639.0/B48*100)</f>
        <v/>
      </c>
      <c r="D48" s="19" t="n">
        <v>1202</v>
      </c>
      <c r="E48" s="18" t="n">
        <v>16.3332734</v>
      </c>
      <c r="F48" s="20" t="n">
        <v>1.57290316</v>
      </c>
      <c r="G48" s="18" t="n">
        <v>81.57673502</v>
      </c>
      <c r="H48" s="20" t="n">
        <v>1.55956347</v>
      </c>
      <c r="I48" s="18" t="n">
        <v>0</v>
      </c>
      <c r="J48" s="20" t="n">
        <v>0</v>
      </c>
      <c r="K48" s="18" t="n">
        <v>0.26914107</v>
      </c>
      <c r="L48" s="20" t="n">
        <v>0.1686374</v>
      </c>
      <c r="M48" s="18" t="n">
        <v>0</v>
      </c>
      <c r="N48" s="20" t="n">
        <v>0</v>
      </c>
      <c r="O48" s="18" t="n">
        <v>0</v>
      </c>
      <c r="P48" s="20" t="n">
        <v>0</v>
      </c>
      <c r="Q48" s="18" t="n">
        <v>1.82085051</v>
      </c>
      <c r="R48" s="20" t="n">
        <v>0.43811898</v>
      </c>
    </row>
    <row r="49" spans="1:18">
      <c r="A49" s="15" t="s">
        <v>472</v>
      </c>
      <c r="B49" s="17" t="n">
        <v>11795</v>
      </c>
      <c r="C49" s="18">
        <f>(10356.0/B49*100)</f>
        <v/>
      </c>
      <c r="D49" s="19" t="n">
        <v>1439</v>
      </c>
      <c r="E49" s="18" t="n">
        <v>30.7633676</v>
      </c>
      <c r="F49" s="20" t="n">
        <v>1.57299322</v>
      </c>
      <c r="G49" s="18" t="n">
        <v>67.65569723</v>
      </c>
      <c r="H49" s="20" t="n">
        <v>1.65387797</v>
      </c>
      <c r="I49" s="18" t="n">
        <v>0</v>
      </c>
      <c r="J49" s="20" t="n">
        <v>0</v>
      </c>
      <c r="K49" s="18" t="n">
        <v>0.25648025</v>
      </c>
      <c r="L49" s="20" t="n">
        <v>0.1490444</v>
      </c>
      <c r="M49" s="18" t="n">
        <v>0</v>
      </c>
      <c r="N49" s="20" t="n">
        <v>0</v>
      </c>
      <c r="O49" s="18" t="n">
        <v>0</v>
      </c>
      <c r="P49" s="20" t="n">
        <v>0</v>
      </c>
      <c r="Q49" s="18" t="n">
        <v>1.32445493</v>
      </c>
      <c r="R49" s="20" t="n">
        <v>0.48466008</v>
      </c>
    </row>
    <row r="50" spans="1:18">
      <c r="A50" s="15" t="s">
        <v>473</v>
      </c>
      <c r="B50" s="17" t="n">
        <v>6866</v>
      </c>
      <c r="C50" s="18">
        <f>(6140.0/B50*100)</f>
        <v/>
      </c>
      <c r="D50" s="19" t="n">
        <v>726</v>
      </c>
      <c r="E50" s="18" t="n">
        <v>37.05190283</v>
      </c>
      <c r="F50" s="20" t="n">
        <v>1.90695521</v>
      </c>
      <c r="G50" s="18" t="n">
        <v>58.77992381</v>
      </c>
      <c r="H50" s="20" t="n">
        <v>1.93084099</v>
      </c>
      <c r="I50" s="18" t="n">
        <v>0</v>
      </c>
      <c r="J50" s="20" t="n">
        <v>0</v>
      </c>
      <c r="K50" s="18" t="n">
        <v>0.60195053</v>
      </c>
      <c r="L50" s="20" t="n">
        <v>0.33038841</v>
      </c>
      <c r="M50" s="18" t="n">
        <v>0</v>
      </c>
      <c r="N50" s="20" t="n">
        <v>0</v>
      </c>
      <c r="O50" s="18" t="n">
        <v>0</v>
      </c>
      <c r="P50" s="20" t="n">
        <v>0</v>
      </c>
      <c r="Q50" s="18" t="n">
        <v>3.56622283</v>
      </c>
      <c r="R50" s="20" t="n">
        <v>0.83055154</v>
      </c>
    </row>
    <row r="51" spans="1:18">
      <c r="A51" s="15" t="s">
        <v>474</v>
      </c>
      <c r="B51" s="17" t="n">
        <v>5809</v>
      </c>
      <c r="C51" s="18">
        <f>(5092.0/B51*100)</f>
        <v/>
      </c>
      <c r="D51" s="19" t="n">
        <v>717</v>
      </c>
      <c r="E51" s="18" t="n">
        <v>25.30305486</v>
      </c>
      <c r="F51" s="20" t="n">
        <v>1.88605971</v>
      </c>
      <c r="G51" s="18" t="n">
        <v>73.57681187</v>
      </c>
      <c r="H51" s="20" t="n">
        <v>2.02061293</v>
      </c>
      <c r="I51" s="18" t="n">
        <v>0</v>
      </c>
      <c r="J51" s="20" t="n">
        <v>0</v>
      </c>
      <c r="K51" s="18" t="n">
        <v>0</v>
      </c>
      <c r="L51" s="20" t="n">
        <v>0</v>
      </c>
      <c r="M51" s="18" t="n">
        <v>0</v>
      </c>
      <c r="N51" s="20" t="n">
        <v>0</v>
      </c>
      <c r="O51" s="18" t="n">
        <v>0</v>
      </c>
      <c r="P51" s="20" t="n">
        <v>0</v>
      </c>
      <c r="Q51" s="18" t="n">
        <v>1.12013327</v>
      </c>
      <c r="R51" s="20" t="n">
        <v>0.35393063</v>
      </c>
    </row>
    <row r="52" spans="1:18">
      <c r="A52" s="15" t="s">
        <v>475</v>
      </c>
      <c r="B52" s="17" t="n">
        <v>5571</v>
      </c>
      <c r="C52" s="18">
        <f>(4878.0/B52*100)</f>
        <v/>
      </c>
      <c r="D52" s="19" t="n">
        <v>693</v>
      </c>
      <c r="E52" s="18" t="n">
        <v>38.41425262</v>
      </c>
      <c r="F52" s="20" t="n">
        <v>1.81180655</v>
      </c>
      <c r="G52" s="18" t="n">
        <v>58.2895245</v>
      </c>
      <c r="H52" s="20" t="n">
        <v>1.74367983</v>
      </c>
      <c r="I52" s="18" t="n">
        <v>0</v>
      </c>
      <c r="J52" s="20" t="n">
        <v>0</v>
      </c>
      <c r="K52" s="18" t="n">
        <v>0</v>
      </c>
      <c r="L52" s="20" t="n">
        <v>0</v>
      </c>
      <c r="M52" s="18" t="n">
        <v>0</v>
      </c>
      <c r="N52" s="20" t="n">
        <v>0</v>
      </c>
      <c r="O52" s="18" t="n">
        <v>0</v>
      </c>
      <c r="P52" s="20" t="n">
        <v>0</v>
      </c>
      <c r="Q52" s="18" t="n">
        <v>3.29622288</v>
      </c>
      <c r="R52" s="20" t="n">
        <v>0.61588951</v>
      </c>
    </row>
    <row r="53" spans="1:18">
      <c r="A53" s="15" t="s">
        <v>476</v>
      </c>
      <c r="B53" s="17" t="n">
        <v>4740</v>
      </c>
      <c r="C53" s="18">
        <f>(3950.0/B53*100)</f>
        <v/>
      </c>
      <c r="D53" s="19" t="n">
        <v>790</v>
      </c>
      <c r="E53" s="18" t="n">
        <v>43.7487136</v>
      </c>
      <c r="F53" s="20" t="n">
        <v>2.11380298</v>
      </c>
      <c r="G53" s="18" t="n">
        <v>46.02298124</v>
      </c>
      <c r="H53" s="20" t="n">
        <v>2.07547427</v>
      </c>
      <c r="I53" s="18" t="n">
        <v>0</v>
      </c>
      <c r="J53" s="20" t="n">
        <v>0</v>
      </c>
      <c r="K53" s="18" t="n">
        <v>3.8334345</v>
      </c>
      <c r="L53" s="20" t="n">
        <v>0.80132841</v>
      </c>
      <c r="M53" s="18" t="n">
        <v>0</v>
      </c>
      <c r="N53" s="20" t="n">
        <v>0</v>
      </c>
      <c r="O53" s="18" t="n">
        <v>0</v>
      </c>
      <c r="P53" s="20" t="n">
        <v>0</v>
      </c>
      <c r="Q53" s="18" t="n">
        <v>6.39487067</v>
      </c>
      <c r="R53" s="20" t="n">
        <v>0.91306099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(4695.0/B55*100)</f>
        <v/>
      </c>
      <c r="D55" s="19" t="n">
        <v>664</v>
      </c>
      <c r="E55" s="18" t="n">
        <v>16.70770025</v>
      </c>
      <c r="F55" s="20" t="n">
        <v>1.49686166</v>
      </c>
      <c r="G55" s="18" t="n">
        <v>81.66972149</v>
      </c>
      <c r="H55" s="20" t="n">
        <v>1.57388416</v>
      </c>
      <c r="I55" s="18" t="n">
        <v>0</v>
      </c>
      <c r="J55" s="20" t="n">
        <v>0</v>
      </c>
      <c r="K55" s="18" t="n">
        <v>0.12710789</v>
      </c>
      <c r="L55" s="20" t="n">
        <v>0.12726032</v>
      </c>
      <c r="M55" s="18" t="n">
        <v>0</v>
      </c>
      <c r="N55" s="20" t="n">
        <v>0</v>
      </c>
      <c r="O55" s="18" t="n">
        <v>0</v>
      </c>
      <c r="P55" s="20" t="n">
        <v>0</v>
      </c>
      <c r="Q55" s="18" t="n">
        <v>1.49547037</v>
      </c>
      <c r="R55" s="20" t="n">
        <v>0.5142428100000001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(5748.0/B61*100)</f>
        <v/>
      </c>
      <c r="D61" s="19" t="n">
        <v>777</v>
      </c>
      <c r="E61" s="18" t="n">
        <v>22.39148941</v>
      </c>
      <c r="F61" s="20" t="n">
        <v>1.85829705</v>
      </c>
      <c r="G61" s="18" t="n">
        <v>77.22872572999999</v>
      </c>
      <c r="H61" s="20" t="n">
        <v>1.92669881</v>
      </c>
      <c r="I61" s="18" t="n">
        <v>0</v>
      </c>
      <c r="J61" s="20" t="n">
        <v>0</v>
      </c>
      <c r="K61" s="18" t="n">
        <v>0</v>
      </c>
      <c r="L61" s="20" t="n">
        <v>0</v>
      </c>
      <c r="M61" s="18" t="n">
        <v>0</v>
      </c>
      <c r="N61" s="20" t="n">
        <v>0</v>
      </c>
      <c r="O61" s="18" t="n">
        <v>0</v>
      </c>
      <c r="P61" s="20" t="n">
        <v>0</v>
      </c>
      <c r="Q61" s="18" t="n">
        <v>0.37978486</v>
      </c>
      <c r="R61" s="20" t="n">
        <v>0.22636887</v>
      </c>
    </row>
    <row r="62" spans="1:18">
      <c r="A62" s="15" t="s">
        <v>486</v>
      </c>
      <c r="B62" s="17" t="n">
        <v>4476</v>
      </c>
      <c r="C62" s="18">
        <f>(3921.0/B62*100)</f>
        <v/>
      </c>
      <c r="D62" s="19" t="n">
        <v>555</v>
      </c>
      <c r="E62" s="18" t="n">
        <v>20.31193579</v>
      </c>
      <c r="F62" s="20" t="n">
        <v>1.69809391</v>
      </c>
      <c r="G62" s="18" t="n">
        <v>79.50311472999999</v>
      </c>
      <c r="H62" s="20" t="n">
        <v>1.68870343</v>
      </c>
      <c r="I62" s="18" t="n">
        <v>0</v>
      </c>
      <c r="J62" s="20" t="n">
        <v>0</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(4965.0/B67*100)</f>
        <v/>
      </c>
      <c r="D67" s="19" t="n">
        <v>700</v>
      </c>
      <c r="E67" s="18" t="n">
        <v>34.60206628</v>
      </c>
      <c r="F67" s="20" t="n">
        <v>1.72300769</v>
      </c>
      <c r="G67" s="18" t="n">
        <v>62.47987123</v>
      </c>
      <c r="H67" s="20" t="n">
        <v>1.77792718</v>
      </c>
      <c r="I67" s="18" t="n">
        <v>0</v>
      </c>
      <c r="J67" s="20" t="n">
        <v>0</v>
      </c>
      <c r="K67" s="18" t="n">
        <v>0.62283786</v>
      </c>
      <c r="L67" s="20" t="n">
        <v>0.31879433</v>
      </c>
      <c r="M67" s="18" t="n">
        <v>0</v>
      </c>
      <c r="N67" s="20" t="n">
        <v>0</v>
      </c>
      <c r="O67" s="18" t="n">
        <v>0</v>
      </c>
      <c r="P67" s="20" t="n">
        <v>0</v>
      </c>
      <c r="Q67" s="18" t="n">
        <v>2.29522462</v>
      </c>
      <c r="R67" s="20" t="n">
        <v>0.54258259</v>
      </c>
    </row>
    <row r="68" spans="1:18">
      <c r="A68" s="15" t="s">
        <v>492</v>
      </c>
      <c r="B68" s="17" t="n">
        <v>6971</v>
      </c>
      <c r="C68" s="18">
        <f>(6136.0/B68*100)</f>
        <v/>
      </c>
      <c r="D68" s="19" t="n">
        <v>835</v>
      </c>
      <c r="E68" s="18" t="n">
        <v>30.50641542</v>
      </c>
      <c r="F68" s="20" t="n">
        <v>1.32422898</v>
      </c>
      <c r="G68" s="18" t="n">
        <v>68.18989657</v>
      </c>
      <c r="H68" s="20" t="n">
        <v>1.31409841</v>
      </c>
      <c r="I68" s="18" t="n">
        <v>0</v>
      </c>
      <c r="J68" s="20" t="n">
        <v>0</v>
      </c>
      <c r="K68" s="18" t="n">
        <v>0.09068242</v>
      </c>
      <c r="L68" s="20" t="n">
        <v>0.09043953</v>
      </c>
      <c r="M68" s="18" t="n">
        <v>0</v>
      </c>
      <c r="N68" s="20" t="n">
        <v>0</v>
      </c>
      <c r="O68" s="18" t="n">
        <v>0</v>
      </c>
      <c r="P68" s="20" t="n">
        <v>0</v>
      </c>
      <c r="Q68" s="18" t="n">
        <v>1.21300559</v>
      </c>
      <c r="R68" s="20" t="n">
        <v>0.36580984</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(10060.0/B70*100)</f>
        <v/>
      </c>
      <c r="D70" s="19" t="n">
        <v>2023</v>
      </c>
      <c r="E70" s="18" t="n">
        <v>30.22253943</v>
      </c>
      <c r="F70" s="20" t="n">
        <v>1.01818457</v>
      </c>
      <c r="G70" s="18" t="n">
        <v>63.43814872</v>
      </c>
      <c r="H70" s="20" t="n">
        <v>1.08175372</v>
      </c>
      <c r="I70" s="18" t="n">
        <v>0</v>
      </c>
      <c r="J70" s="20" t="n">
        <v>0</v>
      </c>
      <c r="K70" s="18" t="n">
        <v>1.32016094</v>
      </c>
      <c r="L70" s="20" t="n">
        <v>0.26703506</v>
      </c>
      <c r="M70" s="18" t="n">
        <v>0</v>
      </c>
      <c r="N70" s="20" t="n">
        <v>0</v>
      </c>
      <c r="O70" s="18" t="n">
        <v>0</v>
      </c>
      <c r="P70" s="20" t="n">
        <v>0</v>
      </c>
      <c r="Q70" s="18" t="n">
        <v>5.0191509</v>
      </c>
      <c r="R70" s="20" t="n">
        <v>0.42903989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(5322.0/B72*100)</f>
        <v/>
      </c>
      <c r="D72" s="19" t="n">
        <v>714</v>
      </c>
      <c r="E72" s="18" t="n">
        <v>15.93379434</v>
      </c>
      <c r="F72" s="20" t="n">
        <v>1.75979967</v>
      </c>
      <c r="G72" s="18" t="n">
        <v>83.17420273</v>
      </c>
      <c r="H72" s="20" t="n">
        <v>1.87648395</v>
      </c>
      <c r="I72" s="18" t="n">
        <v>0</v>
      </c>
      <c r="J72" s="20" t="n">
        <v>0</v>
      </c>
      <c r="K72" s="18" t="n">
        <v>0.12752591</v>
      </c>
      <c r="L72" s="20" t="n">
        <v>0.12568591</v>
      </c>
      <c r="M72" s="18" t="n">
        <v>0</v>
      </c>
      <c r="N72" s="20" t="n">
        <v>0</v>
      </c>
      <c r="O72" s="18" t="n">
        <v>0</v>
      </c>
      <c r="P72" s="20" t="n">
        <v>0</v>
      </c>
      <c r="Q72" s="18" t="n">
        <v>0.76447701</v>
      </c>
      <c r="R72" s="20" t="n">
        <v>0.30725074</v>
      </c>
    </row>
    <row r="73" spans="1:18">
      <c r="A73" s="15" t="s">
        <v>497</v>
      </c>
      <c r="B73" s="17" t="n">
        <v>6115</v>
      </c>
      <c r="C73" s="18">
        <f>(5339.0/B73*100)</f>
        <v/>
      </c>
      <c r="D73" s="19" t="n">
        <v>776</v>
      </c>
      <c r="E73" s="18" t="n">
        <v>14.56203221</v>
      </c>
      <c r="F73" s="20" t="n">
        <v>1.37510802</v>
      </c>
      <c r="G73" s="18" t="n">
        <v>85.17430894</v>
      </c>
      <c r="H73" s="20" t="n">
        <v>1.33485487</v>
      </c>
      <c r="I73" s="18" t="n">
        <v>0</v>
      </c>
      <c r="J73" s="20" t="n">
        <v>0</v>
      </c>
      <c r="K73" s="18" t="n">
        <v>0</v>
      </c>
      <c r="L73" s="20" t="n">
        <v>0</v>
      </c>
      <c r="M73" s="18" t="n">
        <v>0</v>
      </c>
      <c r="N73" s="20" t="n">
        <v>0</v>
      </c>
      <c r="O73" s="18" t="n">
        <v>0</v>
      </c>
      <c r="P73" s="20" t="n">
        <v>0</v>
      </c>
      <c r="Q73" s="18" t="n">
        <v>0.26365885</v>
      </c>
      <c r="R73" s="20" t="n">
        <v>0.18773619</v>
      </c>
    </row>
    <row r="74" spans="1:18">
      <c r="A74" s="15" t="s">
        <v>498</v>
      </c>
      <c r="B74" s="17" t="n">
        <v>7708</v>
      </c>
      <c r="C74" s="18">
        <f>(6753.0/B74*100)</f>
        <v/>
      </c>
      <c r="D74" s="19" t="n">
        <v>955</v>
      </c>
      <c r="E74" s="18" t="n">
        <v>16.67072126</v>
      </c>
      <c r="F74" s="20" t="n">
        <v>1.26461201</v>
      </c>
      <c r="G74" s="18" t="n">
        <v>82.3226954</v>
      </c>
      <c r="H74" s="20" t="n">
        <v>1.34422135</v>
      </c>
      <c r="I74" s="18" t="n">
        <v>0</v>
      </c>
      <c r="J74" s="20" t="n">
        <v>0</v>
      </c>
      <c r="K74" s="18" t="n">
        <v>0.08315599999999999</v>
      </c>
      <c r="L74" s="20" t="n">
        <v>0.08335939000000001</v>
      </c>
      <c r="M74" s="18" t="n">
        <v>0</v>
      </c>
      <c r="N74" s="20" t="n">
        <v>0</v>
      </c>
      <c r="O74" s="18" t="n">
        <v>0</v>
      </c>
      <c r="P74" s="20" t="n">
        <v>0</v>
      </c>
      <c r="Q74" s="18" t="n">
        <v>0.92342735</v>
      </c>
      <c r="R74" s="20" t="n">
        <v>0.34329418</v>
      </c>
    </row>
    <row r="75" spans="1:18">
      <c r="A75" s="15" t="s">
        <v>499</v>
      </c>
      <c r="B75" s="17" t="n">
        <v>8249</v>
      </c>
      <c r="C75" s="18">
        <f>(7246.0/B75*100)</f>
        <v/>
      </c>
      <c r="D75" s="19" t="n">
        <v>1003</v>
      </c>
      <c r="E75" s="18" t="n">
        <v>32.28846029</v>
      </c>
      <c r="F75" s="20" t="n">
        <v>1.8710006</v>
      </c>
      <c r="G75" s="18" t="n">
        <v>67.19525982</v>
      </c>
      <c r="H75" s="20" t="n">
        <v>1.88146375</v>
      </c>
      <c r="I75" s="18" t="n">
        <v>0</v>
      </c>
      <c r="J75" s="20" t="n">
        <v>0</v>
      </c>
      <c r="K75" s="18" t="n">
        <v>0.14756085</v>
      </c>
      <c r="L75" s="20" t="n">
        <v>0.14748104</v>
      </c>
      <c r="M75" s="18" t="n">
        <v>0</v>
      </c>
      <c r="N75" s="20" t="n">
        <v>0</v>
      </c>
      <c r="O75" s="18" t="n">
        <v>0</v>
      </c>
      <c r="P75" s="20" t="n">
        <v>0</v>
      </c>
      <c r="Q75" s="18" t="n">
        <v>0.36871904</v>
      </c>
      <c r="R75" s="20" t="n">
        <v>0.2221014</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(4750.0/B77*100)</f>
        <v/>
      </c>
      <c r="D77" s="19" t="n">
        <v>625</v>
      </c>
      <c r="E77" s="18" t="n">
        <v>44.00969095</v>
      </c>
      <c r="F77" s="20" t="n">
        <v>2.39301158</v>
      </c>
      <c r="G77" s="18" t="n">
        <v>52.66627034</v>
      </c>
      <c r="H77" s="20" t="n">
        <v>2.30047559</v>
      </c>
      <c r="I77" s="18" t="n">
        <v>0</v>
      </c>
      <c r="J77" s="20" t="n">
        <v>0</v>
      </c>
      <c r="K77" s="18" t="n">
        <v>0.9180977</v>
      </c>
      <c r="L77" s="20" t="n">
        <v>0.35879271</v>
      </c>
      <c r="M77" s="18" t="n">
        <v>0</v>
      </c>
      <c r="N77" s="20" t="n">
        <v>0</v>
      </c>
      <c r="O77" s="18" t="n">
        <v>0</v>
      </c>
      <c r="P77" s="20" t="n">
        <v>0</v>
      </c>
      <c r="Q77" s="18" t="n">
        <v>2.40594102</v>
      </c>
      <c r="R77" s="20" t="n">
        <v>0.65998868</v>
      </c>
    </row>
    <row r="78" spans="1:18">
      <c r="A78" s="15" t="s">
        <v>502</v>
      </c>
      <c r="B78" s="17" t="n">
        <v>14167</v>
      </c>
      <c r="C78" s="18">
        <f>(12404.0/B78*100)</f>
        <v/>
      </c>
      <c r="D78" s="19" t="n">
        <v>1763</v>
      </c>
      <c r="E78" s="18" t="n">
        <v>29.81278313</v>
      </c>
      <c r="F78" s="20" t="n">
        <v>1.44587284</v>
      </c>
      <c r="G78" s="18" t="n">
        <v>67.5380306</v>
      </c>
      <c r="H78" s="20" t="n">
        <v>1.40374866</v>
      </c>
      <c r="I78" s="18" t="n">
        <v>0</v>
      </c>
      <c r="J78" s="20" t="n">
        <v>0</v>
      </c>
      <c r="K78" s="18" t="n">
        <v>0.43646777</v>
      </c>
      <c r="L78" s="20" t="n">
        <v>0.16339951</v>
      </c>
      <c r="M78" s="18" t="n">
        <v>0</v>
      </c>
      <c r="N78" s="20" t="n">
        <v>0</v>
      </c>
      <c r="O78" s="18" t="n">
        <v>0</v>
      </c>
      <c r="P78" s="20" t="n">
        <v>0</v>
      </c>
      <c r="Q78" s="18" t="n">
        <v>2.21271851</v>
      </c>
      <c r="R78" s="20" t="n">
        <v>0.4807809</v>
      </c>
    </row>
    <row r="79" spans="1:18">
      <c r="A79" s="15" t="s">
        <v>503</v>
      </c>
      <c r="B79" s="17" t="n">
        <v>6062</v>
      </c>
      <c r="C79" s="18">
        <f>(5314.0/B79*100)</f>
        <v/>
      </c>
      <c r="D79" s="19" t="n">
        <v>748</v>
      </c>
      <c r="E79" s="18" t="n">
        <v>30.53461037</v>
      </c>
      <c r="F79" s="20" t="n">
        <v>1.60243812</v>
      </c>
      <c r="G79" s="18" t="n">
        <v>65.66717704</v>
      </c>
      <c r="H79" s="20" t="n">
        <v>1.54511324</v>
      </c>
      <c r="I79" s="18" t="n">
        <v>0</v>
      </c>
      <c r="J79" s="20" t="n">
        <v>0</v>
      </c>
      <c r="K79" s="18" t="n">
        <v>0.57026</v>
      </c>
      <c r="L79" s="20" t="n">
        <v>0.29538117</v>
      </c>
      <c r="M79" s="18" t="n">
        <v>0</v>
      </c>
      <c r="N79" s="20" t="n">
        <v>0</v>
      </c>
      <c r="O79" s="18" t="n">
        <v>0</v>
      </c>
      <c r="P79" s="20" t="n">
        <v>0</v>
      </c>
      <c r="Q79" s="18" t="n">
        <v>3.2279526</v>
      </c>
      <c r="R79" s="20" t="n">
        <v>0.7275948800000001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(28367.0/B82*100)</f>
        <v/>
      </c>
      <c r="D82" s="19" t="n">
        <v>3963</v>
      </c>
      <c r="E82" s="18" t="n">
        <v>21.3938623</v>
      </c>
      <c r="F82" s="20" t="n">
        <v>0.92840566</v>
      </c>
      <c r="G82" s="18" t="n">
        <v>77.51793187</v>
      </c>
      <c r="H82" s="20" t="n">
        <v>0.94253725</v>
      </c>
      <c r="I82" s="18" t="n">
        <v>0</v>
      </c>
      <c r="J82" s="20" t="n">
        <v>0</v>
      </c>
      <c r="K82" s="18" t="n">
        <v>0.15434406</v>
      </c>
      <c r="L82" s="20" t="n">
        <v>0.09168082</v>
      </c>
      <c r="M82" s="18" t="n">
        <v>0</v>
      </c>
      <c r="N82" s="20" t="n">
        <v>0</v>
      </c>
      <c r="O82" s="18" t="n">
        <v>0</v>
      </c>
      <c r="P82" s="20" t="n">
        <v>0</v>
      </c>
      <c r="Q82" s="18" t="n">
        <v>0.93386176</v>
      </c>
      <c r="R82" s="20" t="n">
        <v>0.23183241</v>
      </c>
    </row>
    <row r="83" spans="1:18">
      <c r="A83" s="15" t="s">
        <v>507</v>
      </c>
      <c r="B83" s="17" t="n">
        <v>1652</v>
      </c>
      <c r="C83" s="18">
        <f>(1456.0/B83*100)</f>
        <v/>
      </c>
      <c r="D83" s="19" t="n">
        <v>196</v>
      </c>
      <c r="E83" s="18" t="n">
        <v>14.18175668</v>
      </c>
      <c r="F83" s="20" t="n">
        <v>2.87984014</v>
      </c>
      <c r="G83" s="18" t="n">
        <v>85.15745373999999</v>
      </c>
      <c r="H83" s="20" t="n">
        <v>2.86327378</v>
      </c>
      <c r="I83" s="18" t="n">
        <v>0</v>
      </c>
      <c r="J83" s="20" t="n">
        <v>0</v>
      </c>
      <c r="K83" s="18" t="n">
        <v>0</v>
      </c>
      <c r="L83" s="20" t="n">
        <v>0</v>
      </c>
      <c r="M83" s="18" t="n">
        <v>0</v>
      </c>
      <c r="N83" s="20" t="n">
        <v>0</v>
      </c>
      <c r="O83" s="18" t="n">
        <v>0</v>
      </c>
      <c r="P83" s="20" t="n">
        <v>0</v>
      </c>
      <c r="Q83" s="18" t="n">
        <v>0.66078959</v>
      </c>
      <c r="R83" s="20" t="n">
        <v>0.65179106</v>
      </c>
    </row>
    <row r="84" spans="1:18">
      <c r="A84" s="23" t="s">
        <v>508</v>
      </c>
      <c r="B84" s="24" t="n">
        <v>1887</v>
      </c>
      <c r="C84" s="25">
        <f>(1654.0/B84*100)</f>
        <v/>
      </c>
      <c r="D84" s="19" t="n">
        <v>233</v>
      </c>
      <c r="E84" s="18" t="n">
        <v>21.87846459</v>
      </c>
      <c r="F84" s="20" t="n">
        <v>3.24254505</v>
      </c>
      <c r="G84" s="18" t="n">
        <v>77.69298052000001</v>
      </c>
      <c r="H84" s="20" t="n">
        <v>3.18748955</v>
      </c>
      <c r="I84" s="18" t="n">
        <v>0</v>
      </c>
      <c r="J84" s="20" t="n">
        <v>0</v>
      </c>
      <c r="K84" s="18" t="n">
        <v>0</v>
      </c>
      <c r="L84" s="20" t="n">
        <v>0</v>
      </c>
      <c r="M84" s="18" t="n">
        <v>0</v>
      </c>
      <c r="N84" s="20" t="n">
        <v>0</v>
      </c>
      <c r="O84" s="18" t="n">
        <v>0</v>
      </c>
      <c r="P84" s="20" t="n">
        <v>0</v>
      </c>
      <c r="Q84" s="18" t="n">
        <v>0.42855489</v>
      </c>
      <c r="R84" s="20" t="n">
        <v>0.43441691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(12762.0/B7*100)</f>
        <v/>
      </c>
      <c r="D7" s="19" t="n">
        <v>1768</v>
      </c>
      <c r="E7" s="18" t="n">
        <v>21.90058765</v>
      </c>
      <c r="F7" s="20" t="n">
        <v>1.16443403</v>
      </c>
      <c r="G7" s="18" t="n">
        <v>77.1850396</v>
      </c>
      <c r="H7" s="20" t="n">
        <v>1.1953087</v>
      </c>
      <c r="I7" s="18" t="n">
        <v>0</v>
      </c>
      <c r="J7" s="20" t="n">
        <v>0</v>
      </c>
      <c r="K7" s="18" t="n">
        <v>0.01971177</v>
      </c>
      <c r="L7" s="20" t="n">
        <v>0.01414691</v>
      </c>
      <c r="M7" s="18" t="n">
        <v>0</v>
      </c>
      <c r="N7" s="20" t="n">
        <v>0</v>
      </c>
      <c r="O7" s="18" t="n">
        <v>0</v>
      </c>
      <c r="P7" s="20" t="n">
        <v>0</v>
      </c>
      <c r="Q7" s="18" t="n">
        <v>0.89466099</v>
      </c>
      <c r="R7" s="20" t="n">
        <v>0.28111696</v>
      </c>
    </row>
    <row r="8" spans="1:18">
      <c r="A8" s="15" t="s">
        <v>430</v>
      </c>
      <c r="B8" s="17" t="n">
        <v>7007</v>
      </c>
      <c r="C8" s="18">
        <f>(6125.0/B8*100)</f>
        <v/>
      </c>
      <c r="D8" s="19" t="n">
        <v>882</v>
      </c>
      <c r="E8" s="18" t="n">
        <v>26.32384692</v>
      </c>
      <c r="F8" s="20" t="n">
        <v>1.70594599</v>
      </c>
      <c r="G8" s="18" t="n">
        <v>72.16827804</v>
      </c>
      <c r="H8" s="20" t="n">
        <v>1.69195927</v>
      </c>
      <c r="I8" s="18" t="n">
        <v>0</v>
      </c>
      <c r="J8" s="20" t="n">
        <v>0</v>
      </c>
      <c r="K8" s="18" t="n">
        <v>0.13402243</v>
      </c>
      <c r="L8" s="20" t="n">
        <v>0.13472874</v>
      </c>
      <c r="M8" s="18" t="n">
        <v>0</v>
      </c>
      <c r="N8" s="20" t="n">
        <v>0</v>
      </c>
      <c r="O8" s="18" t="n">
        <v>0</v>
      </c>
      <c r="P8" s="20" t="n">
        <v>0</v>
      </c>
      <c r="Q8" s="18" t="n">
        <v>1.37385261</v>
      </c>
      <c r="R8" s="20" t="n">
        <v>0.47344874</v>
      </c>
    </row>
    <row r="9" spans="1:18">
      <c r="A9" s="15" t="s">
        <v>431</v>
      </c>
      <c r="B9" s="17" t="n">
        <v>9651</v>
      </c>
      <c r="C9" s="18">
        <f>(8497.0/B9*100)</f>
        <v/>
      </c>
      <c r="D9" s="19" t="n">
        <v>1154</v>
      </c>
      <c r="E9" s="18" t="n">
        <v>24.8980961</v>
      </c>
      <c r="F9" s="20" t="n">
        <v>1.44878434</v>
      </c>
      <c r="G9" s="18" t="n">
        <v>73.56236748000001</v>
      </c>
      <c r="H9" s="20" t="n">
        <v>1.53384298</v>
      </c>
      <c r="I9" s="18" t="n">
        <v>0</v>
      </c>
      <c r="J9" s="20" t="n">
        <v>0</v>
      </c>
      <c r="K9" s="18" t="n">
        <v>0.08300282</v>
      </c>
      <c r="L9" s="20" t="n">
        <v>0.08694331</v>
      </c>
      <c r="M9" s="18" t="n">
        <v>0</v>
      </c>
      <c r="N9" s="20" t="n">
        <v>0</v>
      </c>
      <c r="O9" s="18" t="n">
        <v>0</v>
      </c>
      <c r="P9" s="20" t="n">
        <v>0</v>
      </c>
      <c r="Q9" s="18" t="n">
        <v>1.4565336</v>
      </c>
      <c r="R9" s="20" t="n">
        <v>0.36116039</v>
      </c>
    </row>
    <row r="10" spans="1:18">
      <c r="A10" s="15" t="s">
        <v>432</v>
      </c>
      <c r="B10" s="17" t="n">
        <v>20058</v>
      </c>
      <c r="C10" s="18">
        <f>(17528.0/B10*100)</f>
        <v/>
      </c>
      <c r="D10" s="19" t="n">
        <v>2530</v>
      </c>
      <c r="E10" s="18" t="n">
        <v>19.47985707</v>
      </c>
      <c r="F10" s="20" t="n">
        <v>1.03066036</v>
      </c>
      <c r="G10" s="18" t="n">
        <v>79.8637256</v>
      </c>
      <c r="H10" s="20" t="n">
        <v>1.09695898</v>
      </c>
      <c r="I10" s="18" t="n">
        <v>0</v>
      </c>
      <c r="J10" s="20" t="n">
        <v>0</v>
      </c>
      <c r="K10" s="18" t="n">
        <v>0.10943568</v>
      </c>
      <c r="L10" s="20" t="n">
        <v>0.08839392</v>
      </c>
      <c r="M10" s="18" t="n">
        <v>0</v>
      </c>
      <c r="N10" s="20" t="n">
        <v>0</v>
      </c>
      <c r="O10" s="18" t="n">
        <v>0</v>
      </c>
      <c r="P10" s="20" t="n">
        <v>0</v>
      </c>
      <c r="Q10" s="18" t="n">
        <v>0.54698164</v>
      </c>
      <c r="R10" s="20" t="n">
        <v>0.21124607</v>
      </c>
    </row>
    <row r="11" spans="1:18">
      <c r="A11" s="15" t="s">
        <v>433</v>
      </c>
      <c r="B11" s="17" t="n">
        <v>7053</v>
      </c>
      <c r="C11" s="18">
        <f>(6215.0/B11*100)</f>
        <v/>
      </c>
      <c r="D11" s="19" t="n">
        <v>838</v>
      </c>
      <c r="E11" s="18" t="n">
        <v>34.84203979</v>
      </c>
      <c r="F11" s="20" t="n">
        <v>2.12940725</v>
      </c>
      <c r="G11" s="18" t="n">
        <v>63.32474671</v>
      </c>
      <c r="H11" s="20" t="n">
        <v>2.11323002</v>
      </c>
      <c r="I11" s="18" t="n">
        <v>0</v>
      </c>
      <c r="J11" s="20" t="n">
        <v>0</v>
      </c>
      <c r="K11" s="18" t="n">
        <v>0.6948895</v>
      </c>
      <c r="L11" s="20" t="n">
        <v>0.42327363</v>
      </c>
      <c r="M11" s="18" t="n">
        <v>0</v>
      </c>
      <c r="N11" s="20" t="n">
        <v>0</v>
      </c>
      <c r="O11" s="18" t="n">
        <v>0</v>
      </c>
      <c r="P11" s="20" t="n">
        <v>0</v>
      </c>
      <c r="Q11" s="18" t="n">
        <v>1.138324</v>
      </c>
      <c r="R11" s="20" t="n">
        <v>0.44373314</v>
      </c>
    </row>
    <row r="12" spans="1:18">
      <c r="A12" s="15" t="s">
        <v>434</v>
      </c>
      <c r="B12" s="17" t="n">
        <v>6894</v>
      </c>
      <c r="C12" s="18">
        <f>(6054.0/B12*100)</f>
        <v/>
      </c>
      <c r="D12" s="19" t="n">
        <v>840</v>
      </c>
      <c r="E12" s="18" t="n">
        <v>26.46505851</v>
      </c>
      <c r="F12" s="20" t="n">
        <v>1.78709297</v>
      </c>
      <c r="G12" s="18" t="n">
        <v>73.14154522</v>
      </c>
      <c r="H12" s="20" t="n">
        <v>1.76548017</v>
      </c>
      <c r="I12" s="18" t="n">
        <v>0</v>
      </c>
      <c r="J12" s="20" t="n">
        <v>0</v>
      </c>
      <c r="K12" s="18" t="n">
        <v>0.10819401</v>
      </c>
      <c r="L12" s="20" t="n">
        <v>0.10598601</v>
      </c>
      <c r="M12" s="18" t="n">
        <v>0</v>
      </c>
      <c r="N12" s="20" t="n">
        <v>0</v>
      </c>
      <c r="O12" s="18" t="n">
        <v>0</v>
      </c>
      <c r="P12" s="20" t="n">
        <v>0</v>
      </c>
      <c r="Q12" s="18" t="n">
        <v>0.28520226</v>
      </c>
      <c r="R12" s="20" t="n">
        <v>0.1417703</v>
      </c>
    </row>
    <row r="13" spans="1:18">
      <c r="A13" s="15" t="s">
        <v>435</v>
      </c>
      <c r="B13" s="17" t="n">
        <v>7161</v>
      </c>
      <c r="C13" s="18">
        <f>(6314.0/B13*100)</f>
        <v/>
      </c>
      <c r="D13" s="19" t="n">
        <v>847</v>
      </c>
      <c r="E13" s="18" t="n">
        <v>27.80364878</v>
      </c>
      <c r="F13" s="20" t="n">
        <v>1.89328646</v>
      </c>
      <c r="G13" s="18" t="n">
        <v>70.83704931</v>
      </c>
      <c r="H13" s="20" t="n">
        <v>1.94211608</v>
      </c>
      <c r="I13" s="18" t="n">
        <v>0</v>
      </c>
      <c r="J13" s="20" t="n">
        <v>0</v>
      </c>
      <c r="K13" s="18" t="n">
        <v>0.27865046</v>
      </c>
      <c r="L13" s="20" t="n">
        <v>0.17575319</v>
      </c>
      <c r="M13" s="18" t="n">
        <v>0</v>
      </c>
      <c r="N13" s="20" t="n">
        <v>0</v>
      </c>
      <c r="O13" s="18" t="n">
        <v>0</v>
      </c>
      <c r="P13" s="20" t="n">
        <v>0</v>
      </c>
      <c r="Q13" s="18" t="n">
        <v>1.08065144</v>
      </c>
      <c r="R13" s="20" t="n">
        <v>0.39128204</v>
      </c>
    </row>
    <row r="14" spans="1:18">
      <c r="A14" s="15" t="s">
        <v>436</v>
      </c>
      <c r="B14" s="17" t="n">
        <v>5587</v>
      </c>
      <c r="C14" s="18">
        <f>(4922.0/B14*100)</f>
        <v/>
      </c>
      <c r="D14" s="19" t="n">
        <v>665</v>
      </c>
      <c r="E14" s="18" t="n">
        <v>23.85849308</v>
      </c>
      <c r="F14" s="20" t="n">
        <v>2.06323252</v>
      </c>
      <c r="G14" s="18" t="n">
        <v>76.14150692</v>
      </c>
      <c r="H14" s="20" t="n">
        <v>2.06323252</v>
      </c>
      <c r="I14" s="18" t="n">
        <v>0</v>
      </c>
      <c r="J14" s="20" t="n">
        <v>0</v>
      </c>
      <c r="K14" s="18" t="n">
        <v>0</v>
      </c>
      <c r="L14" s="20" t="n">
        <v>0</v>
      </c>
      <c r="M14" s="18" t="n">
        <v>0</v>
      </c>
      <c r="N14" s="20" t="n">
        <v>0</v>
      </c>
      <c r="O14" s="18" t="n">
        <v>0</v>
      </c>
      <c r="P14" s="20" t="n">
        <v>0</v>
      </c>
      <c r="Q14" s="18" t="n">
        <v>0</v>
      </c>
      <c r="R14" s="20" t="n">
        <v>0</v>
      </c>
    </row>
    <row r="15" spans="1:18">
      <c r="A15" s="15" t="s">
        <v>437</v>
      </c>
      <c r="B15" s="17" t="n">
        <v>5882</v>
      </c>
      <c r="C15" s="18">
        <f>(5152.0/B15*100)</f>
        <v/>
      </c>
      <c r="D15" s="19" t="n">
        <v>730</v>
      </c>
      <c r="E15" s="18" t="n">
        <v>15.44548366</v>
      </c>
      <c r="F15" s="20" t="n">
        <v>1.30154806</v>
      </c>
      <c r="G15" s="18" t="n">
        <v>84.01875138</v>
      </c>
      <c r="H15" s="20" t="n">
        <v>1.29310403</v>
      </c>
      <c r="I15" s="18" t="n">
        <v>0</v>
      </c>
      <c r="J15" s="20" t="n">
        <v>0</v>
      </c>
      <c r="K15" s="18" t="n">
        <v>0</v>
      </c>
      <c r="L15" s="20" t="n">
        <v>0</v>
      </c>
      <c r="M15" s="18" t="n">
        <v>0</v>
      </c>
      <c r="N15" s="20" t="n">
        <v>0</v>
      </c>
      <c r="O15" s="18" t="n">
        <v>0</v>
      </c>
      <c r="P15" s="20" t="n">
        <v>0</v>
      </c>
      <c r="Q15" s="18" t="n">
        <v>0.53576496</v>
      </c>
      <c r="R15" s="20" t="n">
        <v>0.26851637</v>
      </c>
    </row>
    <row r="16" spans="1:18">
      <c r="A16" s="15" t="s">
        <v>438</v>
      </c>
      <c r="B16" s="17" t="n">
        <v>6108</v>
      </c>
      <c r="C16" s="18">
        <f>(5366.0/B16*100)</f>
        <v/>
      </c>
      <c r="D16" s="19" t="n">
        <v>742</v>
      </c>
      <c r="E16" s="18" t="n">
        <v>21.20135131</v>
      </c>
      <c r="F16" s="20" t="n">
        <v>1.58836986</v>
      </c>
      <c r="G16" s="18" t="n">
        <v>76.21004909</v>
      </c>
      <c r="H16" s="20" t="n">
        <v>1.66154992</v>
      </c>
      <c r="I16" s="18" t="n">
        <v>0</v>
      </c>
      <c r="J16" s="20" t="n">
        <v>0</v>
      </c>
      <c r="K16" s="18" t="n">
        <v>0.82984814</v>
      </c>
      <c r="L16" s="20" t="n">
        <v>0.38431719</v>
      </c>
      <c r="M16" s="18" t="n">
        <v>0</v>
      </c>
      <c r="N16" s="20" t="n">
        <v>0</v>
      </c>
      <c r="O16" s="18" t="n">
        <v>0</v>
      </c>
      <c r="P16" s="20" t="n">
        <v>0</v>
      </c>
      <c r="Q16" s="18" t="n">
        <v>1.75875146</v>
      </c>
      <c r="R16" s="20" t="n">
        <v>0.4818605</v>
      </c>
    </row>
    <row r="17" spans="1:18">
      <c r="A17" s="15" t="s">
        <v>439</v>
      </c>
      <c r="B17" s="17" t="n">
        <v>6504</v>
      </c>
      <c r="C17" s="18">
        <f>(5738.0/B17*100)</f>
        <v/>
      </c>
      <c r="D17" s="19" t="n">
        <v>766</v>
      </c>
      <c r="E17" s="18" t="n">
        <v>22.92198451</v>
      </c>
      <c r="F17" s="20" t="n">
        <v>1.40838202</v>
      </c>
      <c r="G17" s="18" t="n">
        <v>75.88095165999999</v>
      </c>
      <c r="H17" s="20" t="n">
        <v>1.42257438</v>
      </c>
      <c r="I17" s="18" t="n">
        <v>0</v>
      </c>
      <c r="J17" s="20" t="n">
        <v>0</v>
      </c>
      <c r="K17" s="18" t="n">
        <v>0.09850502999999999</v>
      </c>
      <c r="L17" s="20" t="n">
        <v>0.09875597</v>
      </c>
      <c r="M17" s="18" t="n">
        <v>0</v>
      </c>
      <c r="N17" s="20" t="n">
        <v>0</v>
      </c>
      <c r="O17" s="18" t="n">
        <v>0</v>
      </c>
      <c r="P17" s="20" t="n">
        <v>0</v>
      </c>
      <c r="Q17" s="18" t="n">
        <v>1.0985588</v>
      </c>
      <c r="R17" s="20" t="n">
        <v>0.39775617</v>
      </c>
    </row>
    <row r="18" spans="1:18">
      <c r="A18" s="15" t="s">
        <v>440</v>
      </c>
      <c r="B18" s="17" t="n">
        <v>5532</v>
      </c>
      <c r="C18" s="18">
        <f>(4840.0/B18*100)</f>
        <v/>
      </c>
      <c r="D18" s="19" t="n">
        <v>692</v>
      </c>
      <c r="E18" s="18" t="n">
        <v>30.66704974</v>
      </c>
      <c r="F18" s="20" t="n">
        <v>2.38168568</v>
      </c>
      <c r="G18" s="18" t="n">
        <v>67.53294395</v>
      </c>
      <c r="H18" s="20" t="n">
        <v>2.39131756</v>
      </c>
      <c r="I18" s="18" t="n">
        <v>0</v>
      </c>
      <c r="J18" s="20" t="n">
        <v>0</v>
      </c>
      <c r="K18" s="18" t="n">
        <v>0.26058611</v>
      </c>
      <c r="L18" s="20" t="n">
        <v>0.26318909</v>
      </c>
      <c r="M18" s="18" t="n">
        <v>0</v>
      </c>
      <c r="N18" s="20" t="n">
        <v>0</v>
      </c>
      <c r="O18" s="18" t="n">
        <v>0</v>
      </c>
      <c r="P18" s="20" t="n">
        <v>0</v>
      </c>
      <c r="Q18" s="18" t="n">
        <v>1.5394202</v>
      </c>
      <c r="R18" s="20" t="n">
        <v>0.51110774</v>
      </c>
    </row>
    <row r="19" spans="1:18">
      <c r="A19" s="15" t="s">
        <v>441</v>
      </c>
      <c r="B19" s="17" t="n">
        <v>5658</v>
      </c>
      <c r="C19" s="18">
        <f>(4964.0/B19*100)</f>
        <v/>
      </c>
      <c r="D19" s="19" t="n">
        <v>694</v>
      </c>
      <c r="E19" s="18" t="n">
        <v>27.85183855</v>
      </c>
      <c r="F19" s="20" t="n">
        <v>1.59223211</v>
      </c>
      <c r="G19" s="18" t="n">
        <v>71.03268993</v>
      </c>
      <c r="H19" s="20" t="n">
        <v>1.70069191</v>
      </c>
      <c r="I19" s="18" t="n">
        <v>0</v>
      </c>
      <c r="J19" s="20" t="n">
        <v>0</v>
      </c>
      <c r="K19" s="18" t="n">
        <v>0.29731614</v>
      </c>
      <c r="L19" s="20" t="n">
        <v>0.32535658</v>
      </c>
      <c r="M19" s="18" t="n">
        <v>0</v>
      </c>
      <c r="N19" s="20" t="n">
        <v>0</v>
      </c>
      <c r="O19" s="18" t="n">
        <v>0</v>
      </c>
      <c r="P19" s="20" t="n">
        <v>0</v>
      </c>
      <c r="Q19" s="18" t="n">
        <v>0.81815538</v>
      </c>
      <c r="R19" s="20" t="n">
        <v>0.38129754</v>
      </c>
    </row>
    <row r="20" spans="1:18">
      <c r="A20" s="15" t="s">
        <v>442</v>
      </c>
      <c r="B20" s="17" t="n">
        <v>3371</v>
      </c>
      <c r="C20" s="18">
        <f>(2961.0/B20*100)</f>
        <v/>
      </c>
      <c r="D20" s="19" t="n">
        <v>410</v>
      </c>
      <c r="E20" s="18" t="n">
        <v>29.7908532</v>
      </c>
      <c r="F20" s="20" t="n">
        <v>2.1882651</v>
      </c>
      <c r="G20" s="18" t="n">
        <v>68.07505077</v>
      </c>
      <c r="H20" s="20" t="n">
        <v>2.11250795</v>
      </c>
      <c r="I20" s="18" t="n">
        <v>0</v>
      </c>
      <c r="J20" s="20" t="n">
        <v>0</v>
      </c>
      <c r="K20" s="18" t="n">
        <v>0.61322485</v>
      </c>
      <c r="L20" s="20" t="n">
        <v>0.44662013</v>
      </c>
      <c r="M20" s="18" t="n">
        <v>0</v>
      </c>
      <c r="N20" s="20" t="n">
        <v>0</v>
      </c>
      <c r="O20" s="18" t="n">
        <v>0</v>
      </c>
      <c r="P20" s="20" t="n">
        <v>0</v>
      </c>
      <c r="Q20" s="18" t="n">
        <v>1.52087118</v>
      </c>
      <c r="R20" s="20" t="n">
        <v>0.69557893</v>
      </c>
    </row>
    <row r="21" spans="1:18">
      <c r="A21" s="15" t="s">
        <v>443</v>
      </c>
      <c r="B21" s="17" t="n">
        <v>5741</v>
      </c>
      <c r="C21" s="18">
        <f>(4790.0/B21*100)</f>
        <v/>
      </c>
      <c r="D21" s="19" t="n">
        <v>951</v>
      </c>
      <c r="E21" s="18" t="n">
        <v>19.47304586</v>
      </c>
      <c r="F21" s="20" t="n">
        <v>1.41343678</v>
      </c>
      <c r="G21" s="18" t="n">
        <v>80.051799</v>
      </c>
      <c r="H21" s="20" t="n">
        <v>1.44426665</v>
      </c>
      <c r="I21" s="18" t="n">
        <v>0</v>
      </c>
      <c r="J21" s="20" t="n">
        <v>0</v>
      </c>
      <c r="K21" s="18" t="n">
        <v>0</v>
      </c>
      <c r="L21" s="20" t="n">
        <v>0</v>
      </c>
      <c r="M21" s="18" t="n">
        <v>0</v>
      </c>
      <c r="N21" s="20" t="n">
        <v>0</v>
      </c>
      <c r="O21" s="18" t="n">
        <v>0</v>
      </c>
      <c r="P21" s="20" t="n">
        <v>0</v>
      </c>
      <c r="Q21" s="18" t="n">
        <v>0.47515514</v>
      </c>
      <c r="R21" s="20" t="n">
        <v>0.23201885</v>
      </c>
    </row>
    <row r="22" spans="1:18">
      <c r="A22" s="15" t="s">
        <v>444</v>
      </c>
      <c r="B22" s="17" t="n">
        <v>6598</v>
      </c>
      <c r="C22" s="18">
        <f>(5842.0/B22*100)</f>
        <v/>
      </c>
      <c r="D22" s="19" t="n">
        <v>756</v>
      </c>
      <c r="E22" s="18" t="n">
        <v>24.23211277</v>
      </c>
      <c r="F22" s="20" t="n">
        <v>1.81706269</v>
      </c>
      <c r="G22" s="18" t="n">
        <v>71.66451965</v>
      </c>
      <c r="H22" s="20" t="n">
        <v>1.95837152</v>
      </c>
      <c r="I22" s="18" t="n">
        <v>0</v>
      </c>
      <c r="J22" s="20" t="n">
        <v>0</v>
      </c>
      <c r="K22" s="18" t="n">
        <v>1.04269559</v>
      </c>
      <c r="L22" s="20" t="n">
        <v>0.40930662</v>
      </c>
      <c r="M22" s="18" t="n">
        <v>0</v>
      </c>
      <c r="N22" s="20" t="n">
        <v>0</v>
      </c>
      <c r="O22" s="18" t="n">
        <v>0</v>
      </c>
      <c r="P22" s="20" t="n">
        <v>0</v>
      </c>
      <c r="Q22" s="18" t="n">
        <v>3.06067199</v>
      </c>
      <c r="R22" s="20" t="n">
        <v>0.62840122</v>
      </c>
    </row>
    <row r="23" spans="1:18">
      <c r="A23" s="15" t="s">
        <v>445</v>
      </c>
      <c r="B23" s="17" t="n">
        <v>11583</v>
      </c>
      <c r="C23" s="18">
        <f>(10154.0/B23*100)</f>
        <v/>
      </c>
      <c r="D23" s="19" t="n">
        <v>1429</v>
      </c>
      <c r="E23" s="18" t="n">
        <v>17.80755433</v>
      </c>
      <c r="F23" s="20" t="n">
        <v>1.48430312</v>
      </c>
      <c r="G23" s="18" t="n">
        <v>81.10302591999999</v>
      </c>
      <c r="H23" s="20" t="n">
        <v>1.6199402</v>
      </c>
      <c r="I23" s="18" t="n">
        <v>0</v>
      </c>
      <c r="J23" s="20" t="n">
        <v>0</v>
      </c>
      <c r="K23" s="18" t="n">
        <v>0.27755116</v>
      </c>
      <c r="L23" s="20" t="n">
        <v>0.24508687</v>
      </c>
      <c r="M23" s="18" t="n">
        <v>0</v>
      </c>
      <c r="N23" s="20" t="n">
        <v>0</v>
      </c>
      <c r="O23" s="18" t="n">
        <v>0</v>
      </c>
      <c r="P23" s="20" t="n">
        <v>0</v>
      </c>
      <c r="Q23" s="18" t="n">
        <v>0.81186858</v>
      </c>
      <c r="R23" s="20" t="n">
        <v>0.38283017</v>
      </c>
    </row>
    <row r="24" spans="1:18">
      <c r="A24" s="15" t="s">
        <v>446</v>
      </c>
      <c r="B24" s="17" t="n">
        <v>6647</v>
      </c>
      <c r="C24" s="18">
        <f>(5846.0/B24*100)</f>
        <v/>
      </c>
      <c r="D24" s="19" t="n">
        <v>801</v>
      </c>
      <c r="E24" s="18" t="n">
        <v>16.61779071</v>
      </c>
      <c r="F24" s="20" t="n">
        <v>1.44464099</v>
      </c>
      <c r="G24" s="18" t="n">
        <v>82.276365</v>
      </c>
      <c r="H24" s="20" t="n">
        <v>1.46064717</v>
      </c>
      <c r="I24" s="18" t="n">
        <v>0</v>
      </c>
      <c r="J24" s="20" t="n">
        <v>0</v>
      </c>
      <c r="K24" s="18" t="n">
        <v>0.12702673</v>
      </c>
      <c r="L24" s="20" t="n">
        <v>0.12123151</v>
      </c>
      <c r="M24" s="18" t="n">
        <v>0</v>
      </c>
      <c r="N24" s="20" t="n">
        <v>0</v>
      </c>
      <c r="O24" s="18" t="n">
        <v>0</v>
      </c>
      <c r="P24" s="20" t="n">
        <v>0</v>
      </c>
      <c r="Q24" s="18" t="n">
        <v>0.97881756</v>
      </c>
      <c r="R24" s="20" t="n">
        <v>0.34848</v>
      </c>
    </row>
    <row r="25" spans="1:18">
      <c r="A25" s="15" t="s">
        <v>447</v>
      </c>
      <c r="B25" s="17" t="n">
        <v>5581</v>
      </c>
      <c r="C25" s="18">
        <f>(4891.0/B25*100)</f>
        <v/>
      </c>
      <c r="D25" s="19" t="n">
        <v>690</v>
      </c>
      <c r="E25" s="18" t="n">
        <v>21.89106358</v>
      </c>
      <c r="F25" s="20" t="n">
        <v>1.52630069</v>
      </c>
      <c r="G25" s="18" t="n">
        <v>77.8215204</v>
      </c>
      <c r="H25" s="20" t="n">
        <v>1.49485662</v>
      </c>
      <c r="I25" s="18" t="n">
        <v>0</v>
      </c>
      <c r="J25" s="20" t="n">
        <v>0</v>
      </c>
      <c r="K25" s="18" t="n">
        <v>0.28741602</v>
      </c>
      <c r="L25" s="20" t="n">
        <v>0.20301638</v>
      </c>
      <c r="M25" s="18" t="n">
        <v>0</v>
      </c>
      <c r="N25" s="20" t="n">
        <v>0</v>
      </c>
      <c r="O25" s="18" t="n">
        <v>0</v>
      </c>
      <c r="P25" s="20" t="n">
        <v>0</v>
      </c>
      <c r="Q25" s="18" t="n">
        <v>0</v>
      </c>
      <c r="R25" s="20" t="n">
        <v>0</v>
      </c>
    </row>
    <row r="26" spans="1:18">
      <c r="A26" s="15" t="s">
        <v>448</v>
      </c>
      <c r="B26" s="17" t="n">
        <v>4869</v>
      </c>
      <c r="C26" s="18">
        <f>(4264.0/B26*100)</f>
        <v/>
      </c>
      <c r="D26" s="19" t="n">
        <v>605</v>
      </c>
      <c r="E26" s="18" t="n">
        <v>24.66951046</v>
      </c>
      <c r="F26" s="20" t="n">
        <v>1.78810718</v>
      </c>
      <c r="G26" s="18" t="n">
        <v>74.49501802</v>
      </c>
      <c r="H26" s="20" t="n">
        <v>1.80739134</v>
      </c>
      <c r="I26" s="18" t="n">
        <v>0</v>
      </c>
      <c r="J26" s="20" t="n">
        <v>0</v>
      </c>
      <c r="K26" s="18" t="n">
        <v>0</v>
      </c>
      <c r="L26" s="20" t="n">
        <v>0</v>
      </c>
      <c r="M26" s="18" t="n">
        <v>0</v>
      </c>
      <c r="N26" s="20" t="n">
        <v>0</v>
      </c>
      <c r="O26" s="18" t="n">
        <v>0</v>
      </c>
      <c r="P26" s="20" t="n">
        <v>0</v>
      </c>
      <c r="Q26" s="18" t="n">
        <v>0.83547152</v>
      </c>
      <c r="R26" s="20" t="n">
        <v>0.34621032</v>
      </c>
    </row>
    <row r="27" spans="1:18">
      <c r="A27" s="15" t="s">
        <v>449</v>
      </c>
      <c r="B27" s="17" t="n">
        <v>5299</v>
      </c>
      <c r="C27" s="18">
        <f>(4632.0/B27*100)</f>
        <v/>
      </c>
      <c r="D27" s="19" t="n">
        <v>667</v>
      </c>
      <c r="E27" s="18" t="n">
        <v>30.12367023</v>
      </c>
      <c r="F27" s="20" t="n">
        <v>1.68436898</v>
      </c>
      <c r="G27" s="18" t="n">
        <v>67.92397194999999</v>
      </c>
      <c r="H27" s="20" t="n">
        <v>1.5501155</v>
      </c>
      <c r="I27" s="18" t="n">
        <v>0</v>
      </c>
      <c r="J27" s="20" t="n">
        <v>0</v>
      </c>
      <c r="K27" s="18" t="n">
        <v>0.15212092</v>
      </c>
      <c r="L27" s="20" t="n">
        <v>0.15187613</v>
      </c>
      <c r="M27" s="18" t="n">
        <v>0</v>
      </c>
      <c r="N27" s="20" t="n">
        <v>0</v>
      </c>
      <c r="O27" s="18" t="n">
        <v>0</v>
      </c>
      <c r="P27" s="20" t="n">
        <v>0</v>
      </c>
      <c r="Q27" s="18" t="n">
        <v>1.8002369</v>
      </c>
      <c r="R27" s="20" t="n">
        <v>0.56831242</v>
      </c>
    </row>
    <row r="28" spans="1:18">
      <c r="A28" s="15" t="s">
        <v>450</v>
      </c>
      <c r="B28" s="17" t="n">
        <v>7568</v>
      </c>
      <c r="C28" s="18">
        <f>(6668.0/B28*100)</f>
        <v/>
      </c>
      <c r="D28" s="19" t="n">
        <v>900</v>
      </c>
      <c r="E28" s="18" t="n">
        <v>40.25332625</v>
      </c>
      <c r="F28" s="20" t="n">
        <v>1.92619781</v>
      </c>
      <c r="G28" s="18" t="n">
        <v>58.1910061</v>
      </c>
      <c r="H28" s="20" t="n">
        <v>1.89154697</v>
      </c>
      <c r="I28" s="18" t="n">
        <v>0</v>
      </c>
      <c r="J28" s="20" t="n">
        <v>0</v>
      </c>
      <c r="K28" s="18" t="n">
        <v>0</v>
      </c>
      <c r="L28" s="20" t="n">
        <v>0</v>
      </c>
      <c r="M28" s="18" t="n">
        <v>0</v>
      </c>
      <c r="N28" s="20" t="n">
        <v>0</v>
      </c>
      <c r="O28" s="18" t="n">
        <v>0</v>
      </c>
      <c r="P28" s="20" t="n">
        <v>0</v>
      </c>
      <c r="Q28" s="18" t="n">
        <v>1.55566766</v>
      </c>
      <c r="R28" s="20" t="n">
        <v>0.44871164</v>
      </c>
    </row>
    <row r="29" spans="1:18">
      <c r="A29" s="15" t="s">
        <v>451</v>
      </c>
      <c r="B29" s="17" t="n">
        <v>5385</v>
      </c>
      <c r="C29" s="18">
        <f>(4753.0/B29*100)</f>
        <v/>
      </c>
      <c r="D29" s="19" t="n">
        <v>632</v>
      </c>
      <c r="E29" s="18" t="n">
        <v>37.70120993</v>
      </c>
      <c r="F29" s="20" t="n">
        <v>2.08464734</v>
      </c>
      <c r="G29" s="18" t="n">
        <v>62.13283444</v>
      </c>
      <c r="H29" s="20" t="n">
        <v>2.10130598</v>
      </c>
      <c r="I29" s="18" t="n">
        <v>0</v>
      </c>
      <c r="J29" s="20" t="n">
        <v>0</v>
      </c>
      <c r="K29" s="18" t="n">
        <v>0</v>
      </c>
      <c r="L29" s="20" t="n">
        <v>0</v>
      </c>
      <c r="M29" s="18" t="n">
        <v>0</v>
      </c>
      <c r="N29" s="20" t="n">
        <v>0</v>
      </c>
      <c r="O29" s="18" t="n">
        <v>0</v>
      </c>
      <c r="P29" s="20" t="n">
        <v>0</v>
      </c>
      <c r="Q29" s="18" t="n">
        <v>0.16595564</v>
      </c>
      <c r="R29" s="20" t="n">
        <v>0.15715489</v>
      </c>
    </row>
    <row r="30" spans="1:18">
      <c r="A30" s="15" t="s">
        <v>452</v>
      </c>
      <c r="B30" s="17" t="n">
        <v>4520</v>
      </c>
      <c r="C30" s="18">
        <f>(3991.0/B30*100)</f>
        <v/>
      </c>
      <c r="D30" s="19" t="n">
        <v>529</v>
      </c>
      <c r="E30" s="18" t="n">
        <v>19.93056245</v>
      </c>
      <c r="F30" s="20" t="n">
        <v>1.88068563</v>
      </c>
      <c r="G30" s="18" t="n">
        <v>78.30609471</v>
      </c>
      <c r="H30" s="20" t="n">
        <v>1.84321318</v>
      </c>
      <c r="I30" s="18" t="n">
        <v>0</v>
      </c>
      <c r="J30" s="20" t="n">
        <v>0</v>
      </c>
      <c r="K30" s="18" t="n">
        <v>0.17143473</v>
      </c>
      <c r="L30" s="20" t="n">
        <v>0.17310916</v>
      </c>
      <c r="M30" s="18" t="n">
        <v>0</v>
      </c>
      <c r="N30" s="20" t="n">
        <v>0</v>
      </c>
      <c r="O30" s="18" t="n">
        <v>0</v>
      </c>
      <c r="P30" s="20" t="n">
        <v>0</v>
      </c>
      <c r="Q30" s="18" t="n">
        <v>1.5919081</v>
      </c>
      <c r="R30" s="20" t="n">
        <v>0.53173455</v>
      </c>
    </row>
    <row r="31" spans="1:18">
      <c r="A31" s="15" t="s">
        <v>453</v>
      </c>
      <c r="B31" s="17" t="n">
        <v>5456</v>
      </c>
      <c r="C31" s="18">
        <f>(4780.0/B31*100)</f>
        <v/>
      </c>
      <c r="D31" s="19" t="n">
        <v>676</v>
      </c>
      <c r="E31" s="18" t="n">
        <v>21.6934155</v>
      </c>
      <c r="F31" s="20" t="n">
        <v>1.69973481</v>
      </c>
      <c r="G31" s="18" t="n">
        <v>75.88629745999999</v>
      </c>
      <c r="H31" s="20" t="n">
        <v>1.90666085</v>
      </c>
      <c r="I31" s="18" t="n">
        <v>0</v>
      </c>
      <c r="J31" s="20" t="n">
        <v>0</v>
      </c>
      <c r="K31" s="18" t="n">
        <v>0.60397586</v>
      </c>
      <c r="L31" s="20" t="n">
        <v>0.27738453</v>
      </c>
      <c r="M31" s="18" t="n">
        <v>0</v>
      </c>
      <c r="N31" s="20" t="n">
        <v>0</v>
      </c>
      <c r="O31" s="18" t="n">
        <v>0</v>
      </c>
      <c r="P31" s="20" t="n">
        <v>0</v>
      </c>
      <c r="Q31" s="18" t="n">
        <v>1.81631119</v>
      </c>
      <c r="R31" s="20" t="n">
        <v>0.64198203</v>
      </c>
    </row>
    <row r="32" spans="1:18">
      <c r="A32" s="15" t="s">
        <v>454</v>
      </c>
      <c r="B32" s="17" t="n">
        <v>4478</v>
      </c>
      <c r="C32" s="18">
        <f>(3720.0/B32*100)</f>
        <v/>
      </c>
      <c r="D32" s="19" t="n">
        <v>758</v>
      </c>
      <c r="E32" s="18" t="n">
        <v>20.28499214</v>
      </c>
      <c r="F32" s="20" t="n">
        <v>1.46312553</v>
      </c>
      <c r="G32" s="18" t="n">
        <v>79.58122278</v>
      </c>
      <c r="H32" s="20" t="n">
        <v>1.46429382</v>
      </c>
      <c r="I32" s="18" t="n">
        <v>0</v>
      </c>
      <c r="J32" s="20" t="n">
        <v>0</v>
      </c>
      <c r="K32" s="18" t="n">
        <v>0</v>
      </c>
      <c r="L32" s="20" t="n">
        <v>0</v>
      </c>
      <c r="M32" s="18" t="n">
        <v>0</v>
      </c>
      <c r="N32" s="20" t="n">
        <v>0</v>
      </c>
      <c r="O32" s="18" t="n">
        <v>0</v>
      </c>
      <c r="P32" s="20" t="n">
        <v>0</v>
      </c>
      <c r="Q32" s="18" t="n">
        <v>0.13378508</v>
      </c>
      <c r="R32" s="20" t="n">
        <v>0.14556478</v>
      </c>
    </row>
    <row r="33" spans="1:18">
      <c r="A33" s="15" t="s">
        <v>455</v>
      </c>
      <c r="B33" s="17" t="n">
        <v>7325</v>
      </c>
      <c r="C33" s="18">
        <f>(6435.0/B33*100)</f>
        <v/>
      </c>
      <c r="D33" s="19" t="n">
        <v>890</v>
      </c>
      <c r="E33" s="18" t="n">
        <v>28.63724706</v>
      </c>
      <c r="F33" s="20" t="n">
        <v>2.00386371</v>
      </c>
      <c r="G33" s="18" t="n">
        <v>70.85672473</v>
      </c>
      <c r="H33" s="20" t="n">
        <v>1.9913286</v>
      </c>
      <c r="I33" s="18" t="n">
        <v>0</v>
      </c>
      <c r="J33" s="20" t="n">
        <v>0</v>
      </c>
      <c r="K33" s="18" t="n">
        <v>0</v>
      </c>
      <c r="L33" s="20" t="n">
        <v>0</v>
      </c>
      <c r="M33" s="18" t="n">
        <v>0</v>
      </c>
      <c r="N33" s="20" t="n">
        <v>0</v>
      </c>
      <c r="O33" s="18" t="n">
        <v>0</v>
      </c>
      <c r="P33" s="20" t="n">
        <v>0</v>
      </c>
      <c r="Q33" s="18" t="n">
        <v>0.5060282</v>
      </c>
      <c r="R33" s="20" t="n">
        <v>0.18997306</v>
      </c>
    </row>
    <row r="34" spans="1:18">
      <c r="A34" s="15" t="s">
        <v>456</v>
      </c>
      <c r="B34" s="17" t="n">
        <v>6350</v>
      </c>
      <c r="C34" s="18">
        <f>(5623.0/B34*100)</f>
        <v/>
      </c>
      <c r="D34" s="19" t="n">
        <v>727</v>
      </c>
      <c r="E34" s="18" t="n">
        <v>31.95524946</v>
      </c>
      <c r="F34" s="20" t="n">
        <v>1.94865035</v>
      </c>
      <c r="G34" s="18" t="n">
        <v>66.41450688</v>
      </c>
      <c r="H34" s="20" t="n">
        <v>2.12432153</v>
      </c>
      <c r="I34" s="18" t="n">
        <v>0</v>
      </c>
      <c r="J34" s="20" t="n">
        <v>0</v>
      </c>
      <c r="K34" s="18" t="n">
        <v>0.17010977</v>
      </c>
      <c r="L34" s="20" t="n">
        <v>0.12683361</v>
      </c>
      <c r="M34" s="18" t="n">
        <v>0</v>
      </c>
      <c r="N34" s="20" t="n">
        <v>0</v>
      </c>
      <c r="O34" s="18" t="n">
        <v>0</v>
      </c>
      <c r="P34" s="20" t="n">
        <v>0</v>
      </c>
      <c r="Q34" s="18" t="n">
        <v>1.46013389</v>
      </c>
      <c r="R34" s="20" t="n">
        <v>0.48367793</v>
      </c>
    </row>
    <row r="35" spans="1:18">
      <c r="A35" s="15" t="s">
        <v>457</v>
      </c>
      <c r="B35" s="17" t="n">
        <v>6406</v>
      </c>
      <c r="C35" s="18">
        <f>(5647.0/B35*100)</f>
        <v/>
      </c>
      <c r="D35" s="19" t="n">
        <v>759</v>
      </c>
      <c r="E35" s="18" t="n">
        <v>31.81705239</v>
      </c>
      <c r="F35" s="20" t="n">
        <v>2.02738043</v>
      </c>
      <c r="G35" s="18" t="n">
        <v>67.65232809</v>
      </c>
      <c r="H35" s="20" t="n">
        <v>2.0452652</v>
      </c>
      <c r="I35" s="18" t="n">
        <v>0</v>
      </c>
      <c r="J35" s="20" t="n">
        <v>0</v>
      </c>
      <c r="K35" s="18" t="n">
        <v>0.0773997</v>
      </c>
      <c r="L35" s="20" t="n">
        <v>0.07675497000000001</v>
      </c>
      <c r="M35" s="18" t="n">
        <v>0</v>
      </c>
      <c r="N35" s="20" t="n">
        <v>0</v>
      </c>
      <c r="O35" s="18" t="n">
        <v>0</v>
      </c>
      <c r="P35" s="20" t="n">
        <v>0</v>
      </c>
      <c r="Q35" s="18" t="n">
        <v>0.45321982</v>
      </c>
      <c r="R35" s="20" t="n">
        <v>0.30930803</v>
      </c>
    </row>
    <row r="36" spans="1:18">
      <c r="A36" s="15" t="s">
        <v>458</v>
      </c>
      <c r="B36" s="17" t="n">
        <v>6736</v>
      </c>
      <c r="C36" s="18">
        <f>(5921.0/B36*100)</f>
        <v/>
      </c>
      <c r="D36" s="19" t="n">
        <v>815</v>
      </c>
      <c r="E36" s="18" t="n">
        <v>29.15509249</v>
      </c>
      <c r="F36" s="20" t="n">
        <v>1.78082386</v>
      </c>
      <c r="G36" s="18" t="n">
        <v>69.88187949</v>
      </c>
      <c r="H36" s="20" t="n">
        <v>1.78744356</v>
      </c>
      <c r="I36" s="18" t="n">
        <v>0</v>
      </c>
      <c r="J36" s="20" t="n">
        <v>0</v>
      </c>
      <c r="K36" s="18" t="n">
        <v>0.40684108</v>
      </c>
      <c r="L36" s="20" t="n">
        <v>0.19834316</v>
      </c>
      <c r="M36" s="18" t="n">
        <v>0</v>
      </c>
      <c r="N36" s="20" t="n">
        <v>0</v>
      </c>
      <c r="O36" s="18" t="n">
        <v>0</v>
      </c>
      <c r="P36" s="20" t="n">
        <v>0</v>
      </c>
      <c r="Q36" s="18" t="n">
        <v>0.55618694</v>
      </c>
      <c r="R36" s="20" t="n">
        <v>0.28664688</v>
      </c>
    </row>
    <row r="37" spans="1:18">
      <c r="A37" s="15" t="s">
        <v>459</v>
      </c>
      <c r="B37" s="17" t="n">
        <v>5458</v>
      </c>
      <c r="C37" s="18">
        <f>(4779.0/B37*100)</f>
        <v/>
      </c>
      <c r="D37" s="19" t="n">
        <v>679</v>
      </c>
      <c r="E37" s="18" t="n">
        <v>25.56530034</v>
      </c>
      <c r="F37" s="20" t="n">
        <v>1.70025574</v>
      </c>
      <c r="G37" s="18" t="n">
        <v>73.59841743</v>
      </c>
      <c r="H37" s="20" t="n">
        <v>1.74582755</v>
      </c>
      <c r="I37" s="18" t="n">
        <v>0</v>
      </c>
      <c r="J37" s="20" t="n">
        <v>0</v>
      </c>
      <c r="K37" s="18" t="n">
        <v>0.11286181</v>
      </c>
      <c r="L37" s="20" t="n">
        <v>0.11299488</v>
      </c>
      <c r="M37" s="18" t="n">
        <v>0</v>
      </c>
      <c r="N37" s="20" t="n">
        <v>0</v>
      </c>
      <c r="O37" s="18" t="n">
        <v>0</v>
      </c>
      <c r="P37" s="20" t="n">
        <v>0</v>
      </c>
      <c r="Q37" s="18" t="n">
        <v>0.72342042</v>
      </c>
      <c r="R37" s="20" t="n">
        <v>0.3840313</v>
      </c>
    </row>
    <row r="38" spans="1:18">
      <c r="A38" s="15" t="s">
        <v>460</v>
      </c>
      <c r="B38" s="17" t="n">
        <v>5860</v>
      </c>
      <c r="C38" s="18">
        <f>(4866.0/B38*100)</f>
        <v/>
      </c>
      <c r="D38" s="19" t="n">
        <v>994</v>
      </c>
      <c r="E38" s="18" t="n">
        <v>24.98529552</v>
      </c>
      <c r="F38" s="20" t="n">
        <v>1.45424768</v>
      </c>
      <c r="G38" s="18" t="n">
        <v>72.76097699</v>
      </c>
      <c r="H38" s="20" t="n">
        <v>1.61997627</v>
      </c>
      <c r="I38" s="18" t="n">
        <v>0</v>
      </c>
      <c r="J38" s="20" t="n">
        <v>0</v>
      </c>
      <c r="K38" s="18" t="n">
        <v>0.46268321</v>
      </c>
      <c r="L38" s="20" t="n">
        <v>0.30611125</v>
      </c>
      <c r="M38" s="18" t="n">
        <v>0</v>
      </c>
      <c r="N38" s="20" t="n">
        <v>0</v>
      </c>
      <c r="O38" s="18" t="n">
        <v>0</v>
      </c>
      <c r="P38" s="20" t="n">
        <v>0</v>
      </c>
      <c r="Q38" s="18" t="n">
        <v>1.79104428</v>
      </c>
      <c r="R38" s="20" t="n">
        <v>0.71220323</v>
      </c>
    </row>
    <row r="39" spans="1:18">
      <c r="A39" s="15" t="s">
        <v>461</v>
      </c>
      <c r="B39" s="17" t="n">
        <v>5895</v>
      </c>
      <c r="C39" s="18">
        <f>(5161.0/B39*100)</f>
        <v/>
      </c>
      <c r="D39" s="19" t="n">
        <v>734</v>
      </c>
      <c r="E39" s="18" t="n">
        <v>33.28447677</v>
      </c>
      <c r="F39" s="20" t="n">
        <v>1.90992343</v>
      </c>
      <c r="G39" s="18" t="n">
        <v>64.78465000999999</v>
      </c>
      <c r="H39" s="20" t="n">
        <v>1.93112967</v>
      </c>
      <c r="I39" s="18" t="n">
        <v>0</v>
      </c>
      <c r="J39" s="20" t="n">
        <v>0</v>
      </c>
      <c r="K39" s="18" t="n">
        <v>0</v>
      </c>
      <c r="L39" s="20" t="n">
        <v>0</v>
      </c>
      <c r="M39" s="18" t="n">
        <v>0</v>
      </c>
      <c r="N39" s="20" t="n">
        <v>0</v>
      </c>
      <c r="O39" s="18" t="n">
        <v>0</v>
      </c>
      <c r="P39" s="20" t="n">
        <v>0</v>
      </c>
      <c r="Q39" s="18" t="n">
        <v>1.93087322</v>
      </c>
      <c r="R39" s="20" t="n">
        <v>0.4793007</v>
      </c>
    </row>
    <row r="40" spans="1:18">
      <c r="A40" s="15" t="s">
        <v>462</v>
      </c>
      <c r="B40" s="17" t="n">
        <v>14157</v>
      </c>
      <c r="C40" s="18">
        <f>(12441.0/B40*100)</f>
        <v/>
      </c>
      <c r="D40" s="19" t="n">
        <v>1716</v>
      </c>
      <c r="E40" s="18" t="n">
        <v>26.14846072</v>
      </c>
      <c r="F40" s="20" t="n">
        <v>1.85931729</v>
      </c>
      <c r="G40" s="18" t="n">
        <v>73.13574314</v>
      </c>
      <c r="H40" s="20" t="n">
        <v>1.8738542</v>
      </c>
      <c r="I40" s="18" t="n">
        <v>0</v>
      </c>
      <c r="J40" s="20" t="n">
        <v>0</v>
      </c>
      <c r="K40" s="18" t="n">
        <v>0.37833667</v>
      </c>
      <c r="L40" s="20" t="n">
        <v>0.24724949</v>
      </c>
      <c r="M40" s="18" t="n">
        <v>0</v>
      </c>
      <c r="N40" s="20" t="n">
        <v>0</v>
      </c>
      <c r="O40" s="18" t="n">
        <v>0</v>
      </c>
      <c r="P40" s="20" t="n">
        <v>0</v>
      </c>
      <c r="Q40" s="18" t="n">
        <v>0.33745947</v>
      </c>
      <c r="R40" s="20" t="n">
        <v>0.12419255</v>
      </c>
    </row>
    <row r="41" spans="1:18">
      <c r="A41" s="15" t="s">
        <v>463</v>
      </c>
      <c r="B41" s="17" t="n">
        <v>5712</v>
      </c>
      <c r="C41" s="18">
        <f>(5005.0/B41*100)</f>
        <v/>
      </c>
      <c r="D41" s="19" t="n">
        <v>707</v>
      </c>
      <c r="E41" s="18" t="n">
        <v>29.23267227</v>
      </c>
      <c r="F41" s="20" t="n">
        <v>1.72310393</v>
      </c>
      <c r="G41" s="18" t="n">
        <v>70.34433215999999</v>
      </c>
      <c r="H41" s="20" t="n">
        <v>1.76388502</v>
      </c>
      <c r="I41" s="18" t="n">
        <v>0</v>
      </c>
      <c r="J41" s="20" t="n">
        <v>0</v>
      </c>
      <c r="K41" s="18" t="n">
        <v>0</v>
      </c>
      <c r="L41" s="20" t="n">
        <v>0</v>
      </c>
      <c r="M41" s="18" t="n">
        <v>0</v>
      </c>
      <c r="N41" s="20" t="n">
        <v>0</v>
      </c>
      <c r="O41" s="18" t="n">
        <v>0</v>
      </c>
      <c r="P41" s="20" t="n">
        <v>0</v>
      </c>
      <c r="Q41" s="18" t="n">
        <v>0.42299557</v>
      </c>
      <c r="R41" s="20" t="n">
        <v>0.23525698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(20523.0/B46*100)</f>
        <v/>
      </c>
      <c r="D46" s="19" t="n">
        <v>2618</v>
      </c>
      <c r="E46" s="18" t="n">
        <v>41.40064357</v>
      </c>
      <c r="F46" s="20" t="n">
        <v>1.50758414</v>
      </c>
      <c r="G46" s="18" t="n">
        <v>56.33024593</v>
      </c>
      <c r="H46" s="20" t="n">
        <v>1.49405805</v>
      </c>
      <c r="I46" s="18" t="n">
        <v>0</v>
      </c>
      <c r="J46" s="20" t="n">
        <v>0</v>
      </c>
      <c r="K46" s="18" t="n">
        <v>0.35638801</v>
      </c>
      <c r="L46" s="20" t="n">
        <v>0.10371757</v>
      </c>
      <c r="M46" s="18" t="n">
        <v>0</v>
      </c>
      <c r="N46" s="20" t="n">
        <v>0</v>
      </c>
      <c r="O46" s="18" t="n">
        <v>0</v>
      </c>
      <c r="P46" s="20" t="n">
        <v>0</v>
      </c>
      <c r="Q46" s="18" t="n">
        <v>1.91272249</v>
      </c>
      <c r="R46" s="20" t="n">
        <v>0.32156284</v>
      </c>
    </row>
    <row r="47" spans="1:18">
      <c r="A47" s="15" t="s">
        <v>470</v>
      </c>
      <c r="B47" s="17" t="n">
        <v>5928</v>
      </c>
      <c r="C47" s="18">
        <f>(5225.0/B47*100)</f>
        <v/>
      </c>
      <c r="D47" s="19" t="n">
        <v>703</v>
      </c>
      <c r="E47" s="18" t="n">
        <v>34.58476086</v>
      </c>
      <c r="F47" s="20" t="n">
        <v>1.53430552</v>
      </c>
      <c r="G47" s="18" t="n">
        <v>63.90614081</v>
      </c>
      <c r="H47" s="20" t="n">
        <v>1.65653136</v>
      </c>
      <c r="I47" s="18" t="n">
        <v>0</v>
      </c>
      <c r="J47" s="20" t="n">
        <v>0</v>
      </c>
      <c r="K47" s="18" t="n">
        <v>0</v>
      </c>
      <c r="L47" s="20" t="n">
        <v>0</v>
      </c>
      <c r="M47" s="18" t="n">
        <v>0</v>
      </c>
      <c r="N47" s="20" t="n">
        <v>0</v>
      </c>
      <c r="O47" s="18" t="n">
        <v>0</v>
      </c>
      <c r="P47" s="20" t="n">
        <v>0</v>
      </c>
      <c r="Q47" s="18" t="n">
        <v>1.50909833</v>
      </c>
      <c r="R47" s="20" t="n">
        <v>0.49607236</v>
      </c>
    </row>
    <row r="48" spans="1:18">
      <c r="A48" s="15" t="s">
        <v>471</v>
      </c>
      <c r="B48" s="17" t="n">
        <v>9841</v>
      </c>
      <c r="C48" s="18">
        <f>(8639.0/B48*100)</f>
        <v/>
      </c>
      <c r="D48" s="19" t="n">
        <v>1202</v>
      </c>
      <c r="E48" s="18" t="n">
        <v>11.76972813</v>
      </c>
      <c r="F48" s="20" t="n">
        <v>1.25757158</v>
      </c>
      <c r="G48" s="18" t="n">
        <v>86.02153283</v>
      </c>
      <c r="H48" s="20" t="n">
        <v>1.2986005</v>
      </c>
      <c r="I48" s="18" t="n">
        <v>0</v>
      </c>
      <c r="J48" s="20" t="n">
        <v>0</v>
      </c>
      <c r="K48" s="18" t="n">
        <v>0.69697401</v>
      </c>
      <c r="L48" s="20" t="n">
        <v>0.45083502</v>
      </c>
      <c r="M48" s="18" t="n">
        <v>0</v>
      </c>
      <c r="N48" s="20" t="n">
        <v>0</v>
      </c>
      <c r="O48" s="18" t="n">
        <v>0</v>
      </c>
      <c r="P48" s="20" t="n">
        <v>0</v>
      </c>
      <c r="Q48" s="18" t="n">
        <v>1.51176502</v>
      </c>
      <c r="R48" s="20" t="n">
        <v>0.51773802</v>
      </c>
    </row>
    <row r="49" spans="1:18">
      <c r="A49" s="15" t="s">
        <v>472</v>
      </c>
      <c r="B49" s="17" t="n">
        <v>11795</v>
      </c>
      <c r="C49" s="18">
        <f>(10360.0/B49*100)</f>
        <v/>
      </c>
      <c r="D49" s="19" t="n">
        <v>1435</v>
      </c>
      <c r="E49" s="18" t="n">
        <v>35.80052388</v>
      </c>
      <c r="F49" s="20" t="n">
        <v>1.68195159</v>
      </c>
      <c r="G49" s="18" t="n">
        <v>61.7161762</v>
      </c>
      <c r="H49" s="20" t="n">
        <v>1.73836831</v>
      </c>
      <c r="I49" s="18" t="n">
        <v>0</v>
      </c>
      <c r="J49" s="20" t="n">
        <v>0</v>
      </c>
      <c r="K49" s="18" t="n">
        <v>0.61463478</v>
      </c>
      <c r="L49" s="20" t="n">
        <v>0.22377253</v>
      </c>
      <c r="M49" s="18" t="n">
        <v>0</v>
      </c>
      <c r="N49" s="20" t="n">
        <v>0</v>
      </c>
      <c r="O49" s="18" t="n">
        <v>0</v>
      </c>
      <c r="P49" s="20" t="n">
        <v>0</v>
      </c>
      <c r="Q49" s="18" t="n">
        <v>1.86866515</v>
      </c>
      <c r="R49" s="20" t="n">
        <v>0.46530799</v>
      </c>
    </row>
    <row r="50" spans="1:18">
      <c r="A50" s="15" t="s">
        <v>473</v>
      </c>
      <c r="B50" s="17" t="n">
        <v>6866</v>
      </c>
      <c r="C50" s="18">
        <f>(6151.0/B50*100)</f>
        <v/>
      </c>
      <c r="D50" s="19" t="n">
        <v>715</v>
      </c>
      <c r="E50" s="18" t="n">
        <v>39.64553998</v>
      </c>
      <c r="F50" s="20" t="n">
        <v>2.19719891</v>
      </c>
      <c r="G50" s="18" t="n">
        <v>58.11152387</v>
      </c>
      <c r="H50" s="20" t="n">
        <v>2.18532068</v>
      </c>
      <c r="I50" s="18" t="n">
        <v>0</v>
      </c>
      <c r="J50" s="20" t="n">
        <v>0</v>
      </c>
      <c r="K50" s="18" t="n">
        <v>0.61060209</v>
      </c>
      <c r="L50" s="20" t="n">
        <v>0.3361086</v>
      </c>
      <c r="M50" s="18" t="n">
        <v>0</v>
      </c>
      <c r="N50" s="20" t="n">
        <v>0</v>
      </c>
      <c r="O50" s="18" t="n">
        <v>0</v>
      </c>
      <c r="P50" s="20" t="n">
        <v>0</v>
      </c>
      <c r="Q50" s="18" t="n">
        <v>1.63233406</v>
      </c>
      <c r="R50" s="20" t="n">
        <v>0.47120433</v>
      </c>
    </row>
    <row r="51" spans="1:18">
      <c r="A51" s="15" t="s">
        <v>474</v>
      </c>
      <c r="B51" s="17" t="n">
        <v>5809</v>
      </c>
      <c r="C51" s="18">
        <f>(5090.0/B51*100)</f>
        <v/>
      </c>
      <c r="D51" s="19" t="n">
        <v>719</v>
      </c>
      <c r="E51" s="18" t="n">
        <v>29.04266622</v>
      </c>
      <c r="F51" s="20" t="n">
        <v>1.76497729</v>
      </c>
      <c r="G51" s="18" t="n">
        <v>70.60071719</v>
      </c>
      <c r="H51" s="20" t="n">
        <v>1.7683895</v>
      </c>
      <c r="I51" s="18" t="n">
        <v>0</v>
      </c>
      <c r="J51" s="20" t="n">
        <v>0</v>
      </c>
      <c r="K51" s="18" t="n">
        <v>0</v>
      </c>
      <c r="L51" s="20" t="n">
        <v>0</v>
      </c>
      <c r="M51" s="18" t="n">
        <v>0</v>
      </c>
      <c r="N51" s="20" t="n">
        <v>0</v>
      </c>
      <c r="O51" s="18" t="n">
        <v>0</v>
      </c>
      <c r="P51" s="20" t="n">
        <v>0</v>
      </c>
      <c r="Q51" s="18" t="n">
        <v>0.35661658</v>
      </c>
      <c r="R51" s="20" t="n">
        <v>0.19123164</v>
      </c>
    </row>
    <row r="52" spans="1:18">
      <c r="A52" s="15" t="s">
        <v>475</v>
      </c>
      <c r="B52" s="17" t="n">
        <v>5571</v>
      </c>
      <c r="C52" s="18">
        <f>(4878.0/B52*100)</f>
        <v/>
      </c>
      <c r="D52" s="19" t="n">
        <v>693</v>
      </c>
      <c r="E52" s="18" t="n">
        <v>43.93375534</v>
      </c>
      <c r="F52" s="20" t="n">
        <v>1.79948344</v>
      </c>
      <c r="G52" s="18" t="n">
        <v>54.16755882</v>
      </c>
      <c r="H52" s="20" t="n">
        <v>1.69123063</v>
      </c>
      <c r="I52" s="18" t="n">
        <v>0</v>
      </c>
      <c r="J52" s="20" t="n">
        <v>0</v>
      </c>
      <c r="K52" s="18" t="n">
        <v>0</v>
      </c>
      <c r="L52" s="20" t="n">
        <v>0</v>
      </c>
      <c r="M52" s="18" t="n">
        <v>0</v>
      </c>
      <c r="N52" s="20" t="n">
        <v>0</v>
      </c>
      <c r="O52" s="18" t="n">
        <v>0</v>
      </c>
      <c r="P52" s="20" t="n">
        <v>0</v>
      </c>
      <c r="Q52" s="18" t="n">
        <v>1.89868584</v>
      </c>
      <c r="R52" s="20" t="n">
        <v>0.54748433</v>
      </c>
    </row>
    <row r="53" spans="1:18">
      <c r="A53" s="15" t="s">
        <v>476</v>
      </c>
      <c r="B53" s="17" t="n">
        <v>4740</v>
      </c>
      <c r="C53" s="18">
        <f>(3951.0/B53*100)</f>
        <v/>
      </c>
      <c r="D53" s="19" t="n">
        <v>789</v>
      </c>
      <c r="E53" s="18" t="n">
        <v>50.29438953</v>
      </c>
      <c r="F53" s="20" t="n">
        <v>1.79460679</v>
      </c>
      <c r="G53" s="18" t="n">
        <v>39.11105202</v>
      </c>
      <c r="H53" s="20" t="n">
        <v>1.74778652</v>
      </c>
      <c r="I53" s="18" t="n">
        <v>0</v>
      </c>
      <c r="J53" s="20" t="n">
        <v>0</v>
      </c>
      <c r="K53" s="18" t="n">
        <v>5.27613879</v>
      </c>
      <c r="L53" s="20" t="n">
        <v>0.8413566</v>
      </c>
      <c r="M53" s="18" t="n">
        <v>0</v>
      </c>
      <c r="N53" s="20" t="n">
        <v>0</v>
      </c>
      <c r="O53" s="18" t="n">
        <v>0</v>
      </c>
      <c r="P53" s="20" t="n">
        <v>0</v>
      </c>
      <c r="Q53" s="18" t="n">
        <v>5.31841966</v>
      </c>
      <c r="R53" s="20" t="n">
        <v>0.8744336700000001</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(4696.0/B55*100)</f>
        <v/>
      </c>
      <c r="D55" s="19" t="n">
        <v>663</v>
      </c>
      <c r="E55" s="18" t="n">
        <v>19.30454993</v>
      </c>
      <c r="F55" s="20" t="n">
        <v>1.58462092</v>
      </c>
      <c r="G55" s="18" t="n">
        <v>79.87499519000001</v>
      </c>
      <c r="H55" s="20" t="n">
        <v>1.66581196</v>
      </c>
      <c r="I55" s="18" t="n">
        <v>0</v>
      </c>
      <c r="J55" s="20" t="n">
        <v>0</v>
      </c>
      <c r="K55" s="18" t="n">
        <v>0.12738659</v>
      </c>
      <c r="L55" s="20" t="n">
        <v>0.12754134</v>
      </c>
      <c r="M55" s="18" t="n">
        <v>0</v>
      </c>
      <c r="N55" s="20" t="n">
        <v>0</v>
      </c>
      <c r="O55" s="18" t="n">
        <v>0</v>
      </c>
      <c r="P55" s="20" t="n">
        <v>0</v>
      </c>
      <c r="Q55" s="18" t="n">
        <v>0.69306829</v>
      </c>
      <c r="R55" s="20" t="n">
        <v>0.3816519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(5749.0/B61*100)</f>
        <v/>
      </c>
      <c r="D61" s="19" t="n">
        <v>776</v>
      </c>
      <c r="E61" s="18" t="n">
        <v>26.08243538</v>
      </c>
      <c r="F61" s="20" t="n">
        <v>1.66083543</v>
      </c>
      <c r="G61" s="18" t="n">
        <v>72.81393511</v>
      </c>
      <c r="H61" s="20" t="n">
        <v>1.66482637</v>
      </c>
      <c r="I61" s="18" t="n">
        <v>0</v>
      </c>
      <c r="J61" s="20" t="n">
        <v>0</v>
      </c>
      <c r="K61" s="18" t="n">
        <v>0</v>
      </c>
      <c r="L61" s="20" t="n">
        <v>0</v>
      </c>
      <c r="M61" s="18" t="n">
        <v>0</v>
      </c>
      <c r="N61" s="20" t="n">
        <v>0</v>
      </c>
      <c r="O61" s="18" t="n">
        <v>0</v>
      </c>
      <c r="P61" s="20" t="n">
        <v>0</v>
      </c>
      <c r="Q61" s="18" t="n">
        <v>1.10362951</v>
      </c>
      <c r="R61" s="20" t="n">
        <v>0.35045023</v>
      </c>
    </row>
    <row r="62" spans="1:18">
      <c r="A62" s="15" t="s">
        <v>486</v>
      </c>
      <c r="B62" s="17" t="n">
        <v>4476</v>
      </c>
      <c r="C62" s="18">
        <f>(3921.0/B62*100)</f>
        <v/>
      </c>
      <c r="D62" s="19" t="n">
        <v>555</v>
      </c>
      <c r="E62" s="18" t="n">
        <v>14.24488388</v>
      </c>
      <c r="F62" s="20" t="n">
        <v>1.4746371</v>
      </c>
      <c r="G62" s="18" t="n">
        <v>85.39138167</v>
      </c>
      <c r="H62" s="20" t="n">
        <v>1.55330639</v>
      </c>
      <c r="I62" s="18" t="n">
        <v>0</v>
      </c>
      <c r="J62" s="20" t="n">
        <v>0</v>
      </c>
      <c r="K62" s="18" t="n">
        <v>0.18494948</v>
      </c>
      <c r="L62" s="20" t="n">
        <v>0.18334551</v>
      </c>
      <c r="M62" s="18" t="n">
        <v>0</v>
      </c>
      <c r="N62" s="20" t="n">
        <v>0</v>
      </c>
      <c r="O62" s="18" t="n">
        <v>0</v>
      </c>
      <c r="P62" s="20" t="n">
        <v>0</v>
      </c>
      <c r="Q62" s="18" t="n">
        <v>0.17878497</v>
      </c>
      <c r="R62" s="20" t="n">
        <v>0.17760388</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(4967.0/B67*100)</f>
        <v/>
      </c>
      <c r="D67" s="19" t="n">
        <v>698</v>
      </c>
      <c r="E67" s="18" t="n">
        <v>48.16864364</v>
      </c>
      <c r="F67" s="20" t="n">
        <v>1.71575848</v>
      </c>
      <c r="G67" s="18" t="n">
        <v>48.1949356</v>
      </c>
      <c r="H67" s="20" t="n">
        <v>1.76143441</v>
      </c>
      <c r="I67" s="18" t="n">
        <v>0</v>
      </c>
      <c r="J67" s="20" t="n">
        <v>0</v>
      </c>
      <c r="K67" s="18" t="n">
        <v>0.76952115</v>
      </c>
      <c r="L67" s="20" t="n">
        <v>0.35395828</v>
      </c>
      <c r="M67" s="18" t="n">
        <v>0</v>
      </c>
      <c r="N67" s="20" t="n">
        <v>0</v>
      </c>
      <c r="O67" s="18" t="n">
        <v>0</v>
      </c>
      <c r="P67" s="20" t="n">
        <v>0</v>
      </c>
      <c r="Q67" s="18" t="n">
        <v>2.86689961</v>
      </c>
      <c r="R67" s="20" t="n">
        <v>0.59707277</v>
      </c>
    </row>
    <row r="68" spans="1:18">
      <c r="A68" s="15" t="s">
        <v>492</v>
      </c>
      <c r="B68" s="17" t="n">
        <v>6971</v>
      </c>
      <c r="C68" s="18">
        <f>(6151.0/B68*100)</f>
        <v/>
      </c>
      <c r="D68" s="19" t="n">
        <v>820</v>
      </c>
      <c r="E68" s="18" t="n">
        <v>40.06257138</v>
      </c>
      <c r="F68" s="20" t="n">
        <v>1.45894731</v>
      </c>
      <c r="G68" s="18" t="n">
        <v>58.10381886</v>
      </c>
      <c r="H68" s="20" t="n">
        <v>1.52169113</v>
      </c>
      <c r="I68" s="18" t="n">
        <v>0</v>
      </c>
      <c r="J68" s="20" t="n">
        <v>0</v>
      </c>
      <c r="K68" s="18" t="n">
        <v>0.09235164999999999</v>
      </c>
      <c r="L68" s="20" t="n">
        <v>0.09210082</v>
      </c>
      <c r="M68" s="18" t="n">
        <v>0</v>
      </c>
      <c r="N68" s="20" t="n">
        <v>0</v>
      </c>
      <c r="O68" s="18" t="n">
        <v>0</v>
      </c>
      <c r="P68" s="20" t="n">
        <v>0</v>
      </c>
      <c r="Q68" s="18" t="n">
        <v>1.74125812</v>
      </c>
      <c r="R68" s="20" t="n">
        <v>0.47455278</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31.16373669</v>
      </c>
      <c r="F70" s="20" t="n">
        <v>1.02371338</v>
      </c>
      <c r="G70" s="18" t="n">
        <v>63.45098797</v>
      </c>
      <c r="H70" s="20" t="n">
        <v>1.10631503</v>
      </c>
      <c r="I70" s="18" t="n">
        <v>0</v>
      </c>
      <c r="J70" s="20" t="n">
        <v>0</v>
      </c>
      <c r="K70" s="18" t="n">
        <v>1.53607729</v>
      </c>
      <c r="L70" s="20" t="n">
        <v>0.29328185</v>
      </c>
      <c r="M70" s="18" t="n">
        <v>0</v>
      </c>
      <c r="N70" s="20" t="n">
        <v>0</v>
      </c>
      <c r="O70" s="18" t="n">
        <v>0</v>
      </c>
      <c r="P70" s="20" t="n">
        <v>0</v>
      </c>
      <c r="Q70" s="18" t="n">
        <v>3.84919805</v>
      </c>
      <c r="R70" s="20" t="n">
        <v>0.34127097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(5327.0/B72*100)</f>
        <v/>
      </c>
      <c r="D72" s="19" t="n">
        <v>709</v>
      </c>
      <c r="E72" s="18" t="n">
        <v>25.72475938</v>
      </c>
      <c r="F72" s="20" t="n">
        <v>1.56986243</v>
      </c>
      <c r="G72" s="18" t="n">
        <v>73.62469286</v>
      </c>
      <c r="H72" s="20" t="n">
        <v>1.63125765</v>
      </c>
      <c r="I72" s="18" t="n">
        <v>0</v>
      </c>
      <c r="J72" s="20" t="n">
        <v>0</v>
      </c>
      <c r="K72" s="18" t="n">
        <v>0.12844273</v>
      </c>
      <c r="L72" s="20" t="n">
        <v>0.12657237</v>
      </c>
      <c r="M72" s="18" t="n">
        <v>0</v>
      </c>
      <c r="N72" s="20" t="n">
        <v>0</v>
      </c>
      <c r="O72" s="18" t="n">
        <v>0</v>
      </c>
      <c r="P72" s="20" t="n">
        <v>0</v>
      </c>
      <c r="Q72" s="18" t="n">
        <v>0.52210503</v>
      </c>
      <c r="R72" s="20" t="n">
        <v>0.37306178</v>
      </c>
    </row>
    <row r="73" spans="1:18">
      <c r="A73" s="15" t="s">
        <v>497</v>
      </c>
      <c r="B73" s="17" t="n">
        <v>6115</v>
      </c>
      <c r="C73" s="18">
        <f>(5340.0/B73*100)</f>
        <v/>
      </c>
      <c r="D73" s="19" t="n">
        <v>775</v>
      </c>
      <c r="E73" s="18" t="n">
        <v>18.22328755</v>
      </c>
      <c r="F73" s="20" t="n">
        <v>1.31288274</v>
      </c>
      <c r="G73" s="18" t="n">
        <v>81.46638179999999</v>
      </c>
      <c r="H73" s="20" t="n">
        <v>1.31763251</v>
      </c>
      <c r="I73" s="18" t="n">
        <v>0</v>
      </c>
      <c r="J73" s="20" t="n">
        <v>0</v>
      </c>
      <c r="K73" s="18" t="n">
        <v>0.11760609</v>
      </c>
      <c r="L73" s="20" t="n">
        <v>0.11833475</v>
      </c>
      <c r="M73" s="18" t="n">
        <v>0</v>
      </c>
      <c r="N73" s="20" t="n">
        <v>0</v>
      </c>
      <c r="O73" s="18" t="n">
        <v>0</v>
      </c>
      <c r="P73" s="20" t="n">
        <v>0</v>
      </c>
      <c r="Q73" s="18" t="n">
        <v>0.19272456</v>
      </c>
      <c r="R73" s="20" t="n">
        <v>0.13795541</v>
      </c>
    </row>
    <row r="74" spans="1:18">
      <c r="A74" s="15" t="s">
        <v>498</v>
      </c>
      <c r="B74" s="17" t="n">
        <v>7708</v>
      </c>
      <c r="C74" s="18">
        <f>(6753.0/B74*100)</f>
        <v/>
      </c>
      <c r="D74" s="19" t="n">
        <v>955</v>
      </c>
      <c r="E74" s="18" t="n">
        <v>16.16218902</v>
      </c>
      <c r="F74" s="20" t="n">
        <v>1.18917347</v>
      </c>
      <c r="G74" s="18" t="n">
        <v>83.21417843</v>
      </c>
      <c r="H74" s="20" t="n">
        <v>1.19099397</v>
      </c>
      <c r="I74" s="18" t="n">
        <v>0</v>
      </c>
      <c r="J74" s="20" t="n">
        <v>0</v>
      </c>
      <c r="K74" s="18" t="n">
        <v>0.08315599999999999</v>
      </c>
      <c r="L74" s="20" t="n">
        <v>0.08335939000000001</v>
      </c>
      <c r="M74" s="18" t="n">
        <v>0</v>
      </c>
      <c r="N74" s="20" t="n">
        <v>0</v>
      </c>
      <c r="O74" s="18" t="n">
        <v>0</v>
      </c>
      <c r="P74" s="20" t="n">
        <v>0</v>
      </c>
      <c r="Q74" s="18" t="n">
        <v>0.5404765499999999</v>
      </c>
      <c r="R74" s="20" t="n">
        <v>0.2571705</v>
      </c>
    </row>
    <row r="75" spans="1:18">
      <c r="A75" s="15" t="s">
        <v>499</v>
      </c>
      <c r="B75" s="17" t="n">
        <v>8249</v>
      </c>
      <c r="C75" s="18">
        <f>(7251.0/B75*100)</f>
        <v/>
      </c>
      <c r="D75" s="19" t="n">
        <v>998</v>
      </c>
      <c r="E75" s="18" t="n">
        <v>39.86395378</v>
      </c>
      <c r="F75" s="20" t="n">
        <v>1.96692379</v>
      </c>
      <c r="G75" s="18" t="n">
        <v>59.27337584</v>
      </c>
      <c r="H75" s="20" t="n">
        <v>1.99403158</v>
      </c>
      <c r="I75" s="18" t="n">
        <v>0</v>
      </c>
      <c r="J75" s="20" t="n">
        <v>0</v>
      </c>
      <c r="K75" s="18" t="n">
        <v>0.14837001</v>
      </c>
      <c r="L75" s="20" t="n">
        <v>0.14827319</v>
      </c>
      <c r="M75" s="18" t="n">
        <v>0</v>
      </c>
      <c r="N75" s="20" t="n">
        <v>0</v>
      </c>
      <c r="O75" s="18" t="n">
        <v>0</v>
      </c>
      <c r="P75" s="20" t="n">
        <v>0</v>
      </c>
      <c r="Q75" s="18" t="n">
        <v>0.71430038</v>
      </c>
      <c r="R75" s="20" t="n">
        <v>0.33068871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(4754.0/B77*100)</f>
        <v/>
      </c>
      <c r="D77" s="19" t="n">
        <v>621</v>
      </c>
      <c r="E77" s="18" t="n">
        <v>31.87649885</v>
      </c>
      <c r="F77" s="20" t="n">
        <v>1.86997757</v>
      </c>
      <c r="G77" s="18" t="n">
        <v>62.75816315</v>
      </c>
      <c r="H77" s="20" t="n">
        <v>2.11662201</v>
      </c>
      <c r="I77" s="18" t="n">
        <v>0</v>
      </c>
      <c r="J77" s="20" t="n">
        <v>0</v>
      </c>
      <c r="K77" s="18" t="n">
        <v>0.92335185</v>
      </c>
      <c r="L77" s="20" t="n">
        <v>0.36094495</v>
      </c>
      <c r="M77" s="18" t="n">
        <v>0</v>
      </c>
      <c r="N77" s="20" t="n">
        <v>0</v>
      </c>
      <c r="O77" s="18" t="n">
        <v>0</v>
      </c>
      <c r="P77" s="20" t="n">
        <v>0</v>
      </c>
      <c r="Q77" s="18" t="n">
        <v>4.44198614</v>
      </c>
      <c r="R77" s="20" t="n">
        <v>0.88412153</v>
      </c>
    </row>
    <row r="78" spans="1:18">
      <c r="A78" s="15" t="s">
        <v>502</v>
      </c>
      <c r="B78" s="17" t="n">
        <v>14167</v>
      </c>
      <c r="C78" s="18">
        <f>(12405.0/B78*100)</f>
        <v/>
      </c>
      <c r="D78" s="19" t="n">
        <v>1762</v>
      </c>
      <c r="E78" s="18" t="n">
        <v>26.18270663</v>
      </c>
      <c r="F78" s="20" t="n">
        <v>1.23139865</v>
      </c>
      <c r="G78" s="18" t="n">
        <v>70.17583055</v>
      </c>
      <c r="H78" s="20" t="n">
        <v>1.21750617</v>
      </c>
      <c r="I78" s="18" t="n">
        <v>0</v>
      </c>
      <c r="J78" s="20" t="n">
        <v>0</v>
      </c>
      <c r="K78" s="18" t="n">
        <v>0.57425626</v>
      </c>
      <c r="L78" s="20" t="n">
        <v>0.21274649</v>
      </c>
      <c r="M78" s="18" t="n">
        <v>0</v>
      </c>
      <c r="N78" s="20" t="n">
        <v>0</v>
      </c>
      <c r="O78" s="18" t="n">
        <v>0</v>
      </c>
      <c r="P78" s="20" t="n">
        <v>0</v>
      </c>
      <c r="Q78" s="18" t="n">
        <v>3.06720657</v>
      </c>
      <c r="R78" s="20" t="n">
        <v>0.61189678</v>
      </c>
    </row>
    <row r="79" spans="1:18">
      <c r="A79" s="15" t="s">
        <v>503</v>
      </c>
      <c r="B79" s="17" t="n">
        <v>6062</v>
      </c>
      <c r="C79" s="18">
        <f>(5317.0/B79*100)</f>
        <v/>
      </c>
      <c r="D79" s="19" t="n">
        <v>745</v>
      </c>
      <c r="E79" s="18" t="n">
        <v>35.54093016</v>
      </c>
      <c r="F79" s="20" t="n">
        <v>1.86434812</v>
      </c>
      <c r="G79" s="18" t="n">
        <v>61.76502358</v>
      </c>
      <c r="H79" s="20" t="n">
        <v>1.84036931</v>
      </c>
      <c r="I79" s="18" t="n">
        <v>0</v>
      </c>
      <c r="J79" s="20" t="n">
        <v>0</v>
      </c>
      <c r="K79" s="18" t="n">
        <v>0.66632601</v>
      </c>
      <c r="L79" s="20" t="n">
        <v>0.31418541</v>
      </c>
      <c r="M79" s="18" t="n">
        <v>0</v>
      </c>
      <c r="N79" s="20" t="n">
        <v>0</v>
      </c>
      <c r="O79" s="18" t="n">
        <v>0</v>
      </c>
      <c r="P79" s="20" t="n">
        <v>0</v>
      </c>
      <c r="Q79" s="18" t="n">
        <v>2.02772025</v>
      </c>
      <c r="R79" s="20" t="n">
        <v>0.45877873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(28373.0/B82*100)</f>
        <v/>
      </c>
      <c r="D82" s="19" t="n">
        <v>3957</v>
      </c>
      <c r="E82" s="18" t="n">
        <v>29.39518244</v>
      </c>
      <c r="F82" s="20" t="n">
        <v>1.09902822</v>
      </c>
      <c r="G82" s="18" t="n">
        <v>69.80327</v>
      </c>
      <c r="H82" s="20" t="n">
        <v>1.08081136</v>
      </c>
      <c r="I82" s="18" t="n">
        <v>0</v>
      </c>
      <c r="J82" s="20" t="n">
        <v>0</v>
      </c>
      <c r="K82" s="18" t="n">
        <v>0.15981199</v>
      </c>
      <c r="L82" s="20" t="n">
        <v>0.09235074</v>
      </c>
      <c r="M82" s="18" t="n">
        <v>0</v>
      </c>
      <c r="N82" s="20" t="n">
        <v>0</v>
      </c>
      <c r="O82" s="18" t="n">
        <v>0</v>
      </c>
      <c r="P82" s="20" t="n">
        <v>0</v>
      </c>
      <c r="Q82" s="18" t="n">
        <v>0.64173558</v>
      </c>
      <c r="R82" s="20" t="n">
        <v>0.15449027</v>
      </c>
    </row>
    <row r="83" spans="1:18">
      <c r="A83" s="15" t="s">
        <v>507</v>
      </c>
      <c r="B83" s="17" t="n">
        <v>1652</v>
      </c>
      <c r="C83" s="18">
        <f>(1456.0/B83*100)</f>
        <v/>
      </c>
      <c r="D83" s="19" t="n">
        <v>196</v>
      </c>
      <c r="E83" s="18" t="n">
        <v>18.63023886</v>
      </c>
      <c r="F83" s="20" t="n">
        <v>3.10593148</v>
      </c>
      <c r="G83" s="18" t="n">
        <v>80.72753274999999</v>
      </c>
      <c r="H83" s="20" t="n">
        <v>2.91462453</v>
      </c>
      <c r="I83" s="18" t="n">
        <v>0</v>
      </c>
      <c r="J83" s="20" t="n">
        <v>0</v>
      </c>
      <c r="K83" s="18" t="n">
        <v>0</v>
      </c>
      <c r="L83" s="20" t="n">
        <v>0</v>
      </c>
      <c r="M83" s="18" t="n">
        <v>0</v>
      </c>
      <c r="N83" s="20" t="n">
        <v>0</v>
      </c>
      <c r="O83" s="18" t="n">
        <v>0</v>
      </c>
      <c r="P83" s="20" t="n">
        <v>0</v>
      </c>
      <c r="Q83" s="18" t="n">
        <v>0.64222839</v>
      </c>
      <c r="R83" s="20" t="n">
        <v>0.62252895</v>
      </c>
    </row>
    <row r="84" spans="1:18">
      <c r="A84" s="23" t="s">
        <v>508</v>
      </c>
      <c r="B84" s="24" t="n">
        <v>1887</v>
      </c>
      <c r="C84" s="25">
        <f>(1655.0/B84*100)</f>
        <v/>
      </c>
      <c r="D84" s="19" t="n">
        <v>232</v>
      </c>
      <c r="E84" s="18" t="n">
        <v>28.48462632</v>
      </c>
      <c r="F84" s="20" t="n">
        <v>3.8393942</v>
      </c>
      <c r="G84" s="18" t="n">
        <v>71.51537368</v>
      </c>
      <c r="H84" s="20" t="n">
        <v>3.8393942</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(12762.0/B7*100)</f>
        <v/>
      </c>
      <c r="D7" s="19" t="n">
        <v>1768</v>
      </c>
      <c r="E7" s="18" t="n">
        <v>49.95465913</v>
      </c>
      <c r="F7" s="20" t="n">
        <v>1.55684287</v>
      </c>
      <c r="G7" s="18" t="n">
        <v>49.61912381</v>
      </c>
      <c r="H7" s="20" t="n">
        <v>1.58570738</v>
      </c>
      <c r="I7" s="18" t="n">
        <v>0</v>
      </c>
      <c r="J7" s="20" t="n">
        <v>0</v>
      </c>
      <c r="K7" s="18" t="n">
        <v>0.01971177</v>
      </c>
      <c r="L7" s="20" t="n">
        <v>0.01414691</v>
      </c>
      <c r="M7" s="18" t="n">
        <v>0</v>
      </c>
      <c r="N7" s="20" t="n">
        <v>0</v>
      </c>
      <c r="O7" s="18" t="n">
        <v>0</v>
      </c>
      <c r="P7" s="20" t="n">
        <v>0</v>
      </c>
      <c r="Q7" s="18" t="n">
        <v>0.40650529</v>
      </c>
      <c r="R7" s="20" t="n">
        <v>0.1753578</v>
      </c>
    </row>
    <row r="8" spans="1:18">
      <c r="A8" s="15" t="s">
        <v>430</v>
      </c>
      <c r="B8" s="17" t="n">
        <v>7007</v>
      </c>
      <c r="C8" s="18">
        <f>(6124.0/B8*100)</f>
        <v/>
      </c>
      <c r="D8" s="19" t="n">
        <v>883</v>
      </c>
      <c r="E8" s="18" t="n">
        <v>57.58387324</v>
      </c>
      <c r="F8" s="20" t="n">
        <v>1.6349843</v>
      </c>
      <c r="G8" s="18" t="n">
        <v>41.64709357</v>
      </c>
      <c r="H8" s="20" t="n">
        <v>1.67675814</v>
      </c>
      <c r="I8" s="18" t="n">
        <v>0</v>
      </c>
      <c r="J8" s="20" t="n">
        <v>0</v>
      </c>
      <c r="K8" s="18" t="n">
        <v>0.13377031</v>
      </c>
      <c r="L8" s="20" t="n">
        <v>0.13447032</v>
      </c>
      <c r="M8" s="18" t="n">
        <v>0</v>
      </c>
      <c r="N8" s="20" t="n">
        <v>0</v>
      </c>
      <c r="O8" s="18" t="n">
        <v>0</v>
      </c>
      <c r="P8" s="20" t="n">
        <v>0</v>
      </c>
      <c r="Q8" s="18" t="n">
        <v>0.63526288</v>
      </c>
      <c r="R8" s="20" t="n">
        <v>0.33096773</v>
      </c>
    </row>
    <row r="9" spans="1:18">
      <c r="A9" s="15" t="s">
        <v>431</v>
      </c>
      <c r="B9" s="17" t="n">
        <v>9651</v>
      </c>
      <c r="C9" s="18">
        <f>(8497.0/B9*100)</f>
        <v/>
      </c>
      <c r="D9" s="19" t="n">
        <v>1154</v>
      </c>
      <c r="E9" s="18" t="n">
        <v>53.02803263</v>
      </c>
      <c r="F9" s="20" t="n">
        <v>1.51508549</v>
      </c>
      <c r="G9" s="18" t="n">
        <v>45.9048856</v>
      </c>
      <c r="H9" s="20" t="n">
        <v>1.54052994</v>
      </c>
      <c r="I9" s="18" t="n">
        <v>0</v>
      </c>
      <c r="J9" s="20" t="n">
        <v>0</v>
      </c>
      <c r="K9" s="18" t="n">
        <v>0.08300282</v>
      </c>
      <c r="L9" s="20" t="n">
        <v>0.08694331</v>
      </c>
      <c r="M9" s="18" t="n">
        <v>0</v>
      </c>
      <c r="N9" s="20" t="n">
        <v>0</v>
      </c>
      <c r="O9" s="18" t="n">
        <v>0</v>
      </c>
      <c r="P9" s="20" t="n">
        <v>0</v>
      </c>
      <c r="Q9" s="18" t="n">
        <v>0.9840789599999999</v>
      </c>
      <c r="R9" s="20" t="n">
        <v>0.28426893</v>
      </c>
    </row>
    <row r="10" spans="1:18">
      <c r="A10" s="15" t="s">
        <v>432</v>
      </c>
      <c r="B10" s="17" t="n">
        <v>20058</v>
      </c>
      <c r="C10" s="18">
        <f>(17528.0/B10*100)</f>
        <v/>
      </c>
      <c r="D10" s="19" t="n">
        <v>2530</v>
      </c>
      <c r="E10" s="18" t="n">
        <v>45.60661986</v>
      </c>
      <c r="F10" s="20" t="n">
        <v>1.47627555</v>
      </c>
      <c r="G10" s="18" t="n">
        <v>53.96002566</v>
      </c>
      <c r="H10" s="20" t="n">
        <v>1.50980049</v>
      </c>
      <c r="I10" s="18" t="n">
        <v>0</v>
      </c>
      <c r="J10" s="20" t="n">
        <v>0</v>
      </c>
      <c r="K10" s="18" t="n">
        <v>0.10943568</v>
      </c>
      <c r="L10" s="20" t="n">
        <v>0.08839392</v>
      </c>
      <c r="M10" s="18" t="n">
        <v>0</v>
      </c>
      <c r="N10" s="20" t="n">
        <v>0</v>
      </c>
      <c r="O10" s="18" t="n">
        <v>0</v>
      </c>
      <c r="P10" s="20" t="n">
        <v>0</v>
      </c>
      <c r="Q10" s="18" t="n">
        <v>0.32391879</v>
      </c>
      <c r="R10" s="20" t="n">
        <v>0.15432898</v>
      </c>
    </row>
    <row r="11" spans="1:18">
      <c r="A11" s="15" t="s">
        <v>433</v>
      </c>
      <c r="B11" s="17" t="n">
        <v>7053</v>
      </c>
      <c r="C11" s="18">
        <f>(6216.0/B11*100)</f>
        <v/>
      </c>
      <c r="D11" s="19" t="n">
        <v>837</v>
      </c>
      <c r="E11" s="18" t="n">
        <v>59.77496996</v>
      </c>
      <c r="F11" s="20" t="n">
        <v>1.84377458</v>
      </c>
      <c r="G11" s="18" t="n">
        <v>38.70198579</v>
      </c>
      <c r="H11" s="20" t="n">
        <v>1.78718413</v>
      </c>
      <c r="I11" s="18" t="n">
        <v>0</v>
      </c>
      <c r="J11" s="20" t="n">
        <v>0</v>
      </c>
      <c r="K11" s="18" t="n">
        <v>0.69599575</v>
      </c>
      <c r="L11" s="20" t="n">
        <v>0.42395408</v>
      </c>
      <c r="M11" s="18" t="n">
        <v>0</v>
      </c>
      <c r="N11" s="20" t="n">
        <v>0</v>
      </c>
      <c r="O11" s="18" t="n">
        <v>0</v>
      </c>
      <c r="P11" s="20" t="n">
        <v>0</v>
      </c>
      <c r="Q11" s="18" t="n">
        <v>0.8270485</v>
      </c>
      <c r="R11" s="20" t="n">
        <v>0.44369259</v>
      </c>
    </row>
    <row r="12" spans="1:18">
      <c r="A12" s="15" t="s">
        <v>434</v>
      </c>
      <c r="B12" s="17" t="n">
        <v>6894</v>
      </c>
      <c r="C12" s="18">
        <f>(6054.0/B12*100)</f>
        <v/>
      </c>
      <c r="D12" s="19" t="n">
        <v>840</v>
      </c>
      <c r="E12" s="18" t="n">
        <v>52.86232639</v>
      </c>
      <c r="F12" s="20" t="n">
        <v>2.12182605</v>
      </c>
      <c r="G12" s="18" t="n">
        <v>46.5747519</v>
      </c>
      <c r="H12" s="20" t="n">
        <v>2.11175203</v>
      </c>
      <c r="I12" s="18" t="n">
        <v>0</v>
      </c>
      <c r="J12" s="20" t="n">
        <v>0</v>
      </c>
      <c r="K12" s="18" t="n">
        <v>0.10819401</v>
      </c>
      <c r="L12" s="20" t="n">
        <v>0.10598601</v>
      </c>
      <c r="M12" s="18" t="n">
        <v>0</v>
      </c>
      <c r="N12" s="20" t="n">
        <v>0</v>
      </c>
      <c r="O12" s="18" t="n">
        <v>0</v>
      </c>
      <c r="P12" s="20" t="n">
        <v>0</v>
      </c>
      <c r="Q12" s="18" t="n">
        <v>0.45472771</v>
      </c>
      <c r="R12" s="20" t="n">
        <v>0.17805083</v>
      </c>
    </row>
    <row r="13" spans="1:18">
      <c r="A13" s="15" t="s">
        <v>435</v>
      </c>
      <c r="B13" s="17" t="n">
        <v>7161</v>
      </c>
      <c r="C13" s="18">
        <f>(6314.0/B13*100)</f>
        <v/>
      </c>
      <c r="D13" s="19" t="n">
        <v>847</v>
      </c>
      <c r="E13" s="18" t="n">
        <v>57.04016962</v>
      </c>
      <c r="F13" s="20" t="n">
        <v>1.88069444</v>
      </c>
      <c r="G13" s="18" t="n">
        <v>41.78395224</v>
      </c>
      <c r="H13" s="20" t="n">
        <v>1.91469797</v>
      </c>
      <c r="I13" s="18" t="n">
        <v>0</v>
      </c>
      <c r="J13" s="20" t="n">
        <v>0</v>
      </c>
      <c r="K13" s="18" t="n">
        <v>0.27865046</v>
      </c>
      <c r="L13" s="20" t="n">
        <v>0.17575319</v>
      </c>
      <c r="M13" s="18" t="n">
        <v>0</v>
      </c>
      <c r="N13" s="20" t="n">
        <v>0</v>
      </c>
      <c r="O13" s="18" t="n">
        <v>0</v>
      </c>
      <c r="P13" s="20" t="n">
        <v>0</v>
      </c>
      <c r="Q13" s="18" t="n">
        <v>0.89722768</v>
      </c>
      <c r="R13" s="20" t="n">
        <v>0.3684028</v>
      </c>
    </row>
    <row r="14" spans="1:18">
      <c r="A14" s="15" t="s">
        <v>436</v>
      </c>
      <c r="B14" s="17" t="n">
        <v>5587</v>
      </c>
      <c r="C14" s="18">
        <f>(4922.0/B14*100)</f>
        <v/>
      </c>
      <c r="D14" s="19" t="n">
        <v>665</v>
      </c>
      <c r="E14" s="18" t="n">
        <v>46.04416675</v>
      </c>
      <c r="F14" s="20" t="n">
        <v>2.38659904</v>
      </c>
      <c r="G14" s="18" t="n">
        <v>53.85059277</v>
      </c>
      <c r="H14" s="20" t="n">
        <v>2.39417907</v>
      </c>
      <c r="I14" s="18" t="n">
        <v>0</v>
      </c>
      <c r="J14" s="20" t="n">
        <v>0</v>
      </c>
      <c r="K14" s="18" t="n">
        <v>0</v>
      </c>
      <c r="L14" s="20" t="n">
        <v>0</v>
      </c>
      <c r="M14" s="18" t="n">
        <v>0</v>
      </c>
      <c r="N14" s="20" t="n">
        <v>0</v>
      </c>
      <c r="O14" s="18" t="n">
        <v>0</v>
      </c>
      <c r="P14" s="20" t="n">
        <v>0</v>
      </c>
      <c r="Q14" s="18" t="n">
        <v>0.10524048</v>
      </c>
      <c r="R14" s="20" t="n">
        <v>0.10503615</v>
      </c>
    </row>
    <row r="15" spans="1:18">
      <c r="A15" s="15" t="s">
        <v>437</v>
      </c>
      <c r="B15" s="17" t="n">
        <v>5882</v>
      </c>
      <c r="C15" s="18">
        <f>(5152.0/B15*100)</f>
        <v/>
      </c>
      <c r="D15" s="19" t="n">
        <v>730</v>
      </c>
      <c r="E15" s="18" t="n">
        <v>49.58018515</v>
      </c>
      <c r="F15" s="20" t="n">
        <v>1.71840514</v>
      </c>
      <c r="G15" s="18" t="n">
        <v>49.6148693</v>
      </c>
      <c r="H15" s="20" t="n">
        <v>1.74890151</v>
      </c>
      <c r="I15" s="18" t="n">
        <v>0</v>
      </c>
      <c r="J15" s="20" t="n">
        <v>0</v>
      </c>
      <c r="K15" s="18" t="n">
        <v>0</v>
      </c>
      <c r="L15" s="20" t="n">
        <v>0</v>
      </c>
      <c r="M15" s="18" t="n">
        <v>0</v>
      </c>
      <c r="N15" s="20" t="n">
        <v>0</v>
      </c>
      <c r="O15" s="18" t="n">
        <v>0</v>
      </c>
      <c r="P15" s="20" t="n">
        <v>0</v>
      </c>
      <c r="Q15" s="18" t="n">
        <v>0.80494555</v>
      </c>
      <c r="R15" s="20" t="n">
        <v>0.37162785</v>
      </c>
    </row>
    <row r="16" spans="1:18">
      <c r="A16" s="15" t="s">
        <v>438</v>
      </c>
      <c r="B16" s="17" t="n">
        <v>6108</v>
      </c>
      <c r="C16" s="18">
        <f>(5368.0/B16*100)</f>
        <v/>
      </c>
      <c r="D16" s="19" t="n">
        <v>740</v>
      </c>
      <c r="E16" s="18" t="n">
        <v>46.06790712</v>
      </c>
      <c r="F16" s="20" t="n">
        <v>2.05561844</v>
      </c>
      <c r="G16" s="18" t="n">
        <v>52.51810934</v>
      </c>
      <c r="H16" s="20" t="n">
        <v>1.99345004</v>
      </c>
      <c r="I16" s="18" t="n">
        <v>0</v>
      </c>
      <c r="J16" s="20" t="n">
        <v>0</v>
      </c>
      <c r="K16" s="18" t="n">
        <v>0.83224871</v>
      </c>
      <c r="L16" s="20" t="n">
        <v>0.38505285</v>
      </c>
      <c r="M16" s="18" t="n">
        <v>0</v>
      </c>
      <c r="N16" s="20" t="n">
        <v>0</v>
      </c>
      <c r="O16" s="18" t="n">
        <v>0</v>
      </c>
      <c r="P16" s="20" t="n">
        <v>0</v>
      </c>
      <c r="Q16" s="18" t="n">
        <v>0.58173483</v>
      </c>
      <c r="R16" s="20" t="n">
        <v>0.28449057</v>
      </c>
    </row>
    <row r="17" spans="1:18">
      <c r="A17" s="15" t="s">
        <v>439</v>
      </c>
      <c r="B17" s="17" t="n">
        <v>6504</v>
      </c>
      <c r="C17" s="18">
        <f>(5739.0/B17*100)</f>
        <v/>
      </c>
      <c r="D17" s="19" t="n">
        <v>765</v>
      </c>
      <c r="E17" s="18" t="n">
        <v>51.66421503</v>
      </c>
      <c r="F17" s="20" t="n">
        <v>2.00209894</v>
      </c>
      <c r="G17" s="18" t="n">
        <v>47.56377615</v>
      </c>
      <c r="H17" s="20" t="n">
        <v>2.01814798</v>
      </c>
      <c r="I17" s="18" t="n">
        <v>0</v>
      </c>
      <c r="J17" s="20" t="n">
        <v>0</v>
      </c>
      <c r="K17" s="18" t="n">
        <v>0.09860463</v>
      </c>
      <c r="L17" s="20" t="n">
        <v>0.09885602</v>
      </c>
      <c r="M17" s="18" t="n">
        <v>0</v>
      </c>
      <c r="N17" s="20" t="n">
        <v>0</v>
      </c>
      <c r="O17" s="18" t="n">
        <v>0</v>
      </c>
      <c r="P17" s="20" t="n">
        <v>0</v>
      </c>
      <c r="Q17" s="18" t="n">
        <v>0.67340419</v>
      </c>
      <c r="R17" s="20" t="n">
        <v>0.29371563</v>
      </c>
    </row>
    <row r="18" spans="1:18">
      <c r="A18" s="15" t="s">
        <v>440</v>
      </c>
      <c r="B18" s="17" t="n">
        <v>5532</v>
      </c>
      <c r="C18" s="18">
        <f>(4840.0/B18*100)</f>
        <v/>
      </c>
      <c r="D18" s="19" t="n">
        <v>692</v>
      </c>
      <c r="E18" s="18" t="n">
        <v>46.99523701</v>
      </c>
      <c r="F18" s="20" t="n">
        <v>1.93543199</v>
      </c>
      <c r="G18" s="18" t="n">
        <v>51.61282897</v>
      </c>
      <c r="H18" s="20" t="n">
        <v>1.98986224</v>
      </c>
      <c r="I18" s="18" t="n">
        <v>0</v>
      </c>
      <c r="J18" s="20" t="n">
        <v>0</v>
      </c>
      <c r="K18" s="18" t="n">
        <v>0.26058611</v>
      </c>
      <c r="L18" s="20" t="n">
        <v>0.26318909</v>
      </c>
      <c r="M18" s="18" t="n">
        <v>0</v>
      </c>
      <c r="N18" s="20" t="n">
        <v>0</v>
      </c>
      <c r="O18" s="18" t="n">
        <v>0</v>
      </c>
      <c r="P18" s="20" t="n">
        <v>0</v>
      </c>
      <c r="Q18" s="18" t="n">
        <v>1.1313479</v>
      </c>
      <c r="R18" s="20" t="n">
        <v>0.41315363</v>
      </c>
    </row>
    <row r="19" spans="1:18">
      <c r="A19" s="15" t="s">
        <v>441</v>
      </c>
      <c r="B19" s="17" t="n">
        <v>5658</v>
      </c>
      <c r="C19" s="18">
        <f>(4965.0/B19*100)</f>
        <v/>
      </c>
      <c r="D19" s="19" t="n">
        <v>693</v>
      </c>
      <c r="E19" s="18" t="n">
        <v>44.71747291</v>
      </c>
      <c r="F19" s="20" t="n">
        <v>1.89602966</v>
      </c>
      <c r="G19" s="18" t="n">
        <v>54.32408634</v>
      </c>
      <c r="H19" s="20" t="n">
        <v>1.92904882</v>
      </c>
      <c r="I19" s="18" t="n">
        <v>0</v>
      </c>
      <c r="J19" s="20" t="n">
        <v>0</v>
      </c>
      <c r="K19" s="18" t="n">
        <v>0.29830047</v>
      </c>
      <c r="L19" s="20" t="n">
        <v>0.32644971</v>
      </c>
      <c r="M19" s="18" t="n">
        <v>0</v>
      </c>
      <c r="N19" s="20" t="n">
        <v>0</v>
      </c>
      <c r="O19" s="18" t="n">
        <v>0</v>
      </c>
      <c r="P19" s="20" t="n">
        <v>0</v>
      </c>
      <c r="Q19" s="18" t="n">
        <v>0.66014028</v>
      </c>
      <c r="R19" s="20" t="n">
        <v>0.34122123</v>
      </c>
    </row>
    <row r="20" spans="1:18">
      <c r="A20" s="15" t="s">
        <v>442</v>
      </c>
      <c r="B20" s="17" t="n">
        <v>3371</v>
      </c>
      <c r="C20" s="18">
        <f>(2961.0/B20*100)</f>
        <v/>
      </c>
      <c r="D20" s="19" t="n">
        <v>410</v>
      </c>
      <c r="E20" s="18" t="n">
        <v>54.5164255</v>
      </c>
      <c r="F20" s="20" t="n">
        <v>2.9463151</v>
      </c>
      <c r="G20" s="18" t="n">
        <v>43.23730766</v>
      </c>
      <c r="H20" s="20" t="n">
        <v>2.75052957</v>
      </c>
      <c r="I20" s="18" t="n">
        <v>0</v>
      </c>
      <c r="J20" s="20" t="n">
        <v>0</v>
      </c>
      <c r="K20" s="18" t="n">
        <v>0.61322485</v>
      </c>
      <c r="L20" s="20" t="n">
        <v>0.44662013</v>
      </c>
      <c r="M20" s="18" t="n">
        <v>0</v>
      </c>
      <c r="N20" s="20" t="n">
        <v>0</v>
      </c>
      <c r="O20" s="18" t="n">
        <v>0</v>
      </c>
      <c r="P20" s="20" t="n">
        <v>0</v>
      </c>
      <c r="Q20" s="18" t="n">
        <v>1.633042</v>
      </c>
      <c r="R20" s="20" t="n">
        <v>0.62825678</v>
      </c>
    </row>
    <row r="21" spans="1:18">
      <c r="A21" s="15" t="s">
        <v>443</v>
      </c>
      <c r="B21" s="17" t="n">
        <v>5741</v>
      </c>
      <c r="C21" s="18">
        <f>(4789.0/B21*100)</f>
        <v/>
      </c>
      <c r="D21" s="19" t="n">
        <v>952</v>
      </c>
      <c r="E21" s="18" t="n">
        <v>51.43567815</v>
      </c>
      <c r="F21" s="20" t="n">
        <v>1.88257233</v>
      </c>
      <c r="G21" s="18" t="n">
        <v>48.07728926</v>
      </c>
      <c r="H21" s="20" t="n">
        <v>1.89778438</v>
      </c>
      <c r="I21" s="18" t="n">
        <v>0</v>
      </c>
      <c r="J21" s="20" t="n">
        <v>0</v>
      </c>
      <c r="K21" s="18" t="n">
        <v>0.10686078</v>
      </c>
      <c r="L21" s="20" t="n">
        <v>0.07564095</v>
      </c>
      <c r="M21" s="18" t="n">
        <v>0</v>
      </c>
      <c r="N21" s="20" t="n">
        <v>0</v>
      </c>
      <c r="O21" s="18" t="n">
        <v>0</v>
      </c>
      <c r="P21" s="20" t="n">
        <v>0</v>
      </c>
      <c r="Q21" s="18" t="n">
        <v>0.38017181</v>
      </c>
      <c r="R21" s="20" t="n">
        <v>0.19268681</v>
      </c>
    </row>
    <row r="22" spans="1:18">
      <c r="A22" s="15" t="s">
        <v>444</v>
      </c>
      <c r="B22" s="17" t="n">
        <v>6598</v>
      </c>
      <c r="C22" s="18">
        <f>(5842.0/B22*100)</f>
        <v/>
      </c>
      <c r="D22" s="19" t="n">
        <v>756</v>
      </c>
      <c r="E22" s="18" t="n">
        <v>48.55179159</v>
      </c>
      <c r="F22" s="20" t="n">
        <v>2.0962901</v>
      </c>
      <c r="G22" s="18" t="n">
        <v>47.17989239</v>
      </c>
      <c r="H22" s="20" t="n">
        <v>1.94706823</v>
      </c>
      <c r="I22" s="18" t="n">
        <v>0</v>
      </c>
      <c r="J22" s="20" t="n">
        <v>0</v>
      </c>
      <c r="K22" s="18" t="n">
        <v>1.04269559</v>
      </c>
      <c r="L22" s="20" t="n">
        <v>0.40930662</v>
      </c>
      <c r="M22" s="18" t="n">
        <v>0</v>
      </c>
      <c r="N22" s="20" t="n">
        <v>0</v>
      </c>
      <c r="O22" s="18" t="n">
        <v>0</v>
      </c>
      <c r="P22" s="20" t="n">
        <v>0</v>
      </c>
      <c r="Q22" s="18" t="n">
        <v>3.22562043</v>
      </c>
      <c r="R22" s="20" t="n">
        <v>0.6266153</v>
      </c>
    </row>
    <row r="23" spans="1:18">
      <c r="A23" s="15" t="s">
        <v>445</v>
      </c>
      <c r="B23" s="17" t="n">
        <v>11583</v>
      </c>
      <c r="C23" s="18">
        <f>(10155.0/B23*100)</f>
        <v/>
      </c>
      <c r="D23" s="19" t="n">
        <v>1428</v>
      </c>
      <c r="E23" s="18" t="n">
        <v>53.21107778</v>
      </c>
      <c r="F23" s="20" t="n">
        <v>1.82076219</v>
      </c>
      <c r="G23" s="18" t="n">
        <v>45.99532714</v>
      </c>
      <c r="H23" s="20" t="n">
        <v>1.8507276</v>
      </c>
      <c r="I23" s="18" t="n">
        <v>0</v>
      </c>
      <c r="J23" s="20" t="n">
        <v>0</v>
      </c>
      <c r="K23" s="18" t="n">
        <v>0.27757331</v>
      </c>
      <c r="L23" s="20" t="n">
        <v>0.24510503</v>
      </c>
      <c r="M23" s="18" t="n">
        <v>0</v>
      </c>
      <c r="N23" s="20" t="n">
        <v>0</v>
      </c>
      <c r="O23" s="18" t="n">
        <v>0</v>
      </c>
      <c r="P23" s="20" t="n">
        <v>0</v>
      </c>
      <c r="Q23" s="18" t="n">
        <v>0.51602177</v>
      </c>
      <c r="R23" s="20" t="n">
        <v>0.22313128</v>
      </c>
    </row>
    <row r="24" spans="1:18">
      <c r="A24" s="15" t="s">
        <v>446</v>
      </c>
      <c r="B24" s="17" t="n">
        <v>6647</v>
      </c>
      <c r="C24" s="18">
        <f>(5846.0/B24*100)</f>
        <v/>
      </c>
      <c r="D24" s="19" t="n">
        <v>801</v>
      </c>
      <c r="E24" s="18" t="n">
        <v>43.08398437</v>
      </c>
      <c r="F24" s="20" t="n">
        <v>1.98785381</v>
      </c>
      <c r="G24" s="18" t="n">
        <v>56.66420012</v>
      </c>
      <c r="H24" s="20" t="n">
        <v>2.02546724</v>
      </c>
      <c r="I24" s="18" t="n">
        <v>0</v>
      </c>
      <c r="J24" s="20" t="n">
        <v>0</v>
      </c>
      <c r="K24" s="18" t="n">
        <v>0.12702673</v>
      </c>
      <c r="L24" s="20" t="n">
        <v>0.12123151</v>
      </c>
      <c r="M24" s="18" t="n">
        <v>0</v>
      </c>
      <c r="N24" s="20" t="n">
        <v>0</v>
      </c>
      <c r="O24" s="18" t="n">
        <v>0</v>
      </c>
      <c r="P24" s="20" t="n">
        <v>0</v>
      </c>
      <c r="Q24" s="18" t="n">
        <v>0.12478878</v>
      </c>
      <c r="R24" s="20" t="n">
        <v>0.1248554</v>
      </c>
    </row>
    <row r="25" spans="1:18">
      <c r="A25" s="15" t="s">
        <v>447</v>
      </c>
      <c r="B25" s="17" t="n">
        <v>5581</v>
      </c>
      <c r="C25" s="18">
        <f>(4891.0/B25*100)</f>
        <v/>
      </c>
      <c r="D25" s="19" t="n">
        <v>690</v>
      </c>
      <c r="E25" s="18" t="n">
        <v>49.78370885</v>
      </c>
      <c r="F25" s="20" t="n">
        <v>2.02205703</v>
      </c>
      <c r="G25" s="18" t="n">
        <v>49.79406401</v>
      </c>
      <c r="H25" s="20" t="n">
        <v>2.02148383</v>
      </c>
      <c r="I25" s="18" t="n">
        <v>0</v>
      </c>
      <c r="J25" s="20" t="n">
        <v>0</v>
      </c>
      <c r="K25" s="18" t="n">
        <v>0.28741602</v>
      </c>
      <c r="L25" s="20" t="n">
        <v>0.20301638</v>
      </c>
      <c r="M25" s="18" t="n">
        <v>0</v>
      </c>
      <c r="N25" s="20" t="n">
        <v>0</v>
      </c>
      <c r="O25" s="18" t="n">
        <v>0</v>
      </c>
      <c r="P25" s="20" t="n">
        <v>0</v>
      </c>
      <c r="Q25" s="18" t="n">
        <v>0.13481112</v>
      </c>
      <c r="R25" s="20" t="n">
        <v>0.13491624</v>
      </c>
    </row>
    <row r="26" spans="1:18">
      <c r="A26" s="15" t="s">
        <v>448</v>
      </c>
      <c r="B26" s="17" t="n">
        <v>4869</v>
      </c>
      <c r="C26" s="18">
        <f>(4264.0/B26*100)</f>
        <v/>
      </c>
      <c r="D26" s="19" t="n">
        <v>605</v>
      </c>
      <c r="E26" s="18" t="n">
        <v>59.6702436</v>
      </c>
      <c r="F26" s="20" t="n">
        <v>2.24403407</v>
      </c>
      <c r="G26" s="18" t="n">
        <v>39.44964512</v>
      </c>
      <c r="H26" s="20" t="n">
        <v>2.2219453</v>
      </c>
      <c r="I26" s="18" t="n">
        <v>0</v>
      </c>
      <c r="J26" s="20" t="n">
        <v>0</v>
      </c>
      <c r="K26" s="18" t="n">
        <v>0</v>
      </c>
      <c r="L26" s="20" t="n">
        <v>0</v>
      </c>
      <c r="M26" s="18" t="n">
        <v>0</v>
      </c>
      <c r="N26" s="20" t="n">
        <v>0</v>
      </c>
      <c r="O26" s="18" t="n">
        <v>0</v>
      </c>
      <c r="P26" s="20" t="n">
        <v>0</v>
      </c>
      <c r="Q26" s="18" t="n">
        <v>0.8801112800000001</v>
      </c>
      <c r="R26" s="20" t="n">
        <v>0.37204109</v>
      </c>
    </row>
    <row r="27" spans="1:18">
      <c r="A27" s="15" t="s">
        <v>449</v>
      </c>
      <c r="B27" s="17" t="n">
        <v>5299</v>
      </c>
      <c r="C27" s="18">
        <f>(4633.0/B27*100)</f>
        <v/>
      </c>
      <c r="D27" s="19" t="n">
        <v>666</v>
      </c>
      <c r="E27" s="18" t="n">
        <v>55.29018834</v>
      </c>
      <c r="F27" s="20" t="n">
        <v>1.86576718</v>
      </c>
      <c r="G27" s="18" t="n">
        <v>43.78950971</v>
      </c>
      <c r="H27" s="20" t="n">
        <v>1.860598</v>
      </c>
      <c r="I27" s="18" t="n">
        <v>0</v>
      </c>
      <c r="J27" s="20" t="n">
        <v>0</v>
      </c>
      <c r="K27" s="18" t="n">
        <v>0.15235268</v>
      </c>
      <c r="L27" s="20" t="n">
        <v>0.15210774</v>
      </c>
      <c r="M27" s="18" t="n">
        <v>0</v>
      </c>
      <c r="N27" s="20" t="n">
        <v>0</v>
      </c>
      <c r="O27" s="18" t="n">
        <v>0</v>
      </c>
      <c r="P27" s="20" t="n">
        <v>0</v>
      </c>
      <c r="Q27" s="18" t="n">
        <v>0.76794928</v>
      </c>
      <c r="R27" s="20" t="n">
        <v>0.34334872</v>
      </c>
    </row>
    <row r="28" spans="1:18">
      <c r="A28" s="15" t="s">
        <v>450</v>
      </c>
      <c r="B28" s="17" t="n">
        <v>7568</v>
      </c>
      <c r="C28" s="18">
        <f>(6670.0/B28*100)</f>
        <v/>
      </c>
      <c r="D28" s="19" t="n">
        <v>898</v>
      </c>
      <c r="E28" s="18" t="n">
        <v>64.06370993</v>
      </c>
      <c r="F28" s="20" t="n">
        <v>1.97144983</v>
      </c>
      <c r="G28" s="18" t="n">
        <v>34.59530719</v>
      </c>
      <c r="H28" s="20" t="n">
        <v>1.9136828</v>
      </c>
      <c r="I28" s="18" t="n">
        <v>0</v>
      </c>
      <c r="J28" s="20" t="n">
        <v>0</v>
      </c>
      <c r="K28" s="18" t="n">
        <v>0</v>
      </c>
      <c r="L28" s="20" t="n">
        <v>0</v>
      </c>
      <c r="M28" s="18" t="n">
        <v>0</v>
      </c>
      <c r="N28" s="20" t="n">
        <v>0</v>
      </c>
      <c r="O28" s="18" t="n">
        <v>0</v>
      </c>
      <c r="P28" s="20" t="n">
        <v>0</v>
      </c>
      <c r="Q28" s="18" t="n">
        <v>1.34098288</v>
      </c>
      <c r="R28" s="20" t="n">
        <v>0.46310573</v>
      </c>
    </row>
    <row r="29" spans="1:18">
      <c r="A29" s="15" t="s">
        <v>451</v>
      </c>
      <c r="B29" s="17" t="n">
        <v>5385</v>
      </c>
      <c r="C29" s="18">
        <f>(4753.0/B29*100)</f>
        <v/>
      </c>
      <c r="D29" s="19" t="n">
        <v>632</v>
      </c>
      <c r="E29" s="18" t="n">
        <v>50.97540203</v>
      </c>
      <c r="F29" s="20" t="n">
        <v>1.81439142</v>
      </c>
      <c r="G29" s="18" t="n">
        <v>48.85864234</v>
      </c>
      <c r="H29" s="20" t="n">
        <v>1.78789331</v>
      </c>
      <c r="I29" s="18" t="n">
        <v>0</v>
      </c>
      <c r="J29" s="20" t="n">
        <v>0</v>
      </c>
      <c r="K29" s="18" t="n">
        <v>0</v>
      </c>
      <c r="L29" s="20" t="n">
        <v>0</v>
      </c>
      <c r="M29" s="18" t="n">
        <v>0</v>
      </c>
      <c r="N29" s="20" t="n">
        <v>0</v>
      </c>
      <c r="O29" s="18" t="n">
        <v>0</v>
      </c>
      <c r="P29" s="20" t="n">
        <v>0</v>
      </c>
      <c r="Q29" s="18" t="n">
        <v>0.16595564</v>
      </c>
      <c r="R29" s="20" t="n">
        <v>0.15715489</v>
      </c>
    </row>
    <row r="30" spans="1:18">
      <c r="A30" s="15" t="s">
        <v>452</v>
      </c>
      <c r="B30" s="17" t="n">
        <v>4520</v>
      </c>
      <c r="C30" s="18">
        <f>(3992.0/B30*100)</f>
        <v/>
      </c>
      <c r="D30" s="19" t="n">
        <v>528</v>
      </c>
      <c r="E30" s="18" t="n">
        <v>47.08953211</v>
      </c>
      <c r="F30" s="20" t="n">
        <v>2.41421178</v>
      </c>
      <c r="G30" s="18" t="n">
        <v>51.56935489</v>
      </c>
      <c r="H30" s="20" t="n">
        <v>2.30290261</v>
      </c>
      <c r="I30" s="18" t="n">
        <v>0</v>
      </c>
      <c r="J30" s="20" t="n">
        <v>0</v>
      </c>
      <c r="K30" s="18" t="n">
        <v>0.17166356</v>
      </c>
      <c r="L30" s="20" t="n">
        <v>0.17333225</v>
      </c>
      <c r="M30" s="18" t="n">
        <v>0</v>
      </c>
      <c r="N30" s="20" t="n">
        <v>0</v>
      </c>
      <c r="O30" s="18" t="n">
        <v>0</v>
      </c>
      <c r="P30" s="20" t="n">
        <v>0</v>
      </c>
      <c r="Q30" s="18" t="n">
        <v>1.16944944</v>
      </c>
      <c r="R30" s="20" t="n">
        <v>0.45893477</v>
      </c>
    </row>
    <row r="31" spans="1:18">
      <c r="A31" s="15" t="s">
        <v>453</v>
      </c>
      <c r="B31" s="17" t="n">
        <v>5456</v>
      </c>
      <c r="C31" s="18">
        <f>(4780.0/B31*100)</f>
        <v/>
      </c>
      <c r="D31" s="19" t="n">
        <v>676</v>
      </c>
      <c r="E31" s="18" t="n">
        <v>58.10465828</v>
      </c>
      <c r="F31" s="20" t="n">
        <v>2.08477193</v>
      </c>
      <c r="G31" s="18" t="n">
        <v>40.25819084</v>
      </c>
      <c r="H31" s="20" t="n">
        <v>1.9795964</v>
      </c>
      <c r="I31" s="18" t="n">
        <v>0</v>
      </c>
      <c r="J31" s="20" t="n">
        <v>0</v>
      </c>
      <c r="K31" s="18" t="n">
        <v>0.60397586</v>
      </c>
      <c r="L31" s="20" t="n">
        <v>0.27738453</v>
      </c>
      <c r="M31" s="18" t="n">
        <v>0</v>
      </c>
      <c r="N31" s="20" t="n">
        <v>0</v>
      </c>
      <c r="O31" s="18" t="n">
        <v>0</v>
      </c>
      <c r="P31" s="20" t="n">
        <v>0</v>
      </c>
      <c r="Q31" s="18" t="n">
        <v>1.03317502</v>
      </c>
      <c r="R31" s="20" t="n">
        <v>0.39313406</v>
      </c>
    </row>
    <row r="32" spans="1:18">
      <c r="A32" s="15" t="s">
        <v>454</v>
      </c>
      <c r="B32" s="17" t="n">
        <v>4478</v>
      </c>
      <c r="C32" s="18">
        <f>(3720.0/B32*100)</f>
        <v/>
      </c>
      <c r="D32" s="19" t="n">
        <v>758</v>
      </c>
      <c r="E32" s="18" t="n">
        <v>45.52670038</v>
      </c>
      <c r="F32" s="20" t="n">
        <v>2.08719543</v>
      </c>
      <c r="G32" s="18" t="n">
        <v>54.35091721</v>
      </c>
      <c r="H32" s="20" t="n">
        <v>2.07660007</v>
      </c>
      <c r="I32" s="18" t="n">
        <v>0</v>
      </c>
      <c r="J32" s="20" t="n">
        <v>0</v>
      </c>
      <c r="K32" s="18" t="n">
        <v>0</v>
      </c>
      <c r="L32" s="20" t="n">
        <v>0</v>
      </c>
      <c r="M32" s="18" t="n">
        <v>0</v>
      </c>
      <c r="N32" s="20" t="n">
        <v>0</v>
      </c>
      <c r="O32" s="18" t="n">
        <v>0</v>
      </c>
      <c r="P32" s="20" t="n">
        <v>0</v>
      </c>
      <c r="Q32" s="18" t="n">
        <v>0.12238241</v>
      </c>
      <c r="R32" s="20" t="n">
        <v>0.11474612</v>
      </c>
    </row>
    <row r="33" spans="1:18">
      <c r="A33" s="15" t="s">
        <v>455</v>
      </c>
      <c r="B33" s="17" t="n">
        <v>7325</v>
      </c>
      <c r="C33" s="18">
        <f>(6436.0/B33*100)</f>
        <v/>
      </c>
      <c r="D33" s="19" t="n">
        <v>889</v>
      </c>
      <c r="E33" s="18" t="n">
        <v>47.89666826</v>
      </c>
      <c r="F33" s="20" t="n">
        <v>2.13547161</v>
      </c>
      <c r="G33" s="18" t="n">
        <v>51.90914587</v>
      </c>
      <c r="H33" s="20" t="n">
        <v>2.16434491</v>
      </c>
      <c r="I33" s="18" t="n">
        <v>0</v>
      </c>
      <c r="J33" s="20" t="n">
        <v>0</v>
      </c>
      <c r="K33" s="18" t="n">
        <v>0.01587753</v>
      </c>
      <c r="L33" s="20" t="n">
        <v>0.01686665</v>
      </c>
      <c r="M33" s="18" t="n">
        <v>0</v>
      </c>
      <c r="N33" s="20" t="n">
        <v>0</v>
      </c>
      <c r="O33" s="18" t="n">
        <v>0</v>
      </c>
      <c r="P33" s="20" t="n">
        <v>0</v>
      </c>
      <c r="Q33" s="18" t="n">
        <v>0.17830834</v>
      </c>
      <c r="R33" s="20" t="n">
        <v>0.131921</v>
      </c>
    </row>
    <row r="34" spans="1:18">
      <c r="A34" s="15" t="s">
        <v>456</v>
      </c>
      <c r="B34" s="17" t="n">
        <v>6350</v>
      </c>
      <c r="C34" s="18">
        <f>(5624.0/B34*100)</f>
        <v/>
      </c>
      <c r="D34" s="19" t="n">
        <v>726</v>
      </c>
      <c r="E34" s="18" t="n">
        <v>57.70338527</v>
      </c>
      <c r="F34" s="20" t="n">
        <v>1.55181555</v>
      </c>
      <c r="G34" s="18" t="n">
        <v>41.43067182</v>
      </c>
      <c r="H34" s="20" t="n">
        <v>1.56796987</v>
      </c>
      <c r="I34" s="18" t="n">
        <v>0</v>
      </c>
      <c r="J34" s="20" t="n">
        <v>0</v>
      </c>
      <c r="K34" s="18" t="n">
        <v>0.17057404</v>
      </c>
      <c r="L34" s="20" t="n">
        <v>0.12717818</v>
      </c>
      <c r="M34" s="18" t="n">
        <v>0</v>
      </c>
      <c r="N34" s="20" t="n">
        <v>0</v>
      </c>
      <c r="O34" s="18" t="n">
        <v>0</v>
      </c>
      <c r="P34" s="20" t="n">
        <v>0</v>
      </c>
      <c r="Q34" s="18" t="n">
        <v>0.69536886</v>
      </c>
      <c r="R34" s="20" t="n">
        <v>0.32940876</v>
      </c>
    </row>
    <row r="35" spans="1:18">
      <c r="A35" s="15" t="s">
        <v>457</v>
      </c>
      <c r="B35" s="17" t="n">
        <v>6406</v>
      </c>
      <c r="C35" s="18">
        <f>(5647.0/B35*100)</f>
        <v/>
      </c>
      <c r="D35" s="19" t="n">
        <v>759</v>
      </c>
      <c r="E35" s="18" t="n">
        <v>47.30066643</v>
      </c>
      <c r="F35" s="20" t="n">
        <v>2.1516551</v>
      </c>
      <c r="G35" s="18" t="n">
        <v>52.02024764</v>
      </c>
      <c r="H35" s="20" t="n">
        <v>2.16043895</v>
      </c>
      <c r="I35" s="18" t="n">
        <v>0</v>
      </c>
      <c r="J35" s="20" t="n">
        <v>0</v>
      </c>
      <c r="K35" s="18" t="n">
        <v>0.0773997</v>
      </c>
      <c r="L35" s="20" t="n">
        <v>0.07675497000000001</v>
      </c>
      <c r="M35" s="18" t="n">
        <v>0</v>
      </c>
      <c r="N35" s="20" t="n">
        <v>0</v>
      </c>
      <c r="O35" s="18" t="n">
        <v>0</v>
      </c>
      <c r="P35" s="20" t="n">
        <v>0</v>
      </c>
      <c r="Q35" s="18" t="n">
        <v>0.60168623</v>
      </c>
      <c r="R35" s="20" t="n">
        <v>0.3135313</v>
      </c>
    </row>
    <row r="36" spans="1:18">
      <c r="A36" s="15" t="s">
        <v>458</v>
      </c>
      <c r="B36" s="17" t="n">
        <v>6736</v>
      </c>
      <c r="C36" s="18">
        <f>(5923.0/B36*100)</f>
        <v/>
      </c>
      <c r="D36" s="19" t="n">
        <v>813</v>
      </c>
      <c r="E36" s="18" t="n">
        <v>50.09617599</v>
      </c>
      <c r="F36" s="20" t="n">
        <v>1.6780088</v>
      </c>
      <c r="G36" s="18" t="n">
        <v>48.89605577</v>
      </c>
      <c r="H36" s="20" t="n">
        <v>1.67520329</v>
      </c>
      <c r="I36" s="18" t="n">
        <v>0</v>
      </c>
      <c r="J36" s="20" t="n">
        <v>0</v>
      </c>
      <c r="K36" s="18" t="n">
        <v>0.40789478</v>
      </c>
      <c r="L36" s="20" t="n">
        <v>0.19889564</v>
      </c>
      <c r="M36" s="18" t="n">
        <v>0</v>
      </c>
      <c r="N36" s="20" t="n">
        <v>0</v>
      </c>
      <c r="O36" s="18" t="n">
        <v>0</v>
      </c>
      <c r="P36" s="20" t="n">
        <v>0</v>
      </c>
      <c r="Q36" s="18" t="n">
        <v>0.59987346</v>
      </c>
      <c r="R36" s="20" t="n">
        <v>0.12666381</v>
      </c>
    </row>
    <row r="37" spans="1:18">
      <c r="A37" s="15" t="s">
        <v>459</v>
      </c>
      <c r="B37" s="17" t="n">
        <v>5458</v>
      </c>
      <c r="C37" s="18">
        <f>(4779.0/B37*100)</f>
        <v/>
      </c>
      <c r="D37" s="19" t="n">
        <v>679</v>
      </c>
      <c r="E37" s="18" t="n">
        <v>54.22786</v>
      </c>
      <c r="F37" s="20" t="n">
        <v>1.91135057</v>
      </c>
      <c r="G37" s="18" t="n">
        <v>44.81629954</v>
      </c>
      <c r="H37" s="20" t="n">
        <v>1.89989924</v>
      </c>
      <c r="I37" s="18" t="n">
        <v>0</v>
      </c>
      <c r="J37" s="20" t="n">
        <v>0</v>
      </c>
      <c r="K37" s="18" t="n">
        <v>0.11286181</v>
      </c>
      <c r="L37" s="20" t="n">
        <v>0.11299488</v>
      </c>
      <c r="M37" s="18" t="n">
        <v>0</v>
      </c>
      <c r="N37" s="20" t="n">
        <v>0</v>
      </c>
      <c r="O37" s="18" t="n">
        <v>0</v>
      </c>
      <c r="P37" s="20" t="n">
        <v>0</v>
      </c>
      <c r="Q37" s="18" t="n">
        <v>0.8429786500000001</v>
      </c>
      <c r="R37" s="20" t="n">
        <v>0.4028557</v>
      </c>
    </row>
    <row r="38" spans="1:18">
      <c r="A38" s="15" t="s">
        <v>460</v>
      </c>
      <c r="B38" s="17" t="n">
        <v>5860</v>
      </c>
      <c r="C38" s="18">
        <f>(4866.0/B38*100)</f>
        <v/>
      </c>
      <c r="D38" s="19" t="n">
        <v>994</v>
      </c>
      <c r="E38" s="18" t="n">
        <v>53.91202463</v>
      </c>
      <c r="F38" s="20" t="n">
        <v>2.03696243</v>
      </c>
      <c r="G38" s="18" t="n">
        <v>44.11329846</v>
      </c>
      <c r="H38" s="20" t="n">
        <v>1.86777337</v>
      </c>
      <c r="I38" s="18" t="n">
        <v>0</v>
      </c>
      <c r="J38" s="20" t="n">
        <v>0</v>
      </c>
      <c r="K38" s="18" t="n">
        <v>0.48886535</v>
      </c>
      <c r="L38" s="20" t="n">
        <v>0.30708975</v>
      </c>
      <c r="M38" s="18" t="n">
        <v>0</v>
      </c>
      <c r="N38" s="20" t="n">
        <v>0</v>
      </c>
      <c r="O38" s="18" t="n">
        <v>0</v>
      </c>
      <c r="P38" s="20" t="n">
        <v>0</v>
      </c>
      <c r="Q38" s="18" t="n">
        <v>1.48581156</v>
      </c>
      <c r="R38" s="20" t="n">
        <v>0.69502056</v>
      </c>
    </row>
    <row r="39" spans="1:18">
      <c r="A39" s="15" t="s">
        <v>461</v>
      </c>
      <c r="B39" s="17" t="n">
        <v>5895</v>
      </c>
      <c r="C39" s="18">
        <f>(5161.0/B39*100)</f>
        <v/>
      </c>
      <c r="D39" s="19" t="n">
        <v>734</v>
      </c>
      <c r="E39" s="18" t="n">
        <v>66.69325262</v>
      </c>
      <c r="F39" s="20" t="n">
        <v>1.94255604</v>
      </c>
      <c r="G39" s="18" t="n">
        <v>32.18180021</v>
      </c>
      <c r="H39" s="20" t="n">
        <v>1.88673857</v>
      </c>
      <c r="I39" s="18" t="n">
        <v>0</v>
      </c>
      <c r="J39" s="20" t="n">
        <v>0</v>
      </c>
      <c r="K39" s="18" t="n">
        <v>0</v>
      </c>
      <c r="L39" s="20" t="n">
        <v>0</v>
      </c>
      <c r="M39" s="18" t="n">
        <v>0</v>
      </c>
      <c r="N39" s="20" t="n">
        <v>0</v>
      </c>
      <c r="O39" s="18" t="n">
        <v>0</v>
      </c>
      <c r="P39" s="20" t="n">
        <v>0</v>
      </c>
      <c r="Q39" s="18" t="n">
        <v>1.12494717</v>
      </c>
      <c r="R39" s="20" t="n">
        <v>0.40365793</v>
      </c>
    </row>
    <row r="40" spans="1:18">
      <c r="A40" s="15" t="s">
        <v>462</v>
      </c>
      <c r="B40" s="17" t="n">
        <v>14157</v>
      </c>
      <c r="C40" s="18">
        <f>(12441.0/B40*100)</f>
        <v/>
      </c>
      <c r="D40" s="19" t="n">
        <v>1716</v>
      </c>
      <c r="E40" s="18" t="n">
        <v>53.3459829</v>
      </c>
      <c r="F40" s="20" t="n">
        <v>1.96160393</v>
      </c>
      <c r="G40" s="18" t="n">
        <v>45.8143466</v>
      </c>
      <c r="H40" s="20" t="n">
        <v>2.02258563</v>
      </c>
      <c r="I40" s="18" t="n">
        <v>0</v>
      </c>
      <c r="J40" s="20" t="n">
        <v>0</v>
      </c>
      <c r="K40" s="18" t="n">
        <v>0.37833667</v>
      </c>
      <c r="L40" s="20" t="n">
        <v>0.24724949</v>
      </c>
      <c r="M40" s="18" t="n">
        <v>0</v>
      </c>
      <c r="N40" s="20" t="n">
        <v>0</v>
      </c>
      <c r="O40" s="18" t="n">
        <v>0</v>
      </c>
      <c r="P40" s="20" t="n">
        <v>0</v>
      </c>
      <c r="Q40" s="18" t="n">
        <v>0.46133383</v>
      </c>
      <c r="R40" s="20" t="n">
        <v>0.23452168</v>
      </c>
    </row>
    <row r="41" spans="1:18">
      <c r="A41" s="15" t="s">
        <v>463</v>
      </c>
      <c r="B41" s="17" t="n">
        <v>5712</v>
      </c>
      <c r="C41" s="18">
        <f>(5005.0/B41*100)</f>
        <v/>
      </c>
      <c r="D41" s="19" t="n">
        <v>707</v>
      </c>
      <c r="E41" s="18" t="n">
        <v>51.67353062</v>
      </c>
      <c r="F41" s="20" t="n">
        <v>1.92556918</v>
      </c>
      <c r="G41" s="18" t="n">
        <v>47.81016035</v>
      </c>
      <c r="H41" s="20" t="n">
        <v>1.8547594</v>
      </c>
      <c r="I41" s="18" t="n">
        <v>0</v>
      </c>
      <c r="J41" s="20" t="n">
        <v>0</v>
      </c>
      <c r="K41" s="18" t="n">
        <v>0</v>
      </c>
      <c r="L41" s="20" t="n">
        <v>0</v>
      </c>
      <c r="M41" s="18" t="n">
        <v>0</v>
      </c>
      <c r="N41" s="20" t="n">
        <v>0</v>
      </c>
      <c r="O41" s="18" t="n">
        <v>0</v>
      </c>
      <c r="P41" s="20" t="n">
        <v>0</v>
      </c>
      <c r="Q41" s="18" t="n">
        <v>0.5163090299999999</v>
      </c>
      <c r="R41" s="20" t="n">
        <v>0.32063368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(20545.0/B46*100)</f>
        <v/>
      </c>
      <c r="D46" s="19" t="n">
        <v>2596</v>
      </c>
      <c r="E46" s="18" t="n">
        <v>70.84605946000001</v>
      </c>
      <c r="F46" s="20" t="n">
        <v>1.11610549</v>
      </c>
      <c r="G46" s="18" t="n">
        <v>27.23583661</v>
      </c>
      <c r="H46" s="20" t="n">
        <v>1.10733432</v>
      </c>
      <c r="I46" s="18" t="n">
        <v>0</v>
      </c>
      <c r="J46" s="20" t="n">
        <v>0</v>
      </c>
      <c r="K46" s="18" t="n">
        <v>0.59660412</v>
      </c>
      <c r="L46" s="20" t="n">
        <v>0.19040911</v>
      </c>
      <c r="M46" s="18" t="n">
        <v>0</v>
      </c>
      <c r="N46" s="20" t="n">
        <v>0</v>
      </c>
      <c r="O46" s="18" t="n">
        <v>0</v>
      </c>
      <c r="P46" s="20" t="n">
        <v>0</v>
      </c>
      <c r="Q46" s="18" t="n">
        <v>1.32149982</v>
      </c>
      <c r="R46" s="20" t="n">
        <v>0.25221508</v>
      </c>
    </row>
    <row r="47" spans="1:18">
      <c r="A47" s="15" t="s">
        <v>470</v>
      </c>
      <c r="B47" s="17" t="n">
        <v>5928</v>
      </c>
      <c r="C47" s="18">
        <f>(5227.0/B47*100)</f>
        <v/>
      </c>
      <c r="D47" s="19" t="n">
        <v>701</v>
      </c>
      <c r="E47" s="18" t="n">
        <v>65.74839305</v>
      </c>
      <c r="F47" s="20" t="n">
        <v>1.84936431</v>
      </c>
      <c r="G47" s="18" t="n">
        <v>33.10523269</v>
      </c>
      <c r="H47" s="20" t="n">
        <v>1.86792064</v>
      </c>
      <c r="I47" s="18" t="n">
        <v>0</v>
      </c>
      <c r="J47" s="20" t="n">
        <v>0</v>
      </c>
      <c r="K47" s="18" t="n">
        <v>0</v>
      </c>
      <c r="L47" s="20" t="n">
        <v>0</v>
      </c>
      <c r="M47" s="18" t="n">
        <v>0</v>
      </c>
      <c r="N47" s="20" t="n">
        <v>0</v>
      </c>
      <c r="O47" s="18" t="n">
        <v>0</v>
      </c>
      <c r="P47" s="20" t="n">
        <v>0</v>
      </c>
      <c r="Q47" s="18" t="n">
        <v>1.14637426</v>
      </c>
      <c r="R47" s="20" t="n">
        <v>0.41761754</v>
      </c>
    </row>
    <row r="48" spans="1:18">
      <c r="A48" s="15" t="s">
        <v>471</v>
      </c>
      <c r="B48" s="17" t="n">
        <v>9841</v>
      </c>
      <c r="C48" s="18">
        <f>(8639.0/B48*100)</f>
        <v/>
      </c>
      <c r="D48" s="19" t="n">
        <v>1202</v>
      </c>
      <c r="E48" s="18" t="n">
        <v>57.35835193</v>
      </c>
      <c r="F48" s="20" t="n">
        <v>2.16887386</v>
      </c>
      <c r="G48" s="18" t="n">
        <v>40.91308387</v>
      </c>
      <c r="H48" s="20" t="n">
        <v>2.24232294</v>
      </c>
      <c r="I48" s="18" t="n">
        <v>0</v>
      </c>
      <c r="J48" s="20" t="n">
        <v>0</v>
      </c>
      <c r="K48" s="18" t="n">
        <v>0.69697401</v>
      </c>
      <c r="L48" s="20" t="n">
        <v>0.45083502</v>
      </c>
      <c r="M48" s="18" t="n">
        <v>0</v>
      </c>
      <c r="N48" s="20" t="n">
        <v>0</v>
      </c>
      <c r="O48" s="18" t="n">
        <v>0</v>
      </c>
      <c r="P48" s="20" t="n">
        <v>0</v>
      </c>
      <c r="Q48" s="18" t="n">
        <v>1.03159019</v>
      </c>
      <c r="R48" s="20" t="n">
        <v>0.34732682</v>
      </c>
    </row>
    <row r="49" spans="1:18">
      <c r="A49" s="15" t="s">
        <v>472</v>
      </c>
      <c r="B49" s="17" t="n">
        <v>11795</v>
      </c>
      <c r="C49" s="18">
        <f>(10361.0/B49*100)</f>
        <v/>
      </c>
      <c r="D49" s="19" t="n">
        <v>1434</v>
      </c>
      <c r="E49" s="18" t="n">
        <v>66.43100203</v>
      </c>
      <c r="F49" s="20" t="n">
        <v>1.64141656</v>
      </c>
      <c r="G49" s="18" t="n">
        <v>31.70343388</v>
      </c>
      <c r="H49" s="20" t="n">
        <v>1.59204566</v>
      </c>
      <c r="I49" s="18" t="n">
        <v>0</v>
      </c>
      <c r="J49" s="20" t="n">
        <v>0</v>
      </c>
      <c r="K49" s="18" t="n">
        <v>0.61541711</v>
      </c>
      <c r="L49" s="20" t="n">
        <v>0.22406774</v>
      </c>
      <c r="M49" s="18" t="n">
        <v>0</v>
      </c>
      <c r="N49" s="20" t="n">
        <v>0</v>
      </c>
      <c r="O49" s="18" t="n">
        <v>0</v>
      </c>
      <c r="P49" s="20" t="n">
        <v>0</v>
      </c>
      <c r="Q49" s="18" t="n">
        <v>1.25014698</v>
      </c>
      <c r="R49" s="20" t="n">
        <v>0.43696037</v>
      </c>
    </row>
    <row r="50" spans="1:18">
      <c r="A50" s="15" t="s">
        <v>473</v>
      </c>
      <c r="B50" s="17" t="n">
        <v>6866</v>
      </c>
      <c r="C50" s="18">
        <f>(6153.0/B50*100)</f>
        <v/>
      </c>
      <c r="D50" s="19" t="n">
        <v>713</v>
      </c>
      <c r="E50" s="18" t="n">
        <v>73.53354846000001</v>
      </c>
      <c r="F50" s="20" t="n">
        <v>1.62467733</v>
      </c>
      <c r="G50" s="18" t="n">
        <v>24.77396722</v>
      </c>
      <c r="H50" s="20" t="n">
        <v>1.66999091</v>
      </c>
      <c r="I50" s="18" t="n">
        <v>0</v>
      </c>
      <c r="J50" s="20" t="n">
        <v>0</v>
      </c>
      <c r="K50" s="18" t="n">
        <v>0.61191488</v>
      </c>
      <c r="L50" s="20" t="n">
        <v>0.33682851</v>
      </c>
      <c r="M50" s="18" t="n">
        <v>0</v>
      </c>
      <c r="N50" s="20" t="n">
        <v>0</v>
      </c>
      <c r="O50" s="18" t="n">
        <v>0</v>
      </c>
      <c r="P50" s="20" t="n">
        <v>0</v>
      </c>
      <c r="Q50" s="18" t="n">
        <v>1.08056944</v>
      </c>
      <c r="R50" s="20" t="n">
        <v>0.38545818</v>
      </c>
    </row>
    <row r="51" spans="1:18">
      <c r="A51" s="15" t="s">
        <v>474</v>
      </c>
      <c r="B51" s="17" t="n">
        <v>5809</v>
      </c>
      <c r="C51" s="18">
        <f>(5090.0/B51*100)</f>
        <v/>
      </c>
      <c r="D51" s="19" t="n">
        <v>719</v>
      </c>
      <c r="E51" s="18" t="n">
        <v>63.56402305</v>
      </c>
      <c r="F51" s="20" t="n">
        <v>1.9529521</v>
      </c>
      <c r="G51" s="18" t="n">
        <v>36.05649459</v>
      </c>
      <c r="H51" s="20" t="n">
        <v>1.96688607</v>
      </c>
      <c r="I51" s="18" t="n">
        <v>0</v>
      </c>
      <c r="J51" s="20" t="n">
        <v>0</v>
      </c>
      <c r="K51" s="18" t="n">
        <v>0</v>
      </c>
      <c r="L51" s="20" t="n">
        <v>0</v>
      </c>
      <c r="M51" s="18" t="n">
        <v>0</v>
      </c>
      <c r="N51" s="20" t="n">
        <v>0</v>
      </c>
      <c r="O51" s="18" t="n">
        <v>0</v>
      </c>
      <c r="P51" s="20" t="n">
        <v>0</v>
      </c>
      <c r="Q51" s="18" t="n">
        <v>0.37948236</v>
      </c>
      <c r="R51" s="20" t="n">
        <v>0.21547111</v>
      </c>
    </row>
    <row r="52" spans="1:18">
      <c r="A52" s="15" t="s">
        <v>475</v>
      </c>
      <c r="B52" s="17" t="n">
        <v>5571</v>
      </c>
      <c r="C52" s="18">
        <f>(4879.0/B52*100)</f>
        <v/>
      </c>
      <c r="D52" s="19" t="n">
        <v>692</v>
      </c>
      <c r="E52" s="18" t="n">
        <v>57.7367603</v>
      </c>
      <c r="F52" s="20" t="n">
        <v>1.73844942</v>
      </c>
      <c r="G52" s="18" t="n">
        <v>40.39130033</v>
      </c>
      <c r="H52" s="20" t="n">
        <v>1.69157018</v>
      </c>
      <c r="I52" s="18" t="n">
        <v>0</v>
      </c>
      <c r="J52" s="20" t="n">
        <v>0</v>
      </c>
      <c r="K52" s="18" t="n">
        <v>0</v>
      </c>
      <c r="L52" s="20" t="n">
        <v>0</v>
      </c>
      <c r="M52" s="18" t="n">
        <v>0</v>
      </c>
      <c r="N52" s="20" t="n">
        <v>0</v>
      </c>
      <c r="O52" s="18" t="n">
        <v>0</v>
      </c>
      <c r="P52" s="20" t="n">
        <v>0</v>
      </c>
      <c r="Q52" s="18" t="n">
        <v>1.87193937</v>
      </c>
      <c r="R52" s="20" t="n">
        <v>0.56514289</v>
      </c>
    </row>
    <row r="53" spans="1:18">
      <c r="A53" s="15" t="s">
        <v>476</v>
      </c>
      <c r="B53" s="17" t="n">
        <v>4740</v>
      </c>
      <c r="C53" s="18">
        <f>(3951.0/B53*100)</f>
        <v/>
      </c>
      <c r="D53" s="19" t="n">
        <v>789</v>
      </c>
      <c r="E53" s="18" t="n">
        <v>67.63903902</v>
      </c>
      <c r="F53" s="20" t="n">
        <v>1.73369441</v>
      </c>
      <c r="G53" s="18" t="n">
        <v>22.99763788</v>
      </c>
      <c r="H53" s="20" t="n">
        <v>1.3925653</v>
      </c>
      <c r="I53" s="18" t="n">
        <v>0</v>
      </c>
      <c r="J53" s="20" t="n">
        <v>0</v>
      </c>
      <c r="K53" s="18" t="n">
        <v>5.39093664</v>
      </c>
      <c r="L53" s="20" t="n">
        <v>0.85461589</v>
      </c>
      <c r="M53" s="18" t="n">
        <v>0</v>
      </c>
      <c r="N53" s="20" t="n">
        <v>0</v>
      </c>
      <c r="O53" s="18" t="n">
        <v>0</v>
      </c>
      <c r="P53" s="20" t="n">
        <v>0</v>
      </c>
      <c r="Q53" s="18" t="n">
        <v>3.97238645</v>
      </c>
      <c r="R53" s="20" t="n">
        <v>0.83516458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(4696.0/B55*100)</f>
        <v/>
      </c>
      <c r="D55" s="19" t="n">
        <v>663</v>
      </c>
      <c r="E55" s="18" t="n">
        <v>47.97086865</v>
      </c>
      <c r="F55" s="20" t="n">
        <v>2.40175872</v>
      </c>
      <c r="G55" s="18" t="n">
        <v>51.48601552</v>
      </c>
      <c r="H55" s="20" t="n">
        <v>2.42216595</v>
      </c>
      <c r="I55" s="18" t="n">
        <v>0</v>
      </c>
      <c r="J55" s="20" t="n">
        <v>0</v>
      </c>
      <c r="K55" s="18" t="n">
        <v>0.12738659</v>
      </c>
      <c r="L55" s="20" t="n">
        <v>0.12754134</v>
      </c>
      <c r="M55" s="18" t="n">
        <v>0</v>
      </c>
      <c r="N55" s="20" t="n">
        <v>0</v>
      </c>
      <c r="O55" s="18" t="n">
        <v>0</v>
      </c>
      <c r="P55" s="20" t="n">
        <v>0</v>
      </c>
      <c r="Q55" s="18" t="n">
        <v>0.41572924</v>
      </c>
      <c r="R55" s="20" t="n">
        <v>0.32900578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(5749.0/B61*100)</f>
        <v/>
      </c>
      <c r="D61" s="19" t="n">
        <v>776</v>
      </c>
      <c r="E61" s="18" t="n">
        <v>63.68440002</v>
      </c>
      <c r="F61" s="20" t="n">
        <v>2.19538524</v>
      </c>
      <c r="G61" s="18" t="n">
        <v>36.04436048</v>
      </c>
      <c r="H61" s="20" t="n">
        <v>2.18709356</v>
      </c>
      <c r="I61" s="18" t="n">
        <v>0</v>
      </c>
      <c r="J61" s="20" t="n">
        <v>0</v>
      </c>
      <c r="K61" s="18" t="n">
        <v>0</v>
      </c>
      <c r="L61" s="20" t="n">
        <v>0</v>
      </c>
      <c r="M61" s="18" t="n">
        <v>0</v>
      </c>
      <c r="N61" s="20" t="n">
        <v>0</v>
      </c>
      <c r="O61" s="18" t="n">
        <v>0</v>
      </c>
      <c r="P61" s="20" t="n">
        <v>0</v>
      </c>
      <c r="Q61" s="18" t="n">
        <v>0.2712395</v>
      </c>
      <c r="R61" s="20" t="n">
        <v>0.22475999</v>
      </c>
    </row>
    <row r="62" spans="1:18">
      <c r="A62" s="15" t="s">
        <v>486</v>
      </c>
      <c r="B62" s="17" t="n">
        <v>4476</v>
      </c>
      <c r="C62" s="18">
        <f>(3921.0/B62*100)</f>
        <v/>
      </c>
      <c r="D62" s="19" t="n">
        <v>555</v>
      </c>
      <c r="E62" s="18" t="n">
        <v>53.01570467</v>
      </c>
      <c r="F62" s="20" t="n">
        <v>2.26437392</v>
      </c>
      <c r="G62" s="18" t="n">
        <v>46.79934585</v>
      </c>
      <c r="H62" s="20" t="n">
        <v>2.25981973</v>
      </c>
      <c r="I62" s="18" t="n">
        <v>0</v>
      </c>
      <c r="J62" s="20" t="n">
        <v>0</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(4968.0/B67*100)</f>
        <v/>
      </c>
      <c r="D67" s="19" t="n">
        <v>697</v>
      </c>
      <c r="E67" s="18" t="n">
        <v>62.69186674</v>
      </c>
      <c r="F67" s="20" t="n">
        <v>1.92122913</v>
      </c>
      <c r="G67" s="18" t="n">
        <v>34.12184935</v>
      </c>
      <c r="H67" s="20" t="n">
        <v>1.86979092</v>
      </c>
      <c r="I67" s="18" t="n">
        <v>0</v>
      </c>
      <c r="J67" s="20" t="n">
        <v>0</v>
      </c>
      <c r="K67" s="18" t="n">
        <v>1.02384422</v>
      </c>
      <c r="L67" s="20" t="n">
        <v>0.35510209</v>
      </c>
      <c r="M67" s="18" t="n">
        <v>0</v>
      </c>
      <c r="N67" s="20" t="n">
        <v>0</v>
      </c>
      <c r="O67" s="18" t="n">
        <v>0</v>
      </c>
      <c r="P67" s="20" t="n">
        <v>0</v>
      </c>
      <c r="Q67" s="18" t="n">
        <v>2.16243968</v>
      </c>
      <c r="R67" s="20" t="n">
        <v>0.50389088</v>
      </c>
    </row>
    <row r="68" spans="1:18">
      <c r="A68" s="15" t="s">
        <v>492</v>
      </c>
      <c r="B68" s="17" t="n">
        <v>6971</v>
      </c>
      <c r="C68" s="18">
        <f>(6158.0/B68*100)</f>
        <v/>
      </c>
      <c r="D68" s="19" t="n">
        <v>813</v>
      </c>
      <c r="E68" s="18" t="n">
        <v>72.33645683</v>
      </c>
      <c r="F68" s="20" t="n">
        <v>1.65077246</v>
      </c>
      <c r="G68" s="18" t="n">
        <v>26.69306813</v>
      </c>
      <c r="H68" s="20" t="n">
        <v>1.58362408</v>
      </c>
      <c r="I68" s="18" t="n">
        <v>0</v>
      </c>
      <c r="J68" s="20" t="n">
        <v>0</v>
      </c>
      <c r="K68" s="18" t="n">
        <v>0.09331852</v>
      </c>
      <c r="L68" s="20" t="n">
        <v>0.09306072</v>
      </c>
      <c r="M68" s="18" t="n">
        <v>0</v>
      </c>
      <c r="N68" s="20" t="n">
        <v>0</v>
      </c>
      <c r="O68" s="18" t="n">
        <v>0</v>
      </c>
      <c r="P68" s="20" t="n">
        <v>0</v>
      </c>
      <c r="Q68" s="18" t="n">
        <v>0.87715652</v>
      </c>
      <c r="R68" s="20" t="n">
        <v>0.3351343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63.01838014</v>
      </c>
      <c r="F70" s="20" t="n">
        <v>1.2446289</v>
      </c>
      <c r="G70" s="18" t="n">
        <v>32.33802786</v>
      </c>
      <c r="H70" s="20" t="n">
        <v>1.18265562</v>
      </c>
      <c r="I70" s="18" t="n">
        <v>0</v>
      </c>
      <c r="J70" s="20" t="n">
        <v>0</v>
      </c>
      <c r="K70" s="18" t="n">
        <v>1.63089062</v>
      </c>
      <c r="L70" s="20" t="n">
        <v>0.29969673</v>
      </c>
      <c r="M70" s="18" t="n">
        <v>0</v>
      </c>
      <c r="N70" s="20" t="n">
        <v>0</v>
      </c>
      <c r="O70" s="18" t="n">
        <v>0</v>
      </c>
      <c r="P70" s="20" t="n">
        <v>0</v>
      </c>
      <c r="Q70" s="18" t="n">
        <v>3.01270138</v>
      </c>
      <c r="R70" s="20" t="n">
        <v>0.37134066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(5327.0/B72*100)</f>
        <v/>
      </c>
      <c r="D72" s="19" t="n">
        <v>709</v>
      </c>
      <c r="E72" s="18" t="n">
        <v>69.26809878</v>
      </c>
      <c r="F72" s="20" t="n">
        <v>2.0119362</v>
      </c>
      <c r="G72" s="18" t="n">
        <v>29.71074415</v>
      </c>
      <c r="H72" s="20" t="n">
        <v>1.912085</v>
      </c>
      <c r="I72" s="18" t="n">
        <v>0</v>
      </c>
      <c r="J72" s="20" t="n">
        <v>0</v>
      </c>
      <c r="K72" s="18" t="n">
        <v>0.12844273</v>
      </c>
      <c r="L72" s="20" t="n">
        <v>0.12657237</v>
      </c>
      <c r="M72" s="18" t="n">
        <v>0</v>
      </c>
      <c r="N72" s="20" t="n">
        <v>0</v>
      </c>
      <c r="O72" s="18" t="n">
        <v>0</v>
      </c>
      <c r="P72" s="20" t="n">
        <v>0</v>
      </c>
      <c r="Q72" s="18" t="n">
        <v>0.8927143400000001</v>
      </c>
      <c r="R72" s="20" t="n">
        <v>0.4395654</v>
      </c>
    </row>
    <row r="73" spans="1:18">
      <c r="A73" s="15" t="s">
        <v>497</v>
      </c>
      <c r="B73" s="17" t="n">
        <v>6115</v>
      </c>
      <c r="C73" s="18">
        <f>(5339.0/B73*100)</f>
        <v/>
      </c>
      <c r="D73" s="19" t="n">
        <v>776</v>
      </c>
      <c r="E73" s="18" t="n">
        <v>33.53989434</v>
      </c>
      <c r="F73" s="20" t="n">
        <v>1.68776168</v>
      </c>
      <c r="G73" s="18" t="n">
        <v>66.07673025</v>
      </c>
      <c r="H73" s="20" t="n">
        <v>1.71852152</v>
      </c>
      <c r="I73" s="18" t="n">
        <v>0</v>
      </c>
      <c r="J73" s="20" t="n">
        <v>0</v>
      </c>
      <c r="K73" s="18" t="n">
        <v>0.11740525</v>
      </c>
      <c r="L73" s="20" t="n">
        <v>0.11811562</v>
      </c>
      <c r="M73" s="18" t="n">
        <v>0</v>
      </c>
      <c r="N73" s="20" t="n">
        <v>0</v>
      </c>
      <c r="O73" s="18" t="n">
        <v>0</v>
      </c>
      <c r="P73" s="20" t="n">
        <v>0</v>
      </c>
      <c r="Q73" s="18" t="n">
        <v>0.26597016</v>
      </c>
      <c r="R73" s="20" t="n">
        <v>0.18938459</v>
      </c>
    </row>
    <row r="74" spans="1:18">
      <c r="A74" s="15" t="s">
        <v>498</v>
      </c>
      <c r="B74" s="17" t="n">
        <v>7708</v>
      </c>
      <c r="C74" s="18">
        <f>(6753.0/B74*100)</f>
        <v/>
      </c>
      <c r="D74" s="19" t="n">
        <v>955</v>
      </c>
      <c r="E74" s="18" t="n">
        <v>43.22381288</v>
      </c>
      <c r="F74" s="20" t="n">
        <v>1.79784699</v>
      </c>
      <c r="G74" s="18" t="n">
        <v>56.22653269</v>
      </c>
      <c r="H74" s="20" t="n">
        <v>1.75682136</v>
      </c>
      <c r="I74" s="18" t="n">
        <v>0</v>
      </c>
      <c r="J74" s="20" t="n">
        <v>0</v>
      </c>
      <c r="K74" s="18" t="n">
        <v>0.08315599999999999</v>
      </c>
      <c r="L74" s="20" t="n">
        <v>0.08335939000000001</v>
      </c>
      <c r="M74" s="18" t="n">
        <v>0</v>
      </c>
      <c r="N74" s="20" t="n">
        <v>0</v>
      </c>
      <c r="O74" s="18" t="n">
        <v>0</v>
      </c>
      <c r="P74" s="20" t="n">
        <v>0</v>
      </c>
      <c r="Q74" s="18" t="n">
        <v>0.46649842</v>
      </c>
      <c r="R74" s="20" t="n">
        <v>0.22444352</v>
      </c>
    </row>
    <row r="75" spans="1:18">
      <c r="A75" s="15" t="s">
        <v>499</v>
      </c>
      <c r="B75" s="17" t="n">
        <v>8249</v>
      </c>
      <c r="C75" s="18">
        <f>(7251.0/B75*100)</f>
        <v/>
      </c>
      <c r="D75" s="19" t="n">
        <v>998</v>
      </c>
      <c r="E75" s="18" t="n">
        <v>62.80614189</v>
      </c>
      <c r="F75" s="20" t="n">
        <v>1.7646295</v>
      </c>
      <c r="G75" s="18" t="n">
        <v>36.39265283</v>
      </c>
      <c r="H75" s="20" t="n">
        <v>1.80654872</v>
      </c>
      <c r="I75" s="18" t="n">
        <v>0</v>
      </c>
      <c r="J75" s="20" t="n">
        <v>0</v>
      </c>
      <c r="K75" s="18" t="n">
        <v>0.14837001</v>
      </c>
      <c r="L75" s="20" t="n">
        <v>0.14827319</v>
      </c>
      <c r="M75" s="18" t="n">
        <v>0</v>
      </c>
      <c r="N75" s="20" t="n">
        <v>0</v>
      </c>
      <c r="O75" s="18" t="n">
        <v>0</v>
      </c>
      <c r="P75" s="20" t="n">
        <v>0</v>
      </c>
      <c r="Q75" s="18" t="n">
        <v>0.65283527</v>
      </c>
      <c r="R75" s="20" t="n">
        <v>0.29824103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(4754.0/B77*100)</f>
        <v/>
      </c>
      <c r="D77" s="19" t="n">
        <v>621</v>
      </c>
      <c r="E77" s="18" t="n">
        <v>55.23651779</v>
      </c>
      <c r="F77" s="20" t="n">
        <v>2.22672714</v>
      </c>
      <c r="G77" s="18" t="n">
        <v>41.48924825</v>
      </c>
      <c r="H77" s="20" t="n">
        <v>2.15768269</v>
      </c>
      <c r="I77" s="18" t="n">
        <v>0</v>
      </c>
      <c r="J77" s="20" t="n">
        <v>0</v>
      </c>
      <c r="K77" s="18" t="n">
        <v>0.92335185</v>
      </c>
      <c r="L77" s="20" t="n">
        <v>0.36094495</v>
      </c>
      <c r="M77" s="18" t="n">
        <v>0</v>
      </c>
      <c r="N77" s="20" t="n">
        <v>0</v>
      </c>
      <c r="O77" s="18" t="n">
        <v>0</v>
      </c>
      <c r="P77" s="20" t="n">
        <v>0</v>
      </c>
      <c r="Q77" s="18" t="n">
        <v>2.35088211</v>
      </c>
      <c r="R77" s="20" t="n">
        <v>0.6573719099999999</v>
      </c>
    </row>
    <row r="78" spans="1:18">
      <c r="A78" s="15" t="s">
        <v>502</v>
      </c>
      <c r="B78" s="17" t="n">
        <v>14167</v>
      </c>
      <c r="C78" s="18">
        <f>(12407.0/B78*100)</f>
        <v/>
      </c>
      <c r="D78" s="19" t="n">
        <v>1760</v>
      </c>
      <c r="E78" s="18" t="n">
        <v>58.52488864</v>
      </c>
      <c r="F78" s="20" t="n">
        <v>1.4041782</v>
      </c>
      <c r="G78" s="18" t="n">
        <v>38.78864602</v>
      </c>
      <c r="H78" s="20" t="n">
        <v>1.41319042</v>
      </c>
      <c r="I78" s="18" t="n">
        <v>0</v>
      </c>
      <c r="J78" s="20" t="n">
        <v>0</v>
      </c>
      <c r="K78" s="18" t="n">
        <v>0.57489648</v>
      </c>
      <c r="L78" s="20" t="n">
        <v>0.21301446</v>
      </c>
      <c r="M78" s="18" t="n">
        <v>0</v>
      </c>
      <c r="N78" s="20" t="n">
        <v>0</v>
      </c>
      <c r="O78" s="18" t="n">
        <v>0</v>
      </c>
      <c r="P78" s="20" t="n">
        <v>0</v>
      </c>
      <c r="Q78" s="18" t="n">
        <v>2.11156886</v>
      </c>
      <c r="R78" s="20" t="n">
        <v>0.49150438</v>
      </c>
    </row>
    <row r="79" spans="1:18">
      <c r="A79" s="15" t="s">
        <v>503</v>
      </c>
      <c r="B79" s="17" t="n">
        <v>6062</v>
      </c>
      <c r="C79" s="18">
        <f>(5320.0/B79*100)</f>
        <v/>
      </c>
      <c r="D79" s="19" t="n">
        <v>742</v>
      </c>
      <c r="E79" s="18" t="n">
        <v>59.72347579</v>
      </c>
      <c r="F79" s="20" t="n">
        <v>1.95488766</v>
      </c>
      <c r="G79" s="18" t="n">
        <v>37.42686984</v>
      </c>
      <c r="H79" s="20" t="n">
        <v>1.87118153</v>
      </c>
      <c r="I79" s="18" t="n">
        <v>0</v>
      </c>
      <c r="J79" s="20" t="n">
        <v>0</v>
      </c>
      <c r="K79" s="18" t="n">
        <v>0.81440432</v>
      </c>
      <c r="L79" s="20" t="n">
        <v>0.35594365</v>
      </c>
      <c r="M79" s="18" t="n">
        <v>0</v>
      </c>
      <c r="N79" s="20" t="n">
        <v>0</v>
      </c>
      <c r="O79" s="18" t="n">
        <v>0</v>
      </c>
      <c r="P79" s="20" t="n">
        <v>0</v>
      </c>
      <c r="Q79" s="18" t="n">
        <v>2.03525005</v>
      </c>
      <c r="R79" s="20" t="n">
        <v>0.56577427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(28377.0/B82*100)</f>
        <v/>
      </c>
      <c r="D82" s="19" t="n">
        <v>3953</v>
      </c>
      <c r="E82" s="18" t="n">
        <v>51.48054146</v>
      </c>
      <c r="F82" s="20" t="n">
        <v>1.13592132</v>
      </c>
      <c r="G82" s="18" t="n">
        <v>47.90054385</v>
      </c>
      <c r="H82" s="20" t="n">
        <v>1.12806141</v>
      </c>
      <c r="I82" s="18" t="n">
        <v>0</v>
      </c>
      <c r="J82" s="20" t="n">
        <v>0</v>
      </c>
      <c r="K82" s="18" t="n">
        <v>0.1600752</v>
      </c>
      <c r="L82" s="20" t="n">
        <v>0.09250403</v>
      </c>
      <c r="M82" s="18" t="n">
        <v>0</v>
      </c>
      <c r="N82" s="20" t="n">
        <v>0</v>
      </c>
      <c r="O82" s="18" t="n">
        <v>0</v>
      </c>
      <c r="P82" s="20" t="n">
        <v>0</v>
      </c>
      <c r="Q82" s="18" t="n">
        <v>0.45883949</v>
      </c>
      <c r="R82" s="20" t="n">
        <v>0.1522827</v>
      </c>
    </row>
    <row r="83" spans="1:18">
      <c r="A83" s="15" t="s">
        <v>507</v>
      </c>
      <c r="B83" s="17" t="n">
        <v>1652</v>
      </c>
      <c r="C83" s="18">
        <f>(1456.0/B83*100)</f>
        <v/>
      </c>
      <c r="D83" s="19" t="n">
        <v>196</v>
      </c>
      <c r="E83" s="18" t="n">
        <v>44.24684904</v>
      </c>
      <c r="F83" s="20" t="n">
        <v>4.16240493</v>
      </c>
      <c r="G83" s="18" t="n">
        <v>55.75315096</v>
      </c>
      <c r="H83" s="20" t="n">
        <v>4.16240493</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(1655.0/B84*100)</f>
        <v/>
      </c>
      <c r="D84" s="19" t="n">
        <v>232</v>
      </c>
      <c r="E84" s="18" t="n">
        <v>46.78800329</v>
      </c>
      <c r="F84" s="20" t="n">
        <v>3.60410766</v>
      </c>
      <c r="G84" s="18" t="n">
        <v>53.21199671</v>
      </c>
      <c r="H84" s="20" t="n">
        <v>3.60410766</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(12763.0/B7*100)</f>
        <v/>
      </c>
      <c r="D7" s="19" t="n">
        <v>1767</v>
      </c>
      <c r="E7" s="18" t="n">
        <v>64.21321322999999</v>
      </c>
      <c r="F7" s="20" t="n">
        <v>1.42464492</v>
      </c>
      <c r="G7" s="18" t="n">
        <v>35.37543732</v>
      </c>
      <c r="H7" s="20" t="n">
        <v>1.43037004</v>
      </c>
      <c r="I7" s="18" t="n">
        <v>0</v>
      </c>
      <c r="J7" s="20" t="n">
        <v>0</v>
      </c>
      <c r="K7" s="18" t="n">
        <v>0.01971609</v>
      </c>
      <c r="L7" s="20" t="n">
        <v>0.01414971</v>
      </c>
      <c r="M7" s="18" t="n">
        <v>0</v>
      </c>
      <c r="N7" s="20" t="n">
        <v>0</v>
      </c>
      <c r="O7" s="18" t="n">
        <v>0</v>
      </c>
      <c r="P7" s="20" t="n">
        <v>0</v>
      </c>
      <c r="Q7" s="18" t="n">
        <v>0.39163336</v>
      </c>
      <c r="R7" s="20" t="n">
        <v>0.15227168</v>
      </c>
    </row>
    <row r="8" spans="1:18">
      <c r="A8" s="15" t="s">
        <v>430</v>
      </c>
      <c r="B8" s="17" t="n">
        <v>7007</v>
      </c>
      <c r="C8" s="18">
        <f>(6124.0/B8*100)</f>
        <v/>
      </c>
      <c r="D8" s="19" t="n">
        <v>883</v>
      </c>
      <c r="E8" s="18" t="n">
        <v>54.95256623</v>
      </c>
      <c r="F8" s="20" t="n">
        <v>1.98121349</v>
      </c>
      <c r="G8" s="18" t="n">
        <v>44.37890959</v>
      </c>
      <c r="H8" s="20" t="n">
        <v>2.04209424</v>
      </c>
      <c r="I8" s="18" t="n">
        <v>0</v>
      </c>
      <c r="J8" s="20" t="n">
        <v>0</v>
      </c>
      <c r="K8" s="18" t="n">
        <v>0.24514889</v>
      </c>
      <c r="L8" s="20" t="n">
        <v>0.1754421</v>
      </c>
      <c r="M8" s="18" t="n">
        <v>0</v>
      </c>
      <c r="N8" s="20" t="n">
        <v>0</v>
      </c>
      <c r="O8" s="18" t="n">
        <v>0</v>
      </c>
      <c r="P8" s="20" t="n">
        <v>0</v>
      </c>
      <c r="Q8" s="18" t="n">
        <v>0.4233753</v>
      </c>
      <c r="R8" s="20" t="n">
        <v>0.26955903</v>
      </c>
    </row>
    <row r="9" spans="1:18">
      <c r="A9" s="15" t="s">
        <v>431</v>
      </c>
      <c r="B9" s="17" t="n">
        <v>9651</v>
      </c>
      <c r="C9" s="18">
        <f>(8498.0/B9*100)</f>
        <v/>
      </c>
      <c r="D9" s="19" t="n">
        <v>1153</v>
      </c>
      <c r="E9" s="18" t="n">
        <v>63.97874185</v>
      </c>
      <c r="F9" s="20" t="n">
        <v>1.45559105</v>
      </c>
      <c r="G9" s="18" t="n">
        <v>35.12484733</v>
      </c>
      <c r="H9" s="20" t="n">
        <v>1.41184267</v>
      </c>
      <c r="I9" s="18" t="n">
        <v>0</v>
      </c>
      <c r="J9" s="20" t="n">
        <v>0</v>
      </c>
      <c r="K9" s="18" t="n">
        <v>0.08310153000000001</v>
      </c>
      <c r="L9" s="20" t="n">
        <v>0.08704584999999999</v>
      </c>
      <c r="M9" s="18" t="n">
        <v>0</v>
      </c>
      <c r="N9" s="20" t="n">
        <v>0</v>
      </c>
      <c r="O9" s="18" t="n">
        <v>0</v>
      </c>
      <c r="P9" s="20" t="n">
        <v>0</v>
      </c>
      <c r="Q9" s="18" t="n">
        <v>0.81330929</v>
      </c>
      <c r="R9" s="20" t="n">
        <v>0.28857197</v>
      </c>
    </row>
    <row r="10" spans="1:18">
      <c r="A10" s="15" t="s">
        <v>432</v>
      </c>
      <c r="B10" s="17" t="n">
        <v>20058</v>
      </c>
      <c r="C10" s="18">
        <f>(17528.0/B10*100)</f>
        <v/>
      </c>
      <c r="D10" s="19" t="n">
        <v>2530</v>
      </c>
      <c r="E10" s="18" t="n">
        <v>62.62688311</v>
      </c>
      <c r="F10" s="20" t="n">
        <v>1.704048</v>
      </c>
      <c r="G10" s="18" t="n">
        <v>37.06519832</v>
      </c>
      <c r="H10" s="20" t="n">
        <v>1.73122111</v>
      </c>
      <c r="I10" s="18" t="n">
        <v>0</v>
      </c>
      <c r="J10" s="20" t="n">
        <v>0</v>
      </c>
      <c r="K10" s="18" t="n">
        <v>0.10943568</v>
      </c>
      <c r="L10" s="20" t="n">
        <v>0.08839392</v>
      </c>
      <c r="M10" s="18" t="n">
        <v>0</v>
      </c>
      <c r="N10" s="20" t="n">
        <v>0</v>
      </c>
      <c r="O10" s="18" t="n">
        <v>0</v>
      </c>
      <c r="P10" s="20" t="n">
        <v>0</v>
      </c>
      <c r="Q10" s="18" t="n">
        <v>0.19848289</v>
      </c>
      <c r="R10" s="20" t="n">
        <v>0.08518264</v>
      </c>
    </row>
    <row r="11" spans="1:18">
      <c r="A11" s="15" t="s">
        <v>433</v>
      </c>
      <c r="B11" s="17" t="n">
        <v>7053</v>
      </c>
      <c r="C11" s="18">
        <f>(6216.0/B11*100)</f>
        <v/>
      </c>
      <c r="D11" s="19" t="n">
        <v>837</v>
      </c>
      <c r="E11" s="18" t="n">
        <v>80.99589363</v>
      </c>
      <c r="F11" s="20" t="n">
        <v>1.52816542</v>
      </c>
      <c r="G11" s="18" t="n">
        <v>17.29173893</v>
      </c>
      <c r="H11" s="20" t="n">
        <v>1.52595522</v>
      </c>
      <c r="I11" s="18" t="n">
        <v>0</v>
      </c>
      <c r="J11" s="20" t="n">
        <v>0</v>
      </c>
      <c r="K11" s="18" t="n">
        <v>0.72842783</v>
      </c>
      <c r="L11" s="20" t="n">
        <v>0.42425102</v>
      </c>
      <c r="M11" s="18" t="n">
        <v>0</v>
      </c>
      <c r="N11" s="20" t="n">
        <v>0</v>
      </c>
      <c r="O11" s="18" t="n">
        <v>0</v>
      </c>
      <c r="P11" s="20" t="n">
        <v>0</v>
      </c>
      <c r="Q11" s="18" t="n">
        <v>0.98393962</v>
      </c>
      <c r="R11" s="20" t="n">
        <v>0.42115508</v>
      </c>
    </row>
    <row r="12" spans="1:18">
      <c r="A12" s="15" t="s">
        <v>434</v>
      </c>
      <c r="B12" s="17" t="n">
        <v>6894</v>
      </c>
      <c r="C12" s="18">
        <f>(6054.0/B12*100)</f>
        <v/>
      </c>
      <c r="D12" s="19" t="n">
        <v>840</v>
      </c>
      <c r="E12" s="18" t="n">
        <v>68.40038944</v>
      </c>
      <c r="F12" s="20" t="n">
        <v>1.8494309</v>
      </c>
      <c r="G12" s="18" t="n">
        <v>31.43416591</v>
      </c>
      <c r="H12" s="20" t="n">
        <v>1.87150244</v>
      </c>
      <c r="I12" s="18" t="n">
        <v>0</v>
      </c>
      <c r="J12" s="20" t="n">
        <v>0</v>
      </c>
      <c r="K12" s="18" t="n">
        <v>0.10819401</v>
      </c>
      <c r="L12" s="20" t="n">
        <v>0.10598601</v>
      </c>
      <c r="M12" s="18" t="n">
        <v>0</v>
      </c>
      <c r="N12" s="20" t="n">
        <v>0</v>
      </c>
      <c r="O12" s="18" t="n">
        <v>0</v>
      </c>
      <c r="P12" s="20" t="n">
        <v>0</v>
      </c>
      <c r="Q12" s="18" t="n">
        <v>0.05725064</v>
      </c>
      <c r="R12" s="20" t="n">
        <v>0.05911507</v>
      </c>
    </row>
    <row r="13" spans="1:18">
      <c r="A13" s="15" t="s">
        <v>435</v>
      </c>
      <c r="B13" s="17" t="n">
        <v>7161</v>
      </c>
      <c r="C13" s="18">
        <f>(6314.0/B13*100)</f>
        <v/>
      </c>
      <c r="D13" s="19" t="n">
        <v>847</v>
      </c>
      <c r="E13" s="18" t="n">
        <v>68.92368304999999</v>
      </c>
      <c r="F13" s="20" t="n">
        <v>1.83446313</v>
      </c>
      <c r="G13" s="18" t="n">
        <v>30.41643513</v>
      </c>
      <c r="H13" s="20" t="n">
        <v>1.83747297</v>
      </c>
      <c r="I13" s="18" t="n">
        <v>0</v>
      </c>
      <c r="J13" s="20" t="n">
        <v>0</v>
      </c>
      <c r="K13" s="18" t="n">
        <v>0.27865046</v>
      </c>
      <c r="L13" s="20" t="n">
        <v>0.17575319</v>
      </c>
      <c r="M13" s="18" t="n">
        <v>0</v>
      </c>
      <c r="N13" s="20" t="n">
        <v>0</v>
      </c>
      <c r="O13" s="18" t="n">
        <v>0</v>
      </c>
      <c r="P13" s="20" t="n">
        <v>0</v>
      </c>
      <c r="Q13" s="18" t="n">
        <v>0.38123136</v>
      </c>
      <c r="R13" s="20" t="n">
        <v>0.2238179</v>
      </c>
    </row>
    <row r="14" spans="1:18">
      <c r="A14" s="15" t="s">
        <v>436</v>
      </c>
      <c r="B14" s="17" t="n">
        <v>5587</v>
      </c>
      <c r="C14" s="18">
        <f>(4922.0/B14*100)</f>
        <v/>
      </c>
      <c r="D14" s="19" t="n">
        <v>665</v>
      </c>
      <c r="E14" s="18" t="n">
        <v>49.91495458</v>
      </c>
      <c r="F14" s="20" t="n">
        <v>1.90374319</v>
      </c>
      <c r="G14" s="18" t="n">
        <v>49.94018568</v>
      </c>
      <c r="H14" s="20" t="n">
        <v>1.91434118</v>
      </c>
      <c r="I14" s="18" t="n">
        <v>0</v>
      </c>
      <c r="J14" s="20" t="n">
        <v>0</v>
      </c>
      <c r="K14" s="18" t="n">
        <v>0</v>
      </c>
      <c r="L14" s="20" t="n">
        <v>0</v>
      </c>
      <c r="M14" s="18" t="n">
        <v>0</v>
      </c>
      <c r="N14" s="20" t="n">
        <v>0</v>
      </c>
      <c r="O14" s="18" t="n">
        <v>0</v>
      </c>
      <c r="P14" s="20" t="n">
        <v>0</v>
      </c>
      <c r="Q14" s="18" t="n">
        <v>0.14485974</v>
      </c>
      <c r="R14" s="20" t="n">
        <v>0.1454172</v>
      </c>
    </row>
    <row r="15" spans="1:18">
      <c r="A15" s="15" t="s">
        <v>437</v>
      </c>
      <c r="B15" s="17" t="n">
        <v>5882</v>
      </c>
      <c r="C15" s="18">
        <f>(5152.0/B15*100)</f>
        <v/>
      </c>
      <c r="D15" s="19" t="n">
        <v>730</v>
      </c>
      <c r="E15" s="18" t="n">
        <v>56.68704163</v>
      </c>
      <c r="F15" s="20" t="n">
        <v>1.87158294</v>
      </c>
      <c r="G15" s="18" t="n">
        <v>43.0505881</v>
      </c>
      <c r="H15" s="20" t="n">
        <v>1.84748257</v>
      </c>
      <c r="I15" s="18" t="n">
        <v>0</v>
      </c>
      <c r="J15" s="20" t="n">
        <v>0</v>
      </c>
      <c r="K15" s="18" t="n">
        <v>0</v>
      </c>
      <c r="L15" s="20" t="n">
        <v>0</v>
      </c>
      <c r="M15" s="18" t="n">
        <v>0</v>
      </c>
      <c r="N15" s="20" t="n">
        <v>0</v>
      </c>
      <c r="O15" s="18" t="n">
        <v>0</v>
      </c>
      <c r="P15" s="20" t="n">
        <v>0</v>
      </c>
      <c r="Q15" s="18" t="n">
        <v>0.26237026</v>
      </c>
      <c r="R15" s="20" t="n">
        <v>0.18608557</v>
      </c>
    </row>
    <row r="16" spans="1:18">
      <c r="A16" s="15" t="s">
        <v>438</v>
      </c>
      <c r="B16" s="17" t="n">
        <v>6108</v>
      </c>
      <c r="C16" s="18">
        <f>(5368.0/B16*100)</f>
        <v/>
      </c>
      <c r="D16" s="19" t="n">
        <v>740</v>
      </c>
      <c r="E16" s="18" t="n">
        <v>60.88691366</v>
      </c>
      <c r="F16" s="20" t="n">
        <v>1.72077072</v>
      </c>
      <c r="G16" s="18" t="n">
        <v>37.35495451</v>
      </c>
      <c r="H16" s="20" t="n">
        <v>1.7711196</v>
      </c>
      <c r="I16" s="18" t="n">
        <v>0</v>
      </c>
      <c r="J16" s="20" t="n">
        <v>0</v>
      </c>
      <c r="K16" s="18" t="n">
        <v>0.83224871</v>
      </c>
      <c r="L16" s="20" t="n">
        <v>0.38505285</v>
      </c>
      <c r="M16" s="18" t="n">
        <v>0</v>
      </c>
      <c r="N16" s="20" t="n">
        <v>0</v>
      </c>
      <c r="O16" s="18" t="n">
        <v>0</v>
      </c>
      <c r="P16" s="20" t="n">
        <v>0</v>
      </c>
      <c r="Q16" s="18" t="n">
        <v>0.9258831199999999</v>
      </c>
      <c r="R16" s="20" t="n">
        <v>0.31242337</v>
      </c>
    </row>
    <row r="17" spans="1:18">
      <c r="A17" s="15" t="s">
        <v>439</v>
      </c>
      <c r="B17" s="17" t="n">
        <v>6504</v>
      </c>
      <c r="C17" s="18">
        <f>(5739.0/B17*100)</f>
        <v/>
      </c>
      <c r="D17" s="19" t="n">
        <v>765</v>
      </c>
      <c r="E17" s="18" t="n">
        <v>47.80950962</v>
      </c>
      <c r="F17" s="20" t="n">
        <v>2.02647162</v>
      </c>
      <c r="G17" s="18" t="n">
        <v>51.69201201</v>
      </c>
      <c r="H17" s="20" t="n">
        <v>2.0159655</v>
      </c>
      <c r="I17" s="18" t="n">
        <v>0</v>
      </c>
      <c r="J17" s="20" t="n">
        <v>0</v>
      </c>
      <c r="K17" s="18" t="n">
        <v>0.09860463</v>
      </c>
      <c r="L17" s="20" t="n">
        <v>0.09885602</v>
      </c>
      <c r="M17" s="18" t="n">
        <v>0</v>
      </c>
      <c r="N17" s="20" t="n">
        <v>0</v>
      </c>
      <c r="O17" s="18" t="n">
        <v>0</v>
      </c>
      <c r="P17" s="20" t="n">
        <v>0</v>
      </c>
      <c r="Q17" s="18" t="n">
        <v>0.39987374</v>
      </c>
      <c r="R17" s="20" t="n">
        <v>0.25061595</v>
      </c>
    </row>
    <row r="18" spans="1:18">
      <c r="A18" s="15" t="s">
        <v>440</v>
      </c>
      <c r="B18" s="17" t="n">
        <v>5532</v>
      </c>
      <c r="C18" s="18">
        <f>(4840.0/B18*100)</f>
        <v/>
      </c>
      <c r="D18" s="19" t="n">
        <v>692</v>
      </c>
      <c r="E18" s="18" t="n">
        <v>81.45766928</v>
      </c>
      <c r="F18" s="20" t="n">
        <v>1.49385549</v>
      </c>
      <c r="G18" s="18" t="n">
        <v>17.61742141</v>
      </c>
      <c r="H18" s="20" t="n">
        <v>1.47832361</v>
      </c>
      <c r="I18" s="18" t="n">
        <v>0</v>
      </c>
      <c r="J18" s="20" t="n">
        <v>0</v>
      </c>
      <c r="K18" s="18" t="n">
        <v>0.26058611</v>
      </c>
      <c r="L18" s="20" t="n">
        <v>0.26318909</v>
      </c>
      <c r="M18" s="18" t="n">
        <v>0</v>
      </c>
      <c r="N18" s="20" t="n">
        <v>0</v>
      </c>
      <c r="O18" s="18" t="n">
        <v>0</v>
      </c>
      <c r="P18" s="20" t="n">
        <v>0</v>
      </c>
      <c r="Q18" s="18" t="n">
        <v>0.6643232</v>
      </c>
      <c r="R18" s="20" t="n">
        <v>0.32687011</v>
      </c>
    </row>
    <row r="19" spans="1:18">
      <c r="A19" s="15" t="s">
        <v>441</v>
      </c>
      <c r="B19" s="17" t="n">
        <v>5658</v>
      </c>
      <c r="C19" s="18">
        <f>(4965.0/B19*100)</f>
        <v/>
      </c>
      <c r="D19" s="19" t="n">
        <v>693</v>
      </c>
      <c r="E19" s="18" t="n">
        <v>62.2904659</v>
      </c>
      <c r="F19" s="20" t="n">
        <v>1.98224246</v>
      </c>
      <c r="G19" s="18" t="n">
        <v>36.95569929</v>
      </c>
      <c r="H19" s="20" t="n">
        <v>2.01920105</v>
      </c>
      <c r="I19" s="18" t="n">
        <v>0</v>
      </c>
      <c r="J19" s="20" t="n">
        <v>0</v>
      </c>
      <c r="K19" s="18" t="n">
        <v>0.29830047</v>
      </c>
      <c r="L19" s="20" t="n">
        <v>0.32644971</v>
      </c>
      <c r="M19" s="18" t="n">
        <v>0</v>
      </c>
      <c r="N19" s="20" t="n">
        <v>0</v>
      </c>
      <c r="O19" s="18" t="n">
        <v>0</v>
      </c>
      <c r="P19" s="20" t="n">
        <v>0</v>
      </c>
      <c r="Q19" s="18" t="n">
        <v>0.45553435</v>
      </c>
      <c r="R19" s="20" t="n">
        <v>0.27246759</v>
      </c>
    </row>
    <row r="20" spans="1:18">
      <c r="A20" s="15" t="s">
        <v>442</v>
      </c>
      <c r="B20" s="17" t="n">
        <v>3371</v>
      </c>
      <c r="C20" s="18">
        <f>(2961.0/B20*100)</f>
        <v/>
      </c>
      <c r="D20" s="19" t="n">
        <v>410</v>
      </c>
      <c r="E20" s="18" t="n">
        <v>66.67655705999999</v>
      </c>
      <c r="F20" s="20" t="n">
        <v>2.58301099</v>
      </c>
      <c r="G20" s="18" t="n">
        <v>32.26375839</v>
      </c>
      <c r="H20" s="20" t="n">
        <v>2.59665264</v>
      </c>
      <c r="I20" s="18" t="n">
        <v>0</v>
      </c>
      <c r="J20" s="20" t="n">
        <v>0</v>
      </c>
      <c r="K20" s="18" t="n">
        <v>0.61322485</v>
      </c>
      <c r="L20" s="20" t="n">
        <v>0.44662013</v>
      </c>
      <c r="M20" s="18" t="n">
        <v>0</v>
      </c>
      <c r="N20" s="20" t="n">
        <v>0</v>
      </c>
      <c r="O20" s="18" t="n">
        <v>0</v>
      </c>
      <c r="P20" s="20" t="n">
        <v>0</v>
      </c>
      <c r="Q20" s="18" t="n">
        <v>0.4464597</v>
      </c>
      <c r="R20" s="20" t="n">
        <v>0.31279239</v>
      </c>
    </row>
    <row r="21" spans="1:18">
      <c r="A21" s="15" t="s">
        <v>443</v>
      </c>
      <c r="B21" s="17" t="n">
        <v>5741</v>
      </c>
      <c r="C21" s="18">
        <f>(4789.0/B21*100)</f>
        <v/>
      </c>
      <c r="D21" s="19" t="n">
        <v>952</v>
      </c>
      <c r="E21" s="18" t="n">
        <v>68.49220615</v>
      </c>
      <c r="F21" s="20" t="n">
        <v>1.65665421</v>
      </c>
      <c r="G21" s="18" t="n">
        <v>31.08834761</v>
      </c>
      <c r="H21" s="20" t="n">
        <v>1.67219452</v>
      </c>
      <c r="I21" s="18" t="n">
        <v>0</v>
      </c>
      <c r="J21" s="20" t="n">
        <v>0</v>
      </c>
      <c r="K21" s="18" t="n">
        <v>0.10686078</v>
      </c>
      <c r="L21" s="20" t="n">
        <v>0.07564095</v>
      </c>
      <c r="M21" s="18" t="n">
        <v>0</v>
      </c>
      <c r="N21" s="20" t="n">
        <v>0</v>
      </c>
      <c r="O21" s="18" t="n">
        <v>0</v>
      </c>
      <c r="P21" s="20" t="n">
        <v>0</v>
      </c>
      <c r="Q21" s="18" t="n">
        <v>0.31258546</v>
      </c>
      <c r="R21" s="20" t="n">
        <v>0.17039163</v>
      </c>
    </row>
    <row r="22" spans="1:18">
      <c r="A22" s="15" t="s">
        <v>444</v>
      </c>
      <c r="B22" s="17" t="n">
        <v>6598</v>
      </c>
      <c r="C22" s="18">
        <f>(5842.0/B22*100)</f>
        <v/>
      </c>
      <c r="D22" s="19" t="n">
        <v>756</v>
      </c>
      <c r="E22" s="18" t="n">
        <v>63.49052871</v>
      </c>
      <c r="F22" s="20" t="n">
        <v>2.08310998</v>
      </c>
      <c r="G22" s="18" t="n">
        <v>33.94341165</v>
      </c>
      <c r="H22" s="20" t="n">
        <v>2.02301426</v>
      </c>
      <c r="I22" s="18" t="n">
        <v>0</v>
      </c>
      <c r="J22" s="20" t="n">
        <v>0</v>
      </c>
      <c r="K22" s="18" t="n">
        <v>1.04269559</v>
      </c>
      <c r="L22" s="20" t="n">
        <v>0.40930662</v>
      </c>
      <c r="M22" s="18" t="n">
        <v>0</v>
      </c>
      <c r="N22" s="20" t="n">
        <v>0</v>
      </c>
      <c r="O22" s="18" t="n">
        <v>0</v>
      </c>
      <c r="P22" s="20" t="n">
        <v>0</v>
      </c>
      <c r="Q22" s="18" t="n">
        <v>1.52336405</v>
      </c>
      <c r="R22" s="20" t="n">
        <v>0.43586592</v>
      </c>
    </row>
    <row r="23" spans="1:18">
      <c r="A23" s="15" t="s">
        <v>445</v>
      </c>
      <c r="B23" s="17" t="n">
        <v>11583</v>
      </c>
      <c r="C23" s="18">
        <f>(10155.0/B23*100)</f>
        <v/>
      </c>
      <c r="D23" s="19" t="n">
        <v>1428</v>
      </c>
      <c r="E23" s="18" t="n">
        <v>73.59966854</v>
      </c>
      <c r="F23" s="20" t="n">
        <v>1.56719656</v>
      </c>
      <c r="G23" s="18" t="n">
        <v>26.03550449</v>
      </c>
      <c r="H23" s="20" t="n">
        <v>1.63750727</v>
      </c>
      <c r="I23" s="18" t="n">
        <v>0</v>
      </c>
      <c r="J23" s="20" t="n">
        <v>0</v>
      </c>
      <c r="K23" s="18" t="n">
        <v>0.27757331</v>
      </c>
      <c r="L23" s="20" t="n">
        <v>0.24510503</v>
      </c>
      <c r="M23" s="18" t="n">
        <v>0</v>
      </c>
      <c r="N23" s="20" t="n">
        <v>0</v>
      </c>
      <c r="O23" s="18" t="n">
        <v>0</v>
      </c>
      <c r="P23" s="20" t="n">
        <v>0</v>
      </c>
      <c r="Q23" s="18" t="n">
        <v>0.08725366</v>
      </c>
      <c r="R23" s="20" t="n">
        <v>0.05960288</v>
      </c>
    </row>
    <row r="24" spans="1:18">
      <c r="A24" s="15" t="s">
        <v>446</v>
      </c>
      <c r="B24" s="17" t="n">
        <v>6647</v>
      </c>
      <c r="C24" s="18">
        <f>(5847.0/B24*100)</f>
        <v/>
      </c>
      <c r="D24" s="19" t="n">
        <v>800</v>
      </c>
      <c r="E24" s="18" t="n">
        <v>66.90002015</v>
      </c>
      <c r="F24" s="20" t="n">
        <v>1.93064471</v>
      </c>
      <c r="G24" s="18" t="n">
        <v>32.31460503</v>
      </c>
      <c r="H24" s="20" t="n">
        <v>1.84939621</v>
      </c>
      <c r="I24" s="18" t="n">
        <v>0</v>
      </c>
      <c r="J24" s="20" t="n">
        <v>0</v>
      </c>
      <c r="K24" s="18" t="n">
        <v>0.1271465</v>
      </c>
      <c r="L24" s="20" t="n">
        <v>0.12134706</v>
      </c>
      <c r="M24" s="18" t="n">
        <v>0</v>
      </c>
      <c r="N24" s="20" t="n">
        <v>0</v>
      </c>
      <c r="O24" s="18" t="n">
        <v>0</v>
      </c>
      <c r="P24" s="20" t="n">
        <v>0</v>
      </c>
      <c r="Q24" s="18" t="n">
        <v>0.65822833</v>
      </c>
      <c r="R24" s="20" t="n">
        <v>0.29533827</v>
      </c>
    </row>
    <row r="25" spans="1:18">
      <c r="A25" s="15" t="s">
        <v>447</v>
      </c>
      <c r="B25" s="17" t="n">
        <v>5581</v>
      </c>
      <c r="C25" s="18">
        <f>(4891.0/B25*100)</f>
        <v/>
      </c>
      <c r="D25" s="19" t="n">
        <v>690</v>
      </c>
      <c r="E25" s="18" t="n">
        <v>75.52771324</v>
      </c>
      <c r="F25" s="20" t="n">
        <v>1.81620516</v>
      </c>
      <c r="G25" s="18" t="n">
        <v>24.18487073</v>
      </c>
      <c r="H25" s="20" t="n">
        <v>1.83423103</v>
      </c>
      <c r="I25" s="18" t="n">
        <v>0</v>
      </c>
      <c r="J25" s="20" t="n">
        <v>0</v>
      </c>
      <c r="K25" s="18" t="n">
        <v>0.28741602</v>
      </c>
      <c r="L25" s="20" t="n">
        <v>0.20301638</v>
      </c>
      <c r="M25" s="18" t="n">
        <v>0</v>
      </c>
      <c r="N25" s="20" t="n">
        <v>0</v>
      </c>
      <c r="O25" s="18" t="n">
        <v>0</v>
      </c>
      <c r="P25" s="20" t="n">
        <v>0</v>
      </c>
      <c r="Q25" s="18" t="n">
        <v>0</v>
      </c>
      <c r="R25" s="20" t="n">
        <v>0</v>
      </c>
    </row>
    <row r="26" spans="1:18">
      <c r="A26" s="15" t="s">
        <v>448</v>
      </c>
      <c r="B26" s="17" t="n">
        <v>4869</v>
      </c>
      <c r="C26" s="18">
        <f>(4264.0/B26*100)</f>
        <v/>
      </c>
      <c r="D26" s="19" t="n">
        <v>605</v>
      </c>
      <c r="E26" s="18" t="n">
        <v>62.04349203</v>
      </c>
      <c r="F26" s="20" t="n">
        <v>2.15612411</v>
      </c>
      <c r="G26" s="18" t="n">
        <v>37.66492288</v>
      </c>
      <c r="H26" s="20" t="n">
        <v>2.13886036</v>
      </c>
      <c r="I26" s="18" t="n">
        <v>0</v>
      </c>
      <c r="J26" s="20" t="n">
        <v>0</v>
      </c>
      <c r="K26" s="18" t="n">
        <v>0</v>
      </c>
      <c r="L26" s="20" t="n">
        <v>0</v>
      </c>
      <c r="M26" s="18" t="n">
        <v>0</v>
      </c>
      <c r="N26" s="20" t="n">
        <v>0</v>
      </c>
      <c r="O26" s="18" t="n">
        <v>0</v>
      </c>
      <c r="P26" s="20" t="n">
        <v>0</v>
      </c>
      <c r="Q26" s="18" t="n">
        <v>0.29158509</v>
      </c>
      <c r="R26" s="20" t="n">
        <v>0.20829645</v>
      </c>
    </row>
    <row r="27" spans="1:18">
      <c r="A27" s="15" t="s">
        <v>449</v>
      </c>
      <c r="B27" s="17" t="n">
        <v>5299</v>
      </c>
      <c r="C27" s="18">
        <f>(4634.0/B27*100)</f>
        <v/>
      </c>
      <c r="D27" s="19" t="n">
        <v>665</v>
      </c>
      <c r="E27" s="18" t="n">
        <v>67.85174997</v>
      </c>
      <c r="F27" s="20" t="n">
        <v>1.63406268</v>
      </c>
      <c r="G27" s="18" t="n">
        <v>31.38960759</v>
      </c>
      <c r="H27" s="20" t="n">
        <v>1.59435135</v>
      </c>
      <c r="I27" s="18" t="n">
        <v>0</v>
      </c>
      <c r="J27" s="20" t="n">
        <v>0</v>
      </c>
      <c r="K27" s="18" t="n">
        <v>0.15263843</v>
      </c>
      <c r="L27" s="20" t="n">
        <v>0.15238818</v>
      </c>
      <c r="M27" s="18" t="n">
        <v>0</v>
      </c>
      <c r="N27" s="20" t="n">
        <v>0</v>
      </c>
      <c r="O27" s="18" t="n">
        <v>0</v>
      </c>
      <c r="P27" s="20" t="n">
        <v>0</v>
      </c>
      <c r="Q27" s="18" t="n">
        <v>0.606004</v>
      </c>
      <c r="R27" s="20" t="n">
        <v>0.30112725</v>
      </c>
    </row>
    <row r="28" spans="1:18">
      <c r="A28" s="15" t="s">
        <v>450</v>
      </c>
      <c r="B28" s="17" t="n">
        <v>7568</v>
      </c>
      <c r="C28" s="18">
        <f>(6673.0/B28*100)</f>
        <v/>
      </c>
      <c r="D28" s="19" t="n">
        <v>895</v>
      </c>
      <c r="E28" s="18" t="n">
        <v>87.96617901</v>
      </c>
      <c r="F28" s="20" t="n">
        <v>1.32490372</v>
      </c>
      <c r="G28" s="18" t="n">
        <v>11.94468682</v>
      </c>
      <c r="H28" s="20" t="n">
        <v>1.33896734</v>
      </c>
      <c r="I28" s="18" t="n">
        <v>0</v>
      </c>
      <c r="J28" s="20" t="n">
        <v>0</v>
      </c>
      <c r="K28" s="18" t="n">
        <v>0</v>
      </c>
      <c r="L28" s="20" t="n">
        <v>0</v>
      </c>
      <c r="M28" s="18" t="n">
        <v>0</v>
      </c>
      <c r="N28" s="20" t="n">
        <v>0</v>
      </c>
      <c r="O28" s="18" t="n">
        <v>0</v>
      </c>
      <c r="P28" s="20" t="n">
        <v>0</v>
      </c>
      <c r="Q28" s="18" t="n">
        <v>0.08913417</v>
      </c>
      <c r="R28" s="20" t="n">
        <v>0.08945303</v>
      </c>
    </row>
    <row r="29" spans="1:18">
      <c r="A29" s="15" t="s">
        <v>451</v>
      </c>
      <c r="B29" s="17" t="n">
        <v>5385</v>
      </c>
      <c r="C29" s="18">
        <f>(4753.0/B29*100)</f>
        <v/>
      </c>
      <c r="D29" s="19" t="n">
        <v>632</v>
      </c>
      <c r="E29" s="18" t="n">
        <v>53.72542696</v>
      </c>
      <c r="F29" s="20" t="n">
        <v>2.08171429</v>
      </c>
      <c r="G29" s="18" t="n">
        <v>46.1086174</v>
      </c>
      <c r="H29" s="20" t="n">
        <v>2.08275033</v>
      </c>
      <c r="I29" s="18" t="n">
        <v>0</v>
      </c>
      <c r="J29" s="20" t="n">
        <v>0</v>
      </c>
      <c r="K29" s="18" t="n">
        <v>0</v>
      </c>
      <c r="L29" s="20" t="n">
        <v>0</v>
      </c>
      <c r="M29" s="18" t="n">
        <v>0</v>
      </c>
      <c r="N29" s="20" t="n">
        <v>0</v>
      </c>
      <c r="O29" s="18" t="n">
        <v>0</v>
      </c>
      <c r="P29" s="20" t="n">
        <v>0</v>
      </c>
      <c r="Q29" s="18" t="n">
        <v>0.16595564</v>
      </c>
      <c r="R29" s="20" t="n">
        <v>0.15715489</v>
      </c>
    </row>
    <row r="30" spans="1:18">
      <c r="A30" s="15" t="s">
        <v>452</v>
      </c>
      <c r="B30" s="17" t="n">
        <v>4520</v>
      </c>
      <c r="C30" s="18">
        <f>(3991.0/B30*100)</f>
        <v/>
      </c>
      <c r="D30" s="19" t="n">
        <v>529</v>
      </c>
      <c r="E30" s="18" t="n">
        <v>65.10831431</v>
      </c>
      <c r="F30" s="20" t="n">
        <v>2.44653856</v>
      </c>
      <c r="G30" s="18" t="n">
        <v>33.74567991</v>
      </c>
      <c r="H30" s="20" t="n">
        <v>2.41686933</v>
      </c>
      <c r="I30" s="18" t="n">
        <v>0</v>
      </c>
      <c r="J30" s="20" t="n">
        <v>0</v>
      </c>
      <c r="K30" s="18" t="n">
        <v>0.17143473</v>
      </c>
      <c r="L30" s="20" t="n">
        <v>0.17310916</v>
      </c>
      <c r="M30" s="18" t="n">
        <v>0</v>
      </c>
      <c r="N30" s="20" t="n">
        <v>0</v>
      </c>
      <c r="O30" s="18" t="n">
        <v>0</v>
      </c>
      <c r="P30" s="20" t="n">
        <v>0</v>
      </c>
      <c r="Q30" s="18" t="n">
        <v>0.9745710400000001</v>
      </c>
      <c r="R30" s="20" t="n">
        <v>0.49526683</v>
      </c>
    </row>
    <row r="31" spans="1:18">
      <c r="A31" s="15" t="s">
        <v>453</v>
      </c>
      <c r="B31" s="17" t="n">
        <v>5456</v>
      </c>
      <c r="C31" s="18">
        <f>(4781.0/B31*100)</f>
        <v/>
      </c>
      <c r="D31" s="19" t="n">
        <v>675</v>
      </c>
      <c r="E31" s="18" t="n">
        <v>61.16826668</v>
      </c>
      <c r="F31" s="20" t="n">
        <v>1.82348475</v>
      </c>
      <c r="G31" s="18" t="n">
        <v>36.75023669</v>
      </c>
      <c r="H31" s="20" t="n">
        <v>1.65363309</v>
      </c>
      <c r="I31" s="18" t="n">
        <v>0</v>
      </c>
      <c r="J31" s="20" t="n">
        <v>0</v>
      </c>
      <c r="K31" s="18" t="n">
        <v>0.60482021</v>
      </c>
      <c r="L31" s="20" t="n">
        <v>0.27776561</v>
      </c>
      <c r="M31" s="18" t="n">
        <v>0</v>
      </c>
      <c r="N31" s="20" t="n">
        <v>0</v>
      </c>
      <c r="O31" s="18" t="n">
        <v>0</v>
      </c>
      <c r="P31" s="20" t="n">
        <v>0</v>
      </c>
      <c r="Q31" s="18" t="n">
        <v>1.47667642</v>
      </c>
      <c r="R31" s="20" t="n">
        <v>0.5226537</v>
      </c>
    </row>
    <row r="32" spans="1:18">
      <c r="A32" s="15" t="s">
        <v>454</v>
      </c>
      <c r="B32" s="17" t="n">
        <v>4478</v>
      </c>
      <c r="C32" s="18">
        <f>(3720.0/B32*100)</f>
        <v/>
      </c>
      <c r="D32" s="19" t="n">
        <v>758</v>
      </c>
      <c r="E32" s="18" t="n">
        <v>59.15637497</v>
      </c>
      <c r="F32" s="20" t="n">
        <v>2.23858591</v>
      </c>
      <c r="G32" s="18" t="n">
        <v>40.84362503</v>
      </c>
      <c r="H32" s="20" t="n">
        <v>2.23858591</v>
      </c>
      <c r="I32" s="18" t="n">
        <v>0</v>
      </c>
      <c r="J32" s="20" t="n">
        <v>0</v>
      </c>
      <c r="K32" s="18" t="n">
        <v>0</v>
      </c>
      <c r="L32" s="20" t="n">
        <v>0</v>
      </c>
      <c r="M32" s="18" t="n">
        <v>0</v>
      </c>
      <c r="N32" s="20" t="n">
        <v>0</v>
      </c>
      <c r="O32" s="18" t="n">
        <v>0</v>
      </c>
      <c r="P32" s="20" t="n">
        <v>0</v>
      </c>
      <c r="Q32" s="18" t="n">
        <v>0</v>
      </c>
      <c r="R32" s="20" t="n">
        <v>0</v>
      </c>
    </row>
    <row r="33" spans="1:18">
      <c r="A33" s="15" t="s">
        <v>455</v>
      </c>
      <c r="B33" s="17" t="n">
        <v>7325</v>
      </c>
      <c r="C33" s="18">
        <f>(6436.0/B33*100)</f>
        <v/>
      </c>
      <c r="D33" s="19" t="n">
        <v>889</v>
      </c>
      <c r="E33" s="18" t="n">
        <v>74.76315626</v>
      </c>
      <c r="F33" s="20" t="n">
        <v>1.92401336</v>
      </c>
      <c r="G33" s="18" t="n">
        <v>25.15604439</v>
      </c>
      <c r="H33" s="20" t="n">
        <v>1.92294844</v>
      </c>
      <c r="I33" s="18" t="n">
        <v>0</v>
      </c>
      <c r="J33" s="20" t="n">
        <v>0</v>
      </c>
      <c r="K33" s="18" t="n">
        <v>0.01587753</v>
      </c>
      <c r="L33" s="20" t="n">
        <v>0.01686665</v>
      </c>
      <c r="M33" s="18" t="n">
        <v>0</v>
      </c>
      <c r="N33" s="20" t="n">
        <v>0</v>
      </c>
      <c r="O33" s="18" t="n">
        <v>0</v>
      </c>
      <c r="P33" s="20" t="n">
        <v>0</v>
      </c>
      <c r="Q33" s="18" t="n">
        <v>0.06492182000000001</v>
      </c>
      <c r="R33" s="20" t="n">
        <v>0.06693265</v>
      </c>
    </row>
    <row r="34" spans="1:18">
      <c r="A34" s="15" t="s">
        <v>456</v>
      </c>
      <c r="B34" s="17" t="n">
        <v>6350</v>
      </c>
      <c r="C34" s="18">
        <f>(5624.0/B34*100)</f>
        <v/>
      </c>
      <c r="D34" s="19" t="n">
        <v>726</v>
      </c>
      <c r="E34" s="18" t="n">
        <v>74.03520124000001</v>
      </c>
      <c r="F34" s="20" t="n">
        <v>1.69599034</v>
      </c>
      <c r="G34" s="18" t="n">
        <v>25.568334</v>
      </c>
      <c r="H34" s="20" t="n">
        <v>1.72841561</v>
      </c>
      <c r="I34" s="18" t="n">
        <v>0</v>
      </c>
      <c r="J34" s="20" t="n">
        <v>0</v>
      </c>
      <c r="K34" s="18" t="n">
        <v>0.17057404</v>
      </c>
      <c r="L34" s="20" t="n">
        <v>0.12717818</v>
      </c>
      <c r="M34" s="18" t="n">
        <v>0</v>
      </c>
      <c r="N34" s="20" t="n">
        <v>0</v>
      </c>
      <c r="O34" s="18" t="n">
        <v>0</v>
      </c>
      <c r="P34" s="20" t="n">
        <v>0</v>
      </c>
      <c r="Q34" s="18" t="n">
        <v>0.22589072</v>
      </c>
      <c r="R34" s="20" t="n">
        <v>0.2290994</v>
      </c>
    </row>
    <row r="35" spans="1:18">
      <c r="A35" s="15" t="s">
        <v>457</v>
      </c>
      <c r="B35" s="17" t="n">
        <v>6406</v>
      </c>
      <c r="C35" s="18">
        <f>(5647.0/B35*100)</f>
        <v/>
      </c>
      <c r="D35" s="19" t="n">
        <v>759</v>
      </c>
      <c r="E35" s="18" t="n">
        <v>51.0611401</v>
      </c>
      <c r="F35" s="20" t="n">
        <v>1.92700427</v>
      </c>
      <c r="G35" s="18" t="n">
        <v>48.38828132</v>
      </c>
      <c r="H35" s="20" t="n">
        <v>1.94638401</v>
      </c>
      <c r="I35" s="18" t="n">
        <v>0</v>
      </c>
      <c r="J35" s="20" t="n">
        <v>0</v>
      </c>
      <c r="K35" s="18" t="n">
        <v>0.15818851</v>
      </c>
      <c r="L35" s="20" t="n">
        <v>0.009001</v>
      </c>
      <c r="M35" s="18" t="n">
        <v>0</v>
      </c>
      <c r="N35" s="20" t="n">
        <v>0</v>
      </c>
      <c r="O35" s="18" t="n">
        <v>0</v>
      </c>
      <c r="P35" s="20" t="n">
        <v>0</v>
      </c>
      <c r="Q35" s="18" t="n">
        <v>0.39239008</v>
      </c>
      <c r="R35" s="20" t="n">
        <v>0.28555435</v>
      </c>
    </row>
    <row r="36" spans="1:18">
      <c r="A36" s="15" t="s">
        <v>458</v>
      </c>
      <c r="B36" s="17" t="n">
        <v>6736</v>
      </c>
      <c r="C36" s="18">
        <f>(5922.0/B36*100)</f>
        <v/>
      </c>
      <c r="D36" s="19" t="n">
        <v>814</v>
      </c>
      <c r="E36" s="18" t="n">
        <v>78.13700522000001</v>
      </c>
      <c r="F36" s="20" t="n">
        <v>1.19496801</v>
      </c>
      <c r="G36" s="18" t="n">
        <v>20.84768338</v>
      </c>
      <c r="H36" s="20" t="n">
        <v>1.23868829</v>
      </c>
      <c r="I36" s="18" t="n">
        <v>0</v>
      </c>
      <c r="J36" s="20" t="n">
        <v>0</v>
      </c>
      <c r="K36" s="18" t="n">
        <v>0.40734498</v>
      </c>
      <c r="L36" s="20" t="n">
        <v>0.19861215</v>
      </c>
      <c r="M36" s="18" t="n">
        <v>0</v>
      </c>
      <c r="N36" s="20" t="n">
        <v>0</v>
      </c>
      <c r="O36" s="18" t="n">
        <v>0</v>
      </c>
      <c r="P36" s="20" t="n">
        <v>0</v>
      </c>
      <c r="Q36" s="18" t="n">
        <v>0.60796642</v>
      </c>
      <c r="R36" s="20" t="n">
        <v>0.21192147</v>
      </c>
    </row>
    <row r="37" spans="1:18">
      <c r="A37" s="15" t="s">
        <v>459</v>
      </c>
      <c r="B37" s="17" t="n">
        <v>5458</v>
      </c>
      <c r="C37" s="18">
        <f>(4779.0/B37*100)</f>
        <v/>
      </c>
      <c r="D37" s="19" t="n">
        <v>679</v>
      </c>
      <c r="E37" s="18" t="n">
        <v>61.82656729</v>
      </c>
      <c r="F37" s="20" t="n">
        <v>2.28953259</v>
      </c>
      <c r="G37" s="18" t="n">
        <v>37.90687251</v>
      </c>
      <c r="H37" s="20" t="n">
        <v>2.2912783</v>
      </c>
      <c r="I37" s="18" t="n">
        <v>0</v>
      </c>
      <c r="J37" s="20" t="n">
        <v>0</v>
      </c>
      <c r="K37" s="18" t="n">
        <v>0.11286181</v>
      </c>
      <c r="L37" s="20" t="n">
        <v>0.11299488</v>
      </c>
      <c r="M37" s="18" t="n">
        <v>0</v>
      </c>
      <c r="N37" s="20" t="n">
        <v>0</v>
      </c>
      <c r="O37" s="18" t="n">
        <v>0</v>
      </c>
      <c r="P37" s="20" t="n">
        <v>0</v>
      </c>
      <c r="Q37" s="18" t="n">
        <v>0.15369839</v>
      </c>
      <c r="R37" s="20" t="n">
        <v>0.14996131</v>
      </c>
    </row>
    <row r="38" spans="1:18">
      <c r="A38" s="15" t="s">
        <v>460</v>
      </c>
      <c r="B38" s="17" t="n">
        <v>5860</v>
      </c>
      <c r="C38" s="18">
        <f>(4867.0/B38*100)</f>
        <v/>
      </c>
      <c r="D38" s="19" t="n">
        <v>993</v>
      </c>
      <c r="E38" s="18" t="n">
        <v>56.61375115</v>
      </c>
      <c r="F38" s="20" t="n">
        <v>1.55581884</v>
      </c>
      <c r="G38" s="18" t="n">
        <v>42.04685685</v>
      </c>
      <c r="H38" s="20" t="n">
        <v>1.53059304</v>
      </c>
      <c r="I38" s="18" t="n">
        <v>0</v>
      </c>
      <c r="J38" s="20" t="n">
        <v>0</v>
      </c>
      <c r="K38" s="18" t="n">
        <v>0.48928327</v>
      </c>
      <c r="L38" s="20" t="n">
        <v>0.30735266</v>
      </c>
      <c r="M38" s="18" t="n">
        <v>0</v>
      </c>
      <c r="N38" s="20" t="n">
        <v>0</v>
      </c>
      <c r="O38" s="18" t="n">
        <v>0</v>
      </c>
      <c r="P38" s="20" t="n">
        <v>0</v>
      </c>
      <c r="Q38" s="18" t="n">
        <v>0.85010873</v>
      </c>
      <c r="R38" s="20" t="n">
        <v>0.34244846</v>
      </c>
    </row>
    <row r="39" spans="1:18">
      <c r="A39" s="15" t="s">
        <v>461</v>
      </c>
      <c r="B39" s="17" t="n">
        <v>5895</v>
      </c>
      <c r="C39" s="18">
        <f>(5161.0/B39*100)</f>
        <v/>
      </c>
      <c r="D39" s="19" t="n">
        <v>734</v>
      </c>
      <c r="E39" s="18" t="n">
        <v>88.72725133</v>
      </c>
      <c r="F39" s="20" t="n">
        <v>1.22192384</v>
      </c>
      <c r="G39" s="18" t="n">
        <v>10.90054648</v>
      </c>
      <c r="H39" s="20" t="n">
        <v>1.1417778</v>
      </c>
      <c r="I39" s="18" t="n">
        <v>0</v>
      </c>
      <c r="J39" s="20" t="n">
        <v>0</v>
      </c>
      <c r="K39" s="18" t="n">
        <v>0</v>
      </c>
      <c r="L39" s="20" t="n">
        <v>0</v>
      </c>
      <c r="M39" s="18" t="n">
        <v>0</v>
      </c>
      <c r="N39" s="20" t="n">
        <v>0</v>
      </c>
      <c r="O39" s="18" t="n">
        <v>0</v>
      </c>
      <c r="P39" s="20" t="n">
        <v>0</v>
      </c>
      <c r="Q39" s="18" t="n">
        <v>0.37220219</v>
      </c>
      <c r="R39" s="20" t="n">
        <v>0.27992189</v>
      </c>
    </row>
    <row r="40" spans="1:18">
      <c r="A40" s="15" t="s">
        <v>462</v>
      </c>
      <c r="B40" s="17" t="n">
        <v>14157</v>
      </c>
      <c r="C40" s="18">
        <f>(12441.0/B40*100)</f>
        <v/>
      </c>
      <c r="D40" s="19" t="n">
        <v>1716</v>
      </c>
      <c r="E40" s="18" t="n">
        <v>66.18527595</v>
      </c>
      <c r="F40" s="20" t="n">
        <v>1.78744576</v>
      </c>
      <c r="G40" s="18" t="n">
        <v>33.19073266</v>
      </c>
      <c r="H40" s="20" t="n">
        <v>1.78255582</v>
      </c>
      <c r="I40" s="18" t="n">
        <v>0</v>
      </c>
      <c r="J40" s="20" t="n">
        <v>0</v>
      </c>
      <c r="K40" s="18" t="n">
        <v>0.39043806</v>
      </c>
      <c r="L40" s="20" t="n">
        <v>0.24762027</v>
      </c>
      <c r="M40" s="18" t="n">
        <v>0</v>
      </c>
      <c r="N40" s="20" t="n">
        <v>0</v>
      </c>
      <c r="O40" s="18" t="n">
        <v>0</v>
      </c>
      <c r="P40" s="20" t="n">
        <v>0</v>
      </c>
      <c r="Q40" s="18" t="n">
        <v>0.23355333</v>
      </c>
      <c r="R40" s="20" t="n">
        <v>0.17857415</v>
      </c>
    </row>
    <row r="41" spans="1:18">
      <c r="A41" s="15" t="s">
        <v>463</v>
      </c>
      <c r="B41" s="17" t="n">
        <v>5712</v>
      </c>
      <c r="C41" s="18">
        <f>(5005.0/B41*100)</f>
        <v/>
      </c>
      <c r="D41" s="19" t="n">
        <v>707</v>
      </c>
      <c r="E41" s="18" t="n">
        <v>74.89059678</v>
      </c>
      <c r="F41" s="20" t="n">
        <v>1.94724703</v>
      </c>
      <c r="G41" s="18" t="n">
        <v>25.10940322</v>
      </c>
      <c r="H41" s="20" t="n">
        <v>1.94724703</v>
      </c>
      <c r="I41" s="18" t="n">
        <v>0</v>
      </c>
      <c r="J41" s="20" t="n">
        <v>0</v>
      </c>
      <c r="K41" s="18" t="n">
        <v>0</v>
      </c>
      <c r="L41" s="20" t="n">
        <v>0</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(20574.0/B46*100)</f>
        <v/>
      </c>
      <c r="D46" s="19" t="n">
        <v>2567</v>
      </c>
      <c r="E46" s="18" t="n">
        <v>86.7484759</v>
      </c>
      <c r="F46" s="20" t="n">
        <v>0.90104173</v>
      </c>
      <c r="G46" s="18" t="n">
        <v>11.45435238</v>
      </c>
      <c r="H46" s="20" t="n">
        <v>0.85128944</v>
      </c>
      <c r="I46" s="18" t="n">
        <v>0</v>
      </c>
      <c r="J46" s="20" t="n">
        <v>0</v>
      </c>
      <c r="K46" s="18" t="n">
        <v>0.66821615</v>
      </c>
      <c r="L46" s="20" t="n">
        <v>0.19860857</v>
      </c>
      <c r="M46" s="18" t="n">
        <v>0</v>
      </c>
      <c r="N46" s="20" t="n">
        <v>0</v>
      </c>
      <c r="O46" s="18" t="n">
        <v>0</v>
      </c>
      <c r="P46" s="20" t="n">
        <v>0</v>
      </c>
      <c r="Q46" s="18" t="n">
        <v>1.12895557</v>
      </c>
      <c r="R46" s="20" t="n">
        <v>0.29674043</v>
      </c>
    </row>
    <row r="47" spans="1:18">
      <c r="A47" s="15" t="s">
        <v>470</v>
      </c>
      <c r="B47" s="17" t="n">
        <v>5928</v>
      </c>
      <c r="C47" s="18">
        <f>(5228.0/B47*100)</f>
        <v/>
      </c>
      <c r="D47" s="19" t="n">
        <v>700</v>
      </c>
      <c r="E47" s="18" t="n">
        <v>80.95900854999999</v>
      </c>
      <c r="F47" s="20" t="n">
        <v>1.38437641</v>
      </c>
      <c r="G47" s="18" t="n">
        <v>17.66101519</v>
      </c>
      <c r="H47" s="20" t="n">
        <v>1.42294162</v>
      </c>
      <c r="I47" s="18" t="n">
        <v>0</v>
      </c>
      <c r="J47" s="20" t="n">
        <v>0</v>
      </c>
      <c r="K47" s="18" t="n">
        <v>0.26588031</v>
      </c>
      <c r="L47" s="20" t="n">
        <v>0.15959022</v>
      </c>
      <c r="M47" s="18" t="n">
        <v>0</v>
      </c>
      <c r="N47" s="20" t="n">
        <v>0</v>
      </c>
      <c r="O47" s="18" t="n">
        <v>0</v>
      </c>
      <c r="P47" s="20" t="n">
        <v>0</v>
      </c>
      <c r="Q47" s="18" t="n">
        <v>1.11409596</v>
      </c>
      <c r="R47" s="20" t="n">
        <v>0.38005847</v>
      </c>
    </row>
    <row r="48" spans="1:18">
      <c r="A48" s="15" t="s">
        <v>471</v>
      </c>
      <c r="B48" s="17" t="n">
        <v>9841</v>
      </c>
      <c r="C48" s="18">
        <f>(8640.0/B48*100)</f>
        <v/>
      </c>
      <c r="D48" s="19" t="n">
        <v>1201</v>
      </c>
      <c r="E48" s="18" t="n">
        <v>67.08377315</v>
      </c>
      <c r="F48" s="20" t="n">
        <v>2.23958167</v>
      </c>
      <c r="G48" s="18" t="n">
        <v>31.71461475</v>
      </c>
      <c r="H48" s="20" t="n">
        <v>2.09051648</v>
      </c>
      <c r="I48" s="18" t="n">
        <v>0</v>
      </c>
      <c r="J48" s="20" t="n">
        <v>0</v>
      </c>
      <c r="K48" s="18" t="n">
        <v>0.69800015</v>
      </c>
      <c r="L48" s="20" t="n">
        <v>0.45148795</v>
      </c>
      <c r="M48" s="18" t="n">
        <v>0</v>
      </c>
      <c r="N48" s="20" t="n">
        <v>0</v>
      </c>
      <c r="O48" s="18" t="n">
        <v>0</v>
      </c>
      <c r="P48" s="20" t="n">
        <v>0</v>
      </c>
      <c r="Q48" s="18" t="n">
        <v>0.50361196</v>
      </c>
      <c r="R48" s="20" t="n">
        <v>0.26523185</v>
      </c>
    </row>
    <row r="49" spans="1:18">
      <c r="A49" s="15" t="s">
        <v>472</v>
      </c>
      <c r="B49" s="17" t="n">
        <v>11795</v>
      </c>
      <c r="C49" s="18">
        <f>(10362.0/B49*100)</f>
        <v/>
      </c>
      <c r="D49" s="19" t="n">
        <v>1433</v>
      </c>
      <c r="E49" s="18" t="n">
        <v>85.93211512000001</v>
      </c>
      <c r="F49" s="20" t="n">
        <v>1.31133602</v>
      </c>
      <c r="G49" s="18" t="n">
        <v>12.53268905</v>
      </c>
      <c r="H49" s="20" t="n">
        <v>1.22006298</v>
      </c>
      <c r="I49" s="18" t="n">
        <v>0</v>
      </c>
      <c r="J49" s="20" t="n">
        <v>0</v>
      </c>
      <c r="K49" s="18" t="n">
        <v>0.85476332</v>
      </c>
      <c r="L49" s="20" t="n">
        <v>0.28275354</v>
      </c>
      <c r="M49" s="18" t="n">
        <v>0</v>
      </c>
      <c r="N49" s="20" t="n">
        <v>0</v>
      </c>
      <c r="O49" s="18" t="n">
        <v>0</v>
      </c>
      <c r="P49" s="20" t="n">
        <v>0</v>
      </c>
      <c r="Q49" s="18" t="n">
        <v>0.68043251</v>
      </c>
      <c r="R49" s="20" t="n">
        <v>0.35656453</v>
      </c>
    </row>
    <row r="50" spans="1:18">
      <c r="A50" s="15" t="s">
        <v>473</v>
      </c>
      <c r="B50" s="17" t="n">
        <v>6866</v>
      </c>
      <c r="C50" s="18">
        <f>(6153.0/B50*100)</f>
        <v/>
      </c>
      <c r="D50" s="19" t="n">
        <v>713</v>
      </c>
      <c r="E50" s="18" t="n">
        <v>87.00739311</v>
      </c>
      <c r="F50" s="20" t="n">
        <v>1.46626006</v>
      </c>
      <c r="G50" s="18" t="n">
        <v>11.92539775</v>
      </c>
      <c r="H50" s="20" t="n">
        <v>1.2810883</v>
      </c>
      <c r="I50" s="18" t="n">
        <v>0</v>
      </c>
      <c r="J50" s="20" t="n">
        <v>0</v>
      </c>
      <c r="K50" s="18" t="n">
        <v>0.61191488</v>
      </c>
      <c r="L50" s="20" t="n">
        <v>0.33682851</v>
      </c>
      <c r="M50" s="18" t="n">
        <v>0</v>
      </c>
      <c r="N50" s="20" t="n">
        <v>0</v>
      </c>
      <c r="O50" s="18" t="n">
        <v>0</v>
      </c>
      <c r="P50" s="20" t="n">
        <v>0</v>
      </c>
      <c r="Q50" s="18" t="n">
        <v>0.45529427</v>
      </c>
      <c r="R50" s="20" t="n">
        <v>0.25392052</v>
      </c>
    </row>
    <row r="51" spans="1:18">
      <c r="A51" s="15" t="s">
        <v>474</v>
      </c>
      <c r="B51" s="17" t="n">
        <v>5809</v>
      </c>
      <c r="C51" s="18">
        <f>(5090.0/B51*100)</f>
        <v/>
      </c>
      <c r="D51" s="19" t="n">
        <v>719</v>
      </c>
      <c r="E51" s="18" t="n">
        <v>73.76161137</v>
      </c>
      <c r="F51" s="20" t="n">
        <v>1.65729268</v>
      </c>
      <c r="G51" s="18" t="n">
        <v>25.95392894</v>
      </c>
      <c r="H51" s="20" t="n">
        <v>1.64846881</v>
      </c>
      <c r="I51" s="18" t="n">
        <v>0</v>
      </c>
      <c r="J51" s="20" t="n">
        <v>0</v>
      </c>
      <c r="K51" s="18" t="n">
        <v>0</v>
      </c>
      <c r="L51" s="20" t="n">
        <v>0</v>
      </c>
      <c r="M51" s="18" t="n">
        <v>0</v>
      </c>
      <c r="N51" s="20" t="n">
        <v>0</v>
      </c>
      <c r="O51" s="18" t="n">
        <v>0</v>
      </c>
      <c r="P51" s="20" t="n">
        <v>0</v>
      </c>
      <c r="Q51" s="18" t="n">
        <v>0.28445969</v>
      </c>
      <c r="R51" s="20" t="n">
        <v>0.20223552</v>
      </c>
    </row>
    <row r="52" spans="1:18">
      <c r="A52" s="15" t="s">
        <v>475</v>
      </c>
      <c r="B52" s="17" t="n">
        <v>5571</v>
      </c>
      <c r="C52" s="18">
        <f>(4881.0/B52*100)</f>
        <v/>
      </c>
      <c r="D52" s="19" t="n">
        <v>690</v>
      </c>
      <c r="E52" s="18" t="n">
        <v>81.86751704</v>
      </c>
      <c r="F52" s="20" t="n">
        <v>1.37502408</v>
      </c>
      <c r="G52" s="18" t="n">
        <v>16.66656771</v>
      </c>
      <c r="H52" s="20" t="n">
        <v>1.37107531</v>
      </c>
      <c r="I52" s="18" t="n">
        <v>0</v>
      </c>
      <c r="J52" s="20" t="n">
        <v>0</v>
      </c>
      <c r="K52" s="18" t="n">
        <v>0</v>
      </c>
      <c r="L52" s="20" t="n">
        <v>0</v>
      </c>
      <c r="M52" s="18" t="n">
        <v>0</v>
      </c>
      <c r="N52" s="20" t="n">
        <v>0</v>
      </c>
      <c r="O52" s="18" t="n">
        <v>0</v>
      </c>
      <c r="P52" s="20" t="n">
        <v>0</v>
      </c>
      <c r="Q52" s="18" t="n">
        <v>1.46591525</v>
      </c>
      <c r="R52" s="20" t="n">
        <v>0.48077157</v>
      </c>
    </row>
    <row r="53" spans="1:18">
      <c r="A53" s="15" t="s">
        <v>476</v>
      </c>
      <c r="B53" s="17" t="n">
        <v>4740</v>
      </c>
      <c r="C53" s="18">
        <f>(3953.0/B53*100)</f>
        <v/>
      </c>
      <c r="D53" s="19" t="n">
        <v>787</v>
      </c>
      <c r="E53" s="18" t="n">
        <v>85.24632803999999</v>
      </c>
      <c r="F53" s="20" t="n">
        <v>1.22953069</v>
      </c>
      <c r="G53" s="18" t="n">
        <v>5.8469677</v>
      </c>
      <c r="H53" s="20" t="n">
        <v>0.87886624</v>
      </c>
      <c r="I53" s="18" t="n">
        <v>0</v>
      </c>
      <c r="J53" s="20" t="n">
        <v>0</v>
      </c>
      <c r="K53" s="18" t="n">
        <v>5.88930657</v>
      </c>
      <c r="L53" s="20" t="n">
        <v>0.93599722</v>
      </c>
      <c r="M53" s="18" t="n">
        <v>0</v>
      </c>
      <c r="N53" s="20" t="n">
        <v>0</v>
      </c>
      <c r="O53" s="18" t="n">
        <v>0</v>
      </c>
      <c r="P53" s="20" t="n">
        <v>0</v>
      </c>
      <c r="Q53" s="18" t="n">
        <v>3.0173977</v>
      </c>
      <c r="R53" s="20" t="n">
        <v>0.63157418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(4696.0/B55*100)</f>
        <v/>
      </c>
      <c r="D55" s="19" t="n">
        <v>663</v>
      </c>
      <c r="E55" s="18" t="n">
        <v>58.34813901</v>
      </c>
      <c r="F55" s="20" t="n">
        <v>2.29674569</v>
      </c>
      <c r="G55" s="18" t="n">
        <v>40.97363361</v>
      </c>
      <c r="H55" s="20" t="n">
        <v>2.34036224</v>
      </c>
      <c r="I55" s="18" t="n">
        <v>0</v>
      </c>
      <c r="J55" s="20" t="n">
        <v>0</v>
      </c>
      <c r="K55" s="18" t="n">
        <v>0.26249814</v>
      </c>
      <c r="L55" s="20" t="n">
        <v>0.18605442</v>
      </c>
      <c r="M55" s="18" t="n">
        <v>0</v>
      </c>
      <c r="N55" s="20" t="n">
        <v>0</v>
      </c>
      <c r="O55" s="18" t="n">
        <v>0</v>
      </c>
      <c r="P55" s="20" t="n">
        <v>0</v>
      </c>
      <c r="Q55" s="18" t="n">
        <v>0.41572924</v>
      </c>
      <c r="R55" s="20" t="n">
        <v>0.32900578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(5749.0/B61*100)</f>
        <v/>
      </c>
      <c r="D61" s="19" t="n">
        <v>776</v>
      </c>
      <c r="E61" s="18" t="n">
        <v>78.97118268</v>
      </c>
      <c r="F61" s="20" t="n">
        <v>1.61373161</v>
      </c>
      <c r="G61" s="18" t="n">
        <v>21.02881732</v>
      </c>
      <c r="H61" s="20" t="n">
        <v>1.61373161</v>
      </c>
      <c r="I61" s="18" t="n">
        <v>0</v>
      </c>
      <c r="J61" s="20" t="n">
        <v>0</v>
      </c>
      <c r="K61" s="18" t="n">
        <v>0</v>
      </c>
      <c r="L61" s="20" t="n">
        <v>0</v>
      </c>
      <c r="M61" s="18" t="n">
        <v>0</v>
      </c>
      <c r="N61" s="20" t="n">
        <v>0</v>
      </c>
      <c r="O61" s="18" t="n">
        <v>0</v>
      </c>
      <c r="P61" s="20" t="n">
        <v>0</v>
      </c>
      <c r="Q61" s="18" t="n">
        <v>0</v>
      </c>
      <c r="R61" s="20" t="n">
        <v>0</v>
      </c>
    </row>
    <row r="62" spans="1:18">
      <c r="A62" s="15" t="s">
        <v>486</v>
      </c>
      <c r="B62" s="17" t="n">
        <v>4476</v>
      </c>
      <c r="C62" s="18">
        <f>(3921.0/B62*100)</f>
        <v/>
      </c>
      <c r="D62" s="19" t="n">
        <v>555</v>
      </c>
      <c r="E62" s="18" t="n">
        <v>69.20131372</v>
      </c>
      <c r="F62" s="20" t="n">
        <v>1.90532751</v>
      </c>
      <c r="G62" s="18" t="n">
        <v>30.6137368</v>
      </c>
      <c r="H62" s="20" t="n">
        <v>1.87048581</v>
      </c>
      <c r="I62" s="18" t="n">
        <v>0</v>
      </c>
      <c r="J62" s="20" t="n">
        <v>0</v>
      </c>
      <c r="K62" s="18" t="n">
        <v>0.18494948</v>
      </c>
      <c r="L62" s="20" t="n">
        <v>0.18334551</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(4970.0/B67*100)</f>
        <v/>
      </c>
      <c r="D67" s="19" t="n">
        <v>695</v>
      </c>
      <c r="E67" s="18" t="n">
        <v>81.08403805</v>
      </c>
      <c r="F67" s="20" t="n">
        <v>1.45529218</v>
      </c>
      <c r="G67" s="18" t="n">
        <v>15.73213309</v>
      </c>
      <c r="H67" s="20" t="n">
        <v>1.3619656</v>
      </c>
      <c r="I67" s="18" t="n">
        <v>0</v>
      </c>
      <c r="J67" s="20" t="n">
        <v>0</v>
      </c>
      <c r="K67" s="18" t="n">
        <v>1.34765303</v>
      </c>
      <c r="L67" s="20" t="n">
        <v>0.42872233</v>
      </c>
      <c r="M67" s="18" t="n">
        <v>0</v>
      </c>
      <c r="N67" s="20" t="n">
        <v>0</v>
      </c>
      <c r="O67" s="18" t="n">
        <v>0</v>
      </c>
      <c r="P67" s="20" t="n">
        <v>0</v>
      </c>
      <c r="Q67" s="18" t="n">
        <v>1.83617584</v>
      </c>
      <c r="R67" s="20" t="n">
        <v>0.48295277</v>
      </c>
    </row>
    <row r="68" spans="1:18">
      <c r="A68" s="15" t="s">
        <v>492</v>
      </c>
      <c r="B68" s="17" t="n">
        <v>6971</v>
      </c>
      <c r="C68" s="18">
        <f>(6160.0/B68*100)</f>
        <v/>
      </c>
      <c r="D68" s="19" t="n">
        <v>811</v>
      </c>
      <c r="E68" s="18" t="n">
        <v>88.22235345999999</v>
      </c>
      <c r="F68" s="20" t="n">
        <v>1.14437126</v>
      </c>
      <c r="G68" s="18" t="n">
        <v>11.20835119</v>
      </c>
      <c r="H68" s="20" t="n">
        <v>1.13695866</v>
      </c>
      <c r="I68" s="18" t="n">
        <v>0</v>
      </c>
      <c r="J68" s="20" t="n">
        <v>0</v>
      </c>
      <c r="K68" s="18" t="n">
        <v>0.09360860999999999</v>
      </c>
      <c r="L68" s="20" t="n">
        <v>0.09334769</v>
      </c>
      <c r="M68" s="18" t="n">
        <v>0</v>
      </c>
      <c r="N68" s="20" t="n">
        <v>0</v>
      </c>
      <c r="O68" s="18" t="n">
        <v>0</v>
      </c>
      <c r="P68" s="20" t="n">
        <v>0</v>
      </c>
      <c r="Q68" s="18" t="n">
        <v>0.47568673</v>
      </c>
      <c r="R68" s="20" t="n">
        <v>0.23897562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81.33117154</v>
      </c>
      <c r="F70" s="20" t="n">
        <v>0.91787315</v>
      </c>
      <c r="G70" s="18" t="n">
        <v>14.89358127</v>
      </c>
      <c r="H70" s="20" t="n">
        <v>0.80321683</v>
      </c>
      <c r="I70" s="18" t="n">
        <v>0</v>
      </c>
      <c r="J70" s="20" t="n">
        <v>0</v>
      </c>
      <c r="K70" s="18" t="n">
        <v>1.73037829</v>
      </c>
      <c r="L70" s="20" t="n">
        <v>0.30833263</v>
      </c>
      <c r="M70" s="18" t="n">
        <v>0</v>
      </c>
      <c r="N70" s="20" t="n">
        <v>0</v>
      </c>
      <c r="O70" s="18" t="n">
        <v>0</v>
      </c>
      <c r="P70" s="20" t="n">
        <v>0</v>
      </c>
      <c r="Q70" s="18" t="n">
        <v>2.04486891</v>
      </c>
      <c r="R70" s="20" t="n">
        <v>0.33359613</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(5328.0/B72*100)</f>
        <v/>
      </c>
      <c r="D72" s="19" t="n">
        <v>708</v>
      </c>
      <c r="E72" s="18" t="n">
        <v>72.42001865</v>
      </c>
      <c r="F72" s="20" t="n">
        <v>1.88991256</v>
      </c>
      <c r="G72" s="18" t="n">
        <v>27.33230832</v>
      </c>
      <c r="H72" s="20" t="n">
        <v>1.88037189</v>
      </c>
      <c r="I72" s="18" t="n">
        <v>0</v>
      </c>
      <c r="J72" s="20" t="n">
        <v>0</v>
      </c>
      <c r="K72" s="18" t="n">
        <v>0.12856286</v>
      </c>
      <c r="L72" s="20" t="n">
        <v>0.12668901</v>
      </c>
      <c r="M72" s="18" t="n">
        <v>0</v>
      </c>
      <c r="N72" s="20" t="n">
        <v>0</v>
      </c>
      <c r="O72" s="18" t="n">
        <v>0</v>
      </c>
      <c r="P72" s="20" t="n">
        <v>0</v>
      </c>
      <c r="Q72" s="18" t="n">
        <v>0.11911017</v>
      </c>
      <c r="R72" s="20" t="n">
        <v>0.12264399</v>
      </c>
    </row>
    <row r="73" spans="1:18">
      <c r="A73" s="15" t="s">
        <v>497</v>
      </c>
      <c r="B73" s="17" t="n">
        <v>6115</v>
      </c>
      <c r="C73" s="18">
        <f>(5339.0/B73*100)</f>
        <v/>
      </c>
      <c r="D73" s="19" t="n">
        <v>776</v>
      </c>
      <c r="E73" s="18" t="n">
        <v>49.3522732</v>
      </c>
      <c r="F73" s="20" t="n">
        <v>2.06124927</v>
      </c>
      <c r="G73" s="18" t="n">
        <v>50.1425018</v>
      </c>
      <c r="H73" s="20" t="n">
        <v>2.01273957</v>
      </c>
      <c r="I73" s="18" t="n">
        <v>0</v>
      </c>
      <c r="J73" s="20" t="n">
        <v>0</v>
      </c>
      <c r="K73" s="18" t="n">
        <v>0.11740525</v>
      </c>
      <c r="L73" s="20" t="n">
        <v>0.11811562</v>
      </c>
      <c r="M73" s="18" t="n">
        <v>0</v>
      </c>
      <c r="N73" s="20" t="n">
        <v>0</v>
      </c>
      <c r="O73" s="18" t="n">
        <v>0</v>
      </c>
      <c r="P73" s="20" t="n">
        <v>0</v>
      </c>
      <c r="Q73" s="18" t="n">
        <v>0.38781974</v>
      </c>
      <c r="R73" s="20" t="n">
        <v>0.22865433</v>
      </c>
    </row>
    <row r="74" spans="1:18">
      <c r="A74" s="15" t="s">
        <v>498</v>
      </c>
      <c r="B74" s="17" t="n">
        <v>7708</v>
      </c>
      <c r="C74" s="18">
        <f>(6753.0/B74*100)</f>
        <v/>
      </c>
      <c r="D74" s="19" t="n">
        <v>955</v>
      </c>
      <c r="E74" s="18" t="n">
        <v>72.83221204</v>
      </c>
      <c r="F74" s="20" t="n">
        <v>1.66394481</v>
      </c>
      <c r="G74" s="18" t="n">
        <v>26.93908899</v>
      </c>
      <c r="H74" s="20" t="n">
        <v>1.64685114</v>
      </c>
      <c r="I74" s="18" t="n">
        <v>0</v>
      </c>
      <c r="J74" s="20" t="n">
        <v>0</v>
      </c>
      <c r="K74" s="18" t="n">
        <v>0.08315599999999999</v>
      </c>
      <c r="L74" s="20" t="n">
        <v>0.08335939000000001</v>
      </c>
      <c r="M74" s="18" t="n">
        <v>0</v>
      </c>
      <c r="N74" s="20" t="n">
        <v>0</v>
      </c>
      <c r="O74" s="18" t="n">
        <v>0</v>
      </c>
      <c r="P74" s="20" t="n">
        <v>0</v>
      </c>
      <c r="Q74" s="18" t="n">
        <v>0.14554297</v>
      </c>
      <c r="R74" s="20" t="n">
        <v>0.10310164</v>
      </c>
    </row>
    <row r="75" spans="1:18">
      <c r="A75" s="15" t="s">
        <v>499</v>
      </c>
      <c r="B75" s="17" t="n">
        <v>8249</v>
      </c>
      <c r="C75" s="18">
        <f>(7253.0/B75*100)</f>
        <v/>
      </c>
      <c r="D75" s="19" t="n">
        <v>996</v>
      </c>
      <c r="E75" s="18" t="n">
        <v>0</v>
      </c>
      <c r="F75" s="20" t="n">
        <v>0</v>
      </c>
      <c r="G75" s="18" t="n">
        <v>0</v>
      </c>
      <c r="H75" s="20" t="n">
        <v>0</v>
      </c>
      <c r="I75" s="18" t="n">
        <v>0</v>
      </c>
      <c r="J75" s="20" t="n">
        <v>0</v>
      </c>
      <c r="K75" s="18" t="n">
        <v>0</v>
      </c>
      <c r="L75" s="20" t="n">
        <v>0</v>
      </c>
      <c r="M75" s="18" t="n">
        <v>100</v>
      </c>
      <c r="N75" s="20" t="n">
        <v>0</v>
      </c>
      <c r="O75" s="18" t="n">
        <v>0</v>
      </c>
      <c r="P75" s="20" t="n">
        <v>0</v>
      </c>
      <c r="Q75" s="18" t="n">
        <v>0</v>
      </c>
      <c r="R75" s="20" t="n">
        <v>0</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(4757.0/B77*100)</f>
        <v/>
      </c>
      <c r="D77" s="19" t="n">
        <v>618</v>
      </c>
      <c r="E77" s="18" t="n">
        <v>85.87686022</v>
      </c>
      <c r="F77" s="20" t="n">
        <v>1.50805219</v>
      </c>
      <c r="G77" s="18" t="n">
        <v>11.31969784</v>
      </c>
      <c r="H77" s="20" t="n">
        <v>1.30572787</v>
      </c>
      <c r="I77" s="18" t="n">
        <v>0</v>
      </c>
      <c r="J77" s="20" t="n">
        <v>0</v>
      </c>
      <c r="K77" s="18" t="n">
        <v>0.92853503</v>
      </c>
      <c r="L77" s="20" t="n">
        <v>0.36315849</v>
      </c>
      <c r="M77" s="18" t="n">
        <v>0</v>
      </c>
      <c r="N77" s="20" t="n">
        <v>0</v>
      </c>
      <c r="O77" s="18" t="n">
        <v>0</v>
      </c>
      <c r="P77" s="20" t="n">
        <v>0</v>
      </c>
      <c r="Q77" s="18" t="n">
        <v>1.87490692</v>
      </c>
      <c r="R77" s="20" t="n">
        <v>0.56373484</v>
      </c>
    </row>
    <row r="78" spans="1:18">
      <c r="A78" s="15" t="s">
        <v>502</v>
      </c>
      <c r="B78" s="17" t="n">
        <v>14167</v>
      </c>
      <c r="C78" s="18">
        <f>(12407.0/B78*100)</f>
        <v/>
      </c>
      <c r="D78" s="19" t="n">
        <v>1760</v>
      </c>
      <c r="E78" s="18" t="n">
        <v>79.81775697</v>
      </c>
      <c r="F78" s="20" t="n">
        <v>1.24414588</v>
      </c>
      <c r="G78" s="18" t="n">
        <v>18.58845661</v>
      </c>
      <c r="H78" s="20" t="n">
        <v>1.18763822</v>
      </c>
      <c r="I78" s="18" t="n">
        <v>0</v>
      </c>
      <c r="J78" s="20" t="n">
        <v>0</v>
      </c>
      <c r="K78" s="18" t="n">
        <v>0.5746659</v>
      </c>
      <c r="L78" s="20" t="n">
        <v>0.21295061</v>
      </c>
      <c r="M78" s="18" t="n">
        <v>0</v>
      </c>
      <c r="N78" s="20" t="n">
        <v>0</v>
      </c>
      <c r="O78" s="18" t="n">
        <v>0</v>
      </c>
      <c r="P78" s="20" t="n">
        <v>0</v>
      </c>
      <c r="Q78" s="18" t="n">
        <v>1.01912053</v>
      </c>
      <c r="R78" s="20" t="n">
        <v>0.37347383</v>
      </c>
    </row>
    <row r="79" spans="1:18">
      <c r="A79" s="15" t="s">
        <v>503</v>
      </c>
      <c r="B79" s="17" t="n">
        <v>6062</v>
      </c>
      <c r="C79" s="18">
        <f>(5321.0/B79*100)</f>
        <v/>
      </c>
      <c r="D79" s="19" t="n">
        <v>741</v>
      </c>
      <c r="E79" s="18" t="n">
        <v>80.93397014999999</v>
      </c>
      <c r="F79" s="20" t="n">
        <v>1.35359018</v>
      </c>
      <c r="G79" s="18" t="n">
        <v>16.10753293</v>
      </c>
      <c r="H79" s="20" t="n">
        <v>1.39761972</v>
      </c>
      <c r="I79" s="18" t="n">
        <v>0</v>
      </c>
      <c r="J79" s="20" t="n">
        <v>0</v>
      </c>
      <c r="K79" s="18" t="n">
        <v>0.81574786</v>
      </c>
      <c r="L79" s="20" t="n">
        <v>0.35651287</v>
      </c>
      <c r="M79" s="18" t="n">
        <v>0</v>
      </c>
      <c r="N79" s="20" t="n">
        <v>0</v>
      </c>
      <c r="O79" s="18" t="n">
        <v>0</v>
      </c>
      <c r="P79" s="20" t="n">
        <v>0</v>
      </c>
      <c r="Q79" s="18" t="n">
        <v>2.14274906</v>
      </c>
      <c r="R79" s="20" t="n">
        <v>0.56421644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(28378.0/B82*100)</f>
        <v/>
      </c>
      <c r="D82" s="19" t="n">
        <v>3952</v>
      </c>
      <c r="E82" s="18" t="n">
        <v>77.37601209</v>
      </c>
      <c r="F82" s="20" t="n">
        <v>1.0063097</v>
      </c>
      <c r="G82" s="18" t="n">
        <v>21.93715626</v>
      </c>
      <c r="H82" s="20" t="n">
        <v>0.98402749</v>
      </c>
      <c r="I82" s="18" t="n">
        <v>0</v>
      </c>
      <c r="J82" s="20" t="n">
        <v>0</v>
      </c>
      <c r="K82" s="18" t="n">
        <v>0.17151644</v>
      </c>
      <c r="L82" s="20" t="n">
        <v>0.09315415000000001</v>
      </c>
      <c r="M82" s="18" t="n">
        <v>0</v>
      </c>
      <c r="N82" s="20" t="n">
        <v>0</v>
      </c>
      <c r="O82" s="18" t="n">
        <v>0</v>
      </c>
      <c r="P82" s="20" t="n">
        <v>0</v>
      </c>
      <c r="Q82" s="18" t="n">
        <v>0.51531521</v>
      </c>
      <c r="R82" s="20" t="n">
        <v>0.15806798</v>
      </c>
    </row>
    <row r="83" spans="1:18">
      <c r="A83" s="15" t="s">
        <v>507</v>
      </c>
      <c r="B83" s="17" t="n">
        <v>1652</v>
      </c>
      <c r="C83" s="18">
        <f>(1456.0/B83*100)</f>
        <v/>
      </c>
      <c r="D83" s="19" t="n">
        <v>196</v>
      </c>
      <c r="E83" s="18" t="n">
        <v>60.17194892</v>
      </c>
      <c r="F83" s="20" t="n">
        <v>4.42024039</v>
      </c>
      <c r="G83" s="18" t="n">
        <v>39.82805108</v>
      </c>
      <c r="H83" s="20" t="n">
        <v>4.42024039</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(1655.0/B84*100)</f>
        <v/>
      </c>
      <c r="D84" s="19" t="n">
        <v>232</v>
      </c>
      <c r="E84" s="18" t="n">
        <v>68.05191408</v>
      </c>
      <c r="F84" s="20" t="n">
        <v>2.92335095</v>
      </c>
      <c r="G84" s="18" t="n">
        <v>31.94808592</v>
      </c>
      <c r="H84" s="20" t="n">
        <v>2.92335095</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(12768.0/B7*100)</f>
        <v/>
      </c>
      <c r="D7" s="19" t="n">
        <v>1762</v>
      </c>
      <c r="E7" s="18" t="n">
        <v>36.08673683</v>
      </c>
      <c r="F7" s="20" t="n">
        <v>1.41413152</v>
      </c>
      <c r="G7" s="18" t="n">
        <v>52.65233156</v>
      </c>
      <c r="H7" s="20" t="n">
        <v>1.52339855</v>
      </c>
      <c r="I7" s="18" t="n">
        <v>0</v>
      </c>
      <c r="J7" s="20" t="n">
        <v>0</v>
      </c>
      <c r="K7" s="18" t="n">
        <v>0.22533505</v>
      </c>
      <c r="L7" s="20" t="n">
        <v>0.1382202</v>
      </c>
      <c r="M7" s="18" t="n">
        <v>0</v>
      </c>
      <c r="N7" s="20" t="n">
        <v>0</v>
      </c>
      <c r="O7" s="18" t="n">
        <v>0</v>
      </c>
      <c r="P7" s="20" t="n">
        <v>0</v>
      </c>
      <c r="Q7" s="18" t="n">
        <v>11.03559655</v>
      </c>
      <c r="R7" s="20" t="n">
        <v>0.87366753</v>
      </c>
    </row>
    <row r="8" spans="1:18">
      <c r="A8" s="15" t="s">
        <v>430</v>
      </c>
      <c r="B8" s="17" t="n">
        <v>7007</v>
      </c>
      <c r="C8" s="18">
        <f>(6124.0/B8*100)</f>
        <v/>
      </c>
      <c r="D8" s="19" t="n">
        <v>883</v>
      </c>
      <c r="E8" s="18" t="n">
        <v>35.31029795</v>
      </c>
      <c r="F8" s="20" t="n">
        <v>1.99766194</v>
      </c>
      <c r="G8" s="18" t="n">
        <v>50.55843925</v>
      </c>
      <c r="H8" s="20" t="n">
        <v>2.07890961</v>
      </c>
      <c r="I8" s="18" t="n">
        <v>0</v>
      </c>
      <c r="J8" s="20" t="n">
        <v>0</v>
      </c>
      <c r="K8" s="18" t="n">
        <v>0.24514889</v>
      </c>
      <c r="L8" s="20" t="n">
        <v>0.1754421</v>
      </c>
      <c r="M8" s="18" t="n">
        <v>0</v>
      </c>
      <c r="N8" s="20" t="n">
        <v>0</v>
      </c>
      <c r="O8" s="18" t="n">
        <v>0</v>
      </c>
      <c r="P8" s="20" t="n">
        <v>0</v>
      </c>
      <c r="Q8" s="18" t="n">
        <v>13.88611391</v>
      </c>
      <c r="R8" s="20" t="n">
        <v>1.38405973</v>
      </c>
    </row>
    <row r="9" spans="1:18">
      <c r="A9" s="15" t="s">
        <v>431</v>
      </c>
      <c r="B9" s="17" t="n">
        <v>9651</v>
      </c>
      <c r="C9" s="18">
        <f>(8502.0/B9*100)</f>
        <v/>
      </c>
      <c r="D9" s="19" t="n">
        <v>1149</v>
      </c>
      <c r="E9" s="18" t="n">
        <v>33.71220289</v>
      </c>
      <c r="F9" s="20" t="n">
        <v>1.45596675</v>
      </c>
      <c r="G9" s="18" t="n">
        <v>54.80351449</v>
      </c>
      <c r="H9" s="20" t="n">
        <v>1.37550534</v>
      </c>
      <c r="I9" s="18" t="n">
        <v>0</v>
      </c>
      <c r="J9" s="20" t="n">
        <v>0</v>
      </c>
      <c r="K9" s="18" t="n">
        <v>0.48355199</v>
      </c>
      <c r="L9" s="20" t="n">
        <v>0.21377366</v>
      </c>
      <c r="M9" s="18" t="n">
        <v>0</v>
      </c>
      <c r="N9" s="20" t="n">
        <v>0</v>
      </c>
      <c r="O9" s="18" t="n">
        <v>0</v>
      </c>
      <c r="P9" s="20" t="n">
        <v>0</v>
      </c>
      <c r="Q9" s="18" t="n">
        <v>11.00073063</v>
      </c>
      <c r="R9" s="20" t="n">
        <v>0.91013091</v>
      </c>
    </row>
    <row r="10" spans="1:18">
      <c r="A10" s="15" t="s">
        <v>432</v>
      </c>
      <c r="B10" s="17" t="n">
        <v>20058</v>
      </c>
      <c r="C10" s="18">
        <f>(17529.0/B10*100)</f>
        <v/>
      </c>
      <c r="D10" s="19" t="n">
        <v>2529</v>
      </c>
      <c r="E10" s="18" t="n">
        <v>31.45670818</v>
      </c>
      <c r="F10" s="20" t="n">
        <v>1.37543136</v>
      </c>
      <c r="G10" s="18" t="n">
        <v>61.89158088</v>
      </c>
      <c r="H10" s="20" t="n">
        <v>1.51575406</v>
      </c>
      <c r="I10" s="18" t="n">
        <v>0</v>
      </c>
      <c r="J10" s="20" t="n">
        <v>0</v>
      </c>
      <c r="K10" s="18" t="n">
        <v>0.12393329</v>
      </c>
      <c r="L10" s="20" t="n">
        <v>0.08909805</v>
      </c>
      <c r="M10" s="18" t="n">
        <v>0</v>
      </c>
      <c r="N10" s="20" t="n">
        <v>0</v>
      </c>
      <c r="O10" s="18" t="n">
        <v>0</v>
      </c>
      <c r="P10" s="20" t="n">
        <v>0</v>
      </c>
      <c r="Q10" s="18" t="n">
        <v>6.52777765</v>
      </c>
      <c r="R10" s="20" t="n">
        <v>0.78398527</v>
      </c>
    </row>
    <row r="11" spans="1:18">
      <c r="A11" s="15" t="s">
        <v>433</v>
      </c>
      <c r="B11" s="17" t="n">
        <v>7053</v>
      </c>
      <c r="C11" s="18">
        <f>(6220.0/B11*100)</f>
        <v/>
      </c>
      <c r="D11" s="19" t="n">
        <v>833</v>
      </c>
      <c r="E11" s="18" t="n">
        <v>44.93380418</v>
      </c>
      <c r="F11" s="20" t="n">
        <v>1.91059808</v>
      </c>
      <c r="G11" s="18" t="n">
        <v>34.8813536</v>
      </c>
      <c r="H11" s="20" t="n">
        <v>1.97782364</v>
      </c>
      <c r="I11" s="18" t="n">
        <v>0</v>
      </c>
      <c r="J11" s="20" t="n">
        <v>0</v>
      </c>
      <c r="K11" s="18" t="n">
        <v>0.73158712</v>
      </c>
      <c r="L11" s="20" t="n">
        <v>0.4259547</v>
      </c>
      <c r="M11" s="18" t="n">
        <v>0</v>
      </c>
      <c r="N11" s="20" t="n">
        <v>0</v>
      </c>
      <c r="O11" s="18" t="n">
        <v>0</v>
      </c>
      <c r="P11" s="20" t="n">
        <v>0</v>
      </c>
      <c r="Q11" s="18" t="n">
        <v>19.45325509</v>
      </c>
      <c r="R11" s="20" t="n">
        <v>1.55466894</v>
      </c>
    </row>
    <row r="12" spans="1:18">
      <c r="A12" s="15" t="s">
        <v>434</v>
      </c>
      <c r="B12" s="17" t="n">
        <v>6894</v>
      </c>
      <c r="C12" s="18">
        <f>(6055.0/B12*100)</f>
        <v/>
      </c>
      <c r="D12" s="19" t="n">
        <v>839</v>
      </c>
      <c r="E12" s="18" t="n">
        <v>32.82923743</v>
      </c>
      <c r="F12" s="20" t="n">
        <v>1.48768217</v>
      </c>
      <c r="G12" s="18" t="n">
        <v>52.45956565</v>
      </c>
      <c r="H12" s="20" t="n">
        <v>2.04879539</v>
      </c>
      <c r="I12" s="18" t="n">
        <v>0</v>
      </c>
      <c r="J12" s="20" t="n">
        <v>0</v>
      </c>
      <c r="K12" s="18" t="n">
        <v>0.10829153</v>
      </c>
      <c r="L12" s="20" t="n">
        <v>0.10608231</v>
      </c>
      <c r="M12" s="18" t="n">
        <v>0</v>
      </c>
      <c r="N12" s="20" t="n">
        <v>0</v>
      </c>
      <c r="O12" s="18" t="n">
        <v>0</v>
      </c>
      <c r="P12" s="20" t="n">
        <v>0</v>
      </c>
      <c r="Q12" s="18" t="n">
        <v>14.60290539</v>
      </c>
      <c r="R12" s="20" t="n">
        <v>1.39195612</v>
      </c>
    </row>
    <row r="13" spans="1:18">
      <c r="A13" s="15" t="s">
        <v>435</v>
      </c>
      <c r="B13" s="17" t="n">
        <v>7161</v>
      </c>
      <c r="C13" s="18">
        <f>(6315.0/B13*100)</f>
        <v/>
      </c>
      <c r="D13" s="19" t="n">
        <v>846</v>
      </c>
      <c r="E13" s="18" t="n">
        <v>35.42100436</v>
      </c>
      <c r="F13" s="20" t="n">
        <v>2.01105564</v>
      </c>
      <c r="G13" s="18" t="n">
        <v>53.6097119</v>
      </c>
      <c r="H13" s="20" t="n">
        <v>1.95624409</v>
      </c>
      <c r="I13" s="18" t="n">
        <v>0</v>
      </c>
      <c r="J13" s="20" t="n">
        <v>0</v>
      </c>
      <c r="K13" s="18" t="n">
        <v>0.54273584</v>
      </c>
      <c r="L13" s="20" t="n">
        <v>0.27165201</v>
      </c>
      <c r="M13" s="18" t="n">
        <v>0.01456083</v>
      </c>
      <c r="N13" s="20" t="n">
        <v>0.01031873</v>
      </c>
      <c r="O13" s="18" t="n">
        <v>0</v>
      </c>
      <c r="P13" s="20" t="n">
        <v>0</v>
      </c>
      <c r="Q13" s="18" t="n">
        <v>10.41198707</v>
      </c>
      <c r="R13" s="20" t="n">
        <v>1.18725849</v>
      </c>
    </row>
    <row r="14" spans="1:18">
      <c r="A14" s="15" t="s">
        <v>436</v>
      </c>
      <c r="B14" s="17" t="n">
        <v>5587</v>
      </c>
      <c r="C14" s="18">
        <f>(4924.0/B14*100)</f>
        <v/>
      </c>
      <c r="D14" s="19" t="n">
        <v>663</v>
      </c>
      <c r="E14" s="18" t="n">
        <v>37.98823666</v>
      </c>
      <c r="F14" s="20" t="n">
        <v>2.2359691</v>
      </c>
      <c r="G14" s="18" t="n">
        <v>55.80625968</v>
      </c>
      <c r="H14" s="20" t="n">
        <v>2.30759569</v>
      </c>
      <c r="I14" s="18" t="n">
        <v>0</v>
      </c>
      <c r="J14" s="20" t="n">
        <v>0</v>
      </c>
      <c r="K14" s="18" t="n">
        <v>0</v>
      </c>
      <c r="L14" s="20" t="n">
        <v>0</v>
      </c>
      <c r="M14" s="18" t="n">
        <v>0</v>
      </c>
      <c r="N14" s="20" t="n">
        <v>0</v>
      </c>
      <c r="O14" s="18" t="n">
        <v>0</v>
      </c>
      <c r="P14" s="20" t="n">
        <v>0</v>
      </c>
      <c r="Q14" s="18" t="n">
        <v>6.20550365</v>
      </c>
      <c r="R14" s="20" t="n">
        <v>1.10853187</v>
      </c>
    </row>
    <row r="15" spans="1:18">
      <c r="A15" s="15" t="s">
        <v>437</v>
      </c>
      <c r="B15" s="17" t="n">
        <v>5882</v>
      </c>
      <c r="C15" s="18">
        <f>(5152.0/B15*100)</f>
        <v/>
      </c>
      <c r="D15" s="19" t="n">
        <v>730</v>
      </c>
      <c r="E15" s="18" t="n">
        <v>31.64891682</v>
      </c>
      <c r="F15" s="20" t="n">
        <v>1.84049916</v>
      </c>
      <c r="G15" s="18" t="n">
        <v>59.46560443</v>
      </c>
      <c r="H15" s="20" t="n">
        <v>1.99403513</v>
      </c>
      <c r="I15" s="18" t="n">
        <v>0</v>
      </c>
      <c r="J15" s="20" t="n">
        <v>0</v>
      </c>
      <c r="K15" s="18" t="n">
        <v>0.1106808</v>
      </c>
      <c r="L15" s="20" t="n">
        <v>0.11087054</v>
      </c>
      <c r="M15" s="18" t="n">
        <v>0</v>
      </c>
      <c r="N15" s="20" t="n">
        <v>0</v>
      </c>
      <c r="O15" s="18" t="n">
        <v>0</v>
      </c>
      <c r="P15" s="20" t="n">
        <v>0</v>
      </c>
      <c r="Q15" s="18" t="n">
        <v>8.77479795</v>
      </c>
      <c r="R15" s="20" t="n">
        <v>1.05917768</v>
      </c>
    </row>
    <row r="16" spans="1:18">
      <c r="A16" s="15" t="s">
        <v>438</v>
      </c>
      <c r="B16" s="17" t="n">
        <v>6108</v>
      </c>
      <c r="C16" s="18">
        <f>(5372.0/B16*100)</f>
        <v/>
      </c>
      <c r="D16" s="19" t="n">
        <v>736</v>
      </c>
      <c r="E16" s="18" t="n">
        <v>29.2878571</v>
      </c>
      <c r="F16" s="20" t="n">
        <v>1.75751046</v>
      </c>
      <c r="G16" s="18" t="n">
        <v>55.51627499</v>
      </c>
      <c r="H16" s="20" t="n">
        <v>1.97160343</v>
      </c>
      <c r="I16" s="18" t="n">
        <v>0</v>
      </c>
      <c r="J16" s="20" t="n">
        <v>0</v>
      </c>
      <c r="K16" s="18" t="n">
        <v>1.63946653</v>
      </c>
      <c r="L16" s="20" t="n">
        <v>0.48440796</v>
      </c>
      <c r="M16" s="18" t="n">
        <v>0</v>
      </c>
      <c r="N16" s="20" t="n">
        <v>0</v>
      </c>
      <c r="O16" s="18" t="n">
        <v>0</v>
      </c>
      <c r="P16" s="20" t="n">
        <v>0</v>
      </c>
      <c r="Q16" s="18" t="n">
        <v>13.55640138</v>
      </c>
      <c r="R16" s="20" t="n">
        <v>1.58182768</v>
      </c>
    </row>
    <row r="17" spans="1:18">
      <c r="A17" s="15" t="s">
        <v>439</v>
      </c>
      <c r="B17" s="17" t="n">
        <v>6504</v>
      </c>
      <c r="C17" s="18">
        <f>(5740.0/B17*100)</f>
        <v/>
      </c>
      <c r="D17" s="19" t="n">
        <v>764</v>
      </c>
      <c r="E17" s="18" t="n">
        <v>32.1664017</v>
      </c>
      <c r="F17" s="20" t="n">
        <v>1.37630865</v>
      </c>
      <c r="G17" s="18" t="n">
        <v>55.24040129</v>
      </c>
      <c r="H17" s="20" t="n">
        <v>1.70793801</v>
      </c>
      <c r="I17" s="18" t="n">
        <v>0</v>
      </c>
      <c r="J17" s="20" t="n">
        <v>0</v>
      </c>
      <c r="K17" s="18" t="n">
        <v>0.21531889</v>
      </c>
      <c r="L17" s="20" t="n">
        <v>0.16448013</v>
      </c>
      <c r="M17" s="18" t="n">
        <v>0</v>
      </c>
      <c r="N17" s="20" t="n">
        <v>0</v>
      </c>
      <c r="O17" s="18" t="n">
        <v>0</v>
      </c>
      <c r="P17" s="20" t="n">
        <v>0</v>
      </c>
      <c r="Q17" s="18" t="n">
        <v>12.37787813</v>
      </c>
      <c r="R17" s="20" t="n">
        <v>1.2580362</v>
      </c>
    </row>
    <row r="18" spans="1:18">
      <c r="A18" s="15" t="s">
        <v>440</v>
      </c>
      <c r="B18" s="17" t="n">
        <v>5532</v>
      </c>
      <c r="C18" s="18">
        <f>(4841.0/B18*100)</f>
        <v/>
      </c>
      <c r="D18" s="19" t="n">
        <v>691</v>
      </c>
      <c r="E18" s="18" t="n">
        <v>29.94526936</v>
      </c>
      <c r="F18" s="20" t="n">
        <v>2.38806739</v>
      </c>
      <c r="G18" s="18" t="n">
        <v>54.27864806</v>
      </c>
      <c r="H18" s="20" t="n">
        <v>2.664657</v>
      </c>
      <c r="I18" s="18" t="n">
        <v>0</v>
      </c>
      <c r="J18" s="20" t="n">
        <v>0</v>
      </c>
      <c r="K18" s="18" t="n">
        <v>0.44844175</v>
      </c>
      <c r="L18" s="20" t="n">
        <v>0.33028624</v>
      </c>
      <c r="M18" s="18" t="n">
        <v>0</v>
      </c>
      <c r="N18" s="20" t="n">
        <v>0</v>
      </c>
      <c r="O18" s="18" t="n">
        <v>0</v>
      </c>
      <c r="P18" s="20" t="n">
        <v>0</v>
      </c>
      <c r="Q18" s="18" t="n">
        <v>15.32764083</v>
      </c>
      <c r="R18" s="20" t="n">
        <v>1.90864978</v>
      </c>
    </row>
    <row r="19" spans="1:18">
      <c r="A19" s="15" t="s">
        <v>441</v>
      </c>
      <c r="B19" s="17" t="n">
        <v>5658</v>
      </c>
      <c r="C19" s="18">
        <f>(4967.0/B19*100)</f>
        <v/>
      </c>
      <c r="D19" s="19" t="n">
        <v>691</v>
      </c>
      <c r="E19" s="18" t="n">
        <v>47.2285529</v>
      </c>
      <c r="F19" s="20" t="n">
        <v>1.84400402</v>
      </c>
      <c r="G19" s="18" t="n">
        <v>34.05301432</v>
      </c>
      <c r="H19" s="20" t="n">
        <v>1.9448448</v>
      </c>
      <c r="I19" s="18" t="n">
        <v>0</v>
      </c>
      <c r="J19" s="20" t="n">
        <v>0</v>
      </c>
      <c r="K19" s="18" t="n">
        <v>0.29933932</v>
      </c>
      <c r="L19" s="20" t="n">
        <v>0.32757298</v>
      </c>
      <c r="M19" s="18" t="n">
        <v>0</v>
      </c>
      <c r="N19" s="20" t="n">
        <v>0</v>
      </c>
      <c r="O19" s="18" t="n">
        <v>0</v>
      </c>
      <c r="P19" s="20" t="n">
        <v>0</v>
      </c>
      <c r="Q19" s="18" t="n">
        <v>18.41909346</v>
      </c>
      <c r="R19" s="20" t="n">
        <v>1.64369132</v>
      </c>
    </row>
    <row r="20" spans="1:18">
      <c r="A20" s="15" t="s">
        <v>442</v>
      </c>
      <c r="B20" s="17" t="n">
        <v>3371</v>
      </c>
      <c r="C20" s="18">
        <f>(2963.0/B20*100)</f>
        <v/>
      </c>
      <c r="D20" s="19" t="n">
        <v>408</v>
      </c>
      <c r="E20" s="18" t="n">
        <v>42.91624109</v>
      </c>
      <c r="F20" s="20" t="n">
        <v>2.36938517</v>
      </c>
      <c r="G20" s="18" t="n">
        <v>46.32616628</v>
      </c>
      <c r="H20" s="20" t="n">
        <v>2.45439966</v>
      </c>
      <c r="I20" s="18" t="n">
        <v>0</v>
      </c>
      <c r="J20" s="20" t="n">
        <v>0</v>
      </c>
      <c r="K20" s="18" t="n">
        <v>0.61616072</v>
      </c>
      <c r="L20" s="20" t="n">
        <v>0.44892804</v>
      </c>
      <c r="M20" s="18" t="n">
        <v>0</v>
      </c>
      <c r="N20" s="20" t="n">
        <v>0</v>
      </c>
      <c r="O20" s="18" t="n">
        <v>0</v>
      </c>
      <c r="P20" s="20" t="n">
        <v>0</v>
      </c>
      <c r="Q20" s="18" t="n">
        <v>10.14143191</v>
      </c>
      <c r="R20" s="20" t="n">
        <v>1.39372463</v>
      </c>
    </row>
    <row r="21" spans="1:18">
      <c r="A21" s="15" t="s">
        <v>443</v>
      </c>
      <c r="B21" s="17" t="n">
        <v>5741</v>
      </c>
      <c r="C21" s="18">
        <f>(4790.0/B21*100)</f>
        <v/>
      </c>
      <c r="D21" s="19" t="n">
        <v>951</v>
      </c>
      <c r="E21" s="18" t="n">
        <v>32.00743137</v>
      </c>
      <c r="F21" s="20" t="n">
        <v>1.46041853</v>
      </c>
      <c r="G21" s="18" t="n">
        <v>61.00153317</v>
      </c>
      <c r="H21" s="20" t="n">
        <v>1.56138673</v>
      </c>
      <c r="I21" s="18" t="n">
        <v>0</v>
      </c>
      <c r="J21" s="20" t="n">
        <v>0</v>
      </c>
      <c r="K21" s="18" t="n">
        <v>0.25448972</v>
      </c>
      <c r="L21" s="20" t="n">
        <v>0.14341518</v>
      </c>
      <c r="M21" s="18" t="n">
        <v>0</v>
      </c>
      <c r="N21" s="20" t="n">
        <v>0</v>
      </c>
      <c r="O21" s="18" t="n">
        <v>0</v>
      </c>
      <c r="P21" s="20" t="n">
        <v>0</v>
      </c>
      <c r="Q21" s="18" t="n">
        <v>6.73654575</v>
      </c>
      <c r="R21" s="20" t="n">
        <v>0.74016876</v>
      </c>
    </row>
    <row r="22" spans="1:18">
      <c r="A22" s="15" t="s">
        <v>444</v>
      </c>
      <c r="B22" s="17" t="n">
        <v>6598</v>
      </c>
      <c r="C22" s="18">
        <f>(5844.0/B22*100)</f>
        <v/>
      </c>
      <c r="D22" s="19" t="n">
        <v>754</v>
      </c>
      <c r="E22" s="18" t="n">
        <v>38.90162692</v>
      </c>
      <c r="F22" s="20" t="n">
        <v>2.04153971</v>
      </c>
      <c r="G22" s="18" t="n">
        <v>46.05216341</v>
      </c>
      <c r="H22" s="20" t="n">
        <v>2.06350222</v>
      </c>
      <c r="I22" s="18" t="n">
        <v>0</v>
      </c>
      <c r="J22" s="20" t="n">
        <v>0</v>
      </c>
      <c r="K22" s="18" t="n">
        <v>1.17155989</v>
      </c>
      <c r="L22" s="20" t="n">
        <v>0.39095573</v>
      </c>
      <c r="M22" s="18" t="n">
        <v>0</v>
      </c>
      <c r="N22" s="20" t="n">
        <v>0</v>
      </c>
      <c r="O22" s="18" t="n">
        <v>0</v>
      </c>
      <c r="P22" s="20" t="n">
        <v>0</v>
      </c>
      <c r="Q22" s="18" t="n">
        <v>13.87464978</v>
      </c>
      <c r="R22" s="20" t="n">
        <v>1.50470896</v>
      </c>
    </row>
    <row r="23" spans="1:18">
      <c r="A23" s="15" t="s">
        <v>445</v>
      </c>
      <c r="B23" s="17" t="n">
        <v>11583</v>
      </c>
      <c r="C23" s="18">
        <f>(10167.0/B23*100)</f>
        <v/>
      </c>
      <c r="D23" s="19" t="n">
        <v>1416</v>
      </c>
      <c r="E23" s="18" t="n">
        <v>34.79106269</v>
      </c>
      <c r="F23" s="20" t="n">
        <v>1.71073361</v>
      </c>
      <c r="G23" s="18" t="n">
        <v>51.43729196</v>
      </c>
      <c r="H23" s="20" t="n">
        <v>1.97799094</v>
      </c>
      <c r="I23" s="18" t="n">
        <v>0</v>
      </c>
      <c r="J23" s="20" t="n">
        <v>0</v>
      </c>
      <c r="K23" s="18" t="n">
        <v>0.3386991</v>
      </c>
      <c r="L23" s="20" t="n">
        <v>0.25471491</v>
      </c>
      <c r="M23" s="18" t="n">
        <v>0</v>
      </c>
      <c r="N23" s="20" t="n">
        <v>0</v>
      </c>
      <c r="O23" s="18" t="n">
        <v>0</v>
      </c>
      <c r="P23" s="20" t="n">
        <v>0</v>
      </c>
      <c r="Q23" s="18" t="n">
        <v>13.43294626</v>
      </c>
      <c r="R23" s="20" t="n">
        <v>1.49101247</v>
      </c>
    </row>
    <row r="24" spans="1:18">
      <c r="A24" s="15" t="s">
        <v>446</v>
      </c>
      <c r="B24" s="17" t="n">
        <v>6647</v>
      </c>
      <c r="C24" s="18">
        <f>(5848.0/B24*100)</f>
        <v/>
      </c>
      <c r="D24" s="19" t="n">
        <v>799</v>
      </c>
      <c r="E24" s="18" t="n">
        <v>24.2384546</v>
      </c>
      <c r="F24" s="20" t="n">
        <v>1.35989185</v>
      </c>
      <c r="G24" s="18" t="n">
        <v>56.65424224</v>
      </c>
      <c r="H24" s="20" t="n">
        <v>1.8525734</v>
      </c>
      <c r="I24" s="18" t="n">
        <v>0</v>
      </c>
      <c r="J24" s="20" t="n">
        <v>0</v>
      </c>
      <c r="K24" s="18" t="n">
        <v>0.2703368</v>
      </c>
      <c r="L24" s="20" t="n">
        <v>0.18936915</v>
      </c>
      <c r="M24" s="18" t="n">
        <v>0</v>
      </c>
      <c r="N24" s="20" t="n">
        <v>0</v>
      </c>
      <c r="O24" s="18" t="n">
        <v>0</v>
      </c>
      <c r="P24" s="20" t="n">
        <v>0</v>
      </c>
      <c r="Q24" s="18" t="n">
        <v>18.83696636</v>
      </c>
      <c r="R24" s="20" t="n">
        <v>1.73434963</v>
      </c>
    </row>
    <row r="25" spans="1:18">
      <c r="A25" s="15" t="s">
        <v>447</v>
      </c>
      <c r="B25" s="17" t="n">
        <v>5581</v>
      </c>
      <c r="C25" s="18">
        <f>(4891.0/B25*100)</f>
        <v/>
      </c>
      <c r="D25" s="19" t="n">
        <v>690</v>
      </c>
      <c r="E25" s="18" t="n">
        <v>29.17840296</v>
      </c>
      <c r="F25" s="20" t="n">
        <v>1.8458058</v>
      </c>
      <c r="G25" s="18" t="n">
        <v>54.01797486</v>
      </c>
      <c r="H25" s="20" t="n">
        <v>2.01680644</v>
      </c>
      <c r="I25" s="18" t="n">
        <v>0</v>
      </c>
      <c r="J25" s="20" t="n">
        <v>0</v>
      </c>
      <c r="K25" s="18" t="n">
        <v>0.6962065</v>
      </c>
      <c r="L25" s="20" t="n">
        <v>0.31205394</v>
      </c>
      <c r="M25" s="18" t="n">
        <v>0</v>
      </c>
      <c r="N25" s="20" t="n">
        <v>0</v>
      </c>
      <c r="O25" s="18" t="n">
        <v>0</v>
      </c>
      <c r="P25" s="20" t="n">
        <v>0</v>
      </c>
      <c r="Q25" s="18" t="n">
        <v>16.10741568</v>
      </c>
      <c r="R25" s="20" t="n">
        <v>1.49413527</v>
      </c>
    </row>
    <row r="26" spans="1:18">
      <c r="A26" s="15" t="s">
        <v>448</v>
      </c>
      <c r="B26" s="17" t="n">
        <v>4869</v>
      </c>
      <c r="C26" s="18">
        <f>(4266.0/B26*100)</f>
        <v/>
      </c>
      <c r="D26" s="19" t="n">
        <v>603</v>
      </c>
      <c r="E26" s="18" t="n">
        <v>43.55127344</v>
      </c>
      <c r="F26" s="20" t="n">
        <v>1.94739738</v>
      </c>
      <c r="G26" s="18" t="n">
        <v>48.49498522</v>
      </c>
      <c r="H26" s="20" t="n">
        <v>2.12343723</v>
      </c>
      <c r="I26" s="18" t="n">
        <v>0</v>
      </c>
      <c r="J26" s="20" t="n">
        <v>0</v>
      </c>
      <c r="K26" s="18" t="n">
        <v>0</v>
      </c>
      <c r="L26" s="20" t="n">
        <v>0</v>
      </c>
      <c r="M26" s="18" t="n">
        <v>0</v>
      </c>
      <c r="N26" s="20" t="n">
        <v>0</v>
      </c>
      <c r="O26" s="18" t="n">
        <v>0</v>
      </c>
      <c r="P26" s="20" t="n">
        <v>0</v>
      </c>
      <c r="Q26" s="18" t="n">
        <v>7.95374133</v>
      </c>
      <c r="R26" s="20" t="n">
        <v>1.33152349</v>
      </c>
    </row>
    <row r="27" spans="1:18">
      <c r="A27" s="15" t="s">
        <v>449</v>
      </c>
      <c r="B27" s="17" t="n">
        <v>5299</v>
      </c>
      <c r="C27" s="18">
        <f>(4635.0/B27*100)</f>
        <v/>
      </c>
      <c r="D27" s="19" t="n">
        <v>664</v>
      </c>
      <c r="E27" s="18" t="n">
        <v>40.11866687</v>
      </c>
      <c r="F27" s="20" t="n">
        <v>1.91990437</v>
      </c>
      <c r="G27" s="18" t="n">
        <v>45.29041231</v>
      </c>
      <c r="H27" s="20" t="n">
        <v>1.96841914</v>
      </c>
      <c r="I27" s="18" t="n">
        <v>0</v>
      </c>
      <c r="J27" s="20" t="n">
        <v>0</v>
      </c>
      <c r="K27" s="18" t="n">
        <v>0.30092972</v>
      </c>
      <c r="L27" s="20" t="n">
        <v>0.21115604</v>
      </c>
      <c r="M27" s="18" t="n">
        <v>0</v>
      </c>
      <c r="N27" s="20" t="n">
        <v>0</v>
      </c>
      <c r="O27" s="18" t="n">
        <v>0</v>
      </c>
      <c r="P27" s="20" t="n">
        <v>0</v>
      </c>
      <c r="Q27" s="18" t="n">
        <v>14.2899911</v>
      </c>
      <c r="R27" s="20" t="n">
        <v>1.28043735</v>
      </c>
    </row>
    <row r="28" spans="1:18">
      <c r="A28" s="15" t="s">
        <v>450</v>
      </c>
      <c r="B28" s="17" t="n">
        <v>7568</v>
      </c>
      <c r="C28" s="18">
        <f>(6681.0/B28*100)</f>
        <v/>
      </c>
      <c r="D28" s="19" t="n">
        <v>887</v>
      </c>
      <c r="E28" s="18" t="n">
        <v>68.87536681</v>
      </c>
      <c r="F28" s="20" t="n">
        <v>1.64985096</v>
      </c>
      <c r="G28" s="18" t="n">
        <v>22.27319688</v>
      </c>
      <c r="H28" s="20" t="n">
        <v>1.60773093</v>
      </c>
      <c r="I28" s="18" t="n">
        <v>0</v>
      </c>
      <c r="J28" s="20" t="n">
        <v>0</v>
      </c>
      <c r="K28" s="18" t="n">
        <v>0</v>
      </c>
      <c r="L28" s="20" t="n">
        <v>0</v>
      </c>
      <c r="M28" s="18" t="n">
        <v>0</v>
      </c>
      <c r="N28" s="20" t="n">
        <v>0</v>
      </c>
      <c r="O28" s="18" t="n">
        <v>0</v>
      </c>
      <c r="P28" s="20" t="n">
        <v>0</v>
      </c>
      <c r="Q28" s="18" t="n">
        <v>8.85143631</v>
      </c>
      <c r="R28" s="20" t="n">
        <v>1.1101261</v>
      </c>
    </row>
    <row r="29" spans="1:18">
      <c r="A29" s="15" t="s">
        <v>451</v>
      </c>
      <c r="B29" s="17" t="n">
        <v>5385</v>
      </c>
      <c r="C29" s="18">
        <f>(4753.0/B29*100)</f>
        <v/>
      </c>
      <c r="D29" s="19" t="n">
        <v>632</v>
      </c>
      <c r="E29" s="18" t="n">
        <v>49.77449222</v>
      </c>
      <c r="F29" s="20" t="n">
        <v>2.11579728</v>
      </c>
      <c r="G29" s="18" t="n">
        <v>47.0487779</v>
      </c>
      <c r="H29" s="20" t="n">
        <v>2.07557405</v>
      </c>
      <c r="I29" s="18" t="n">
        <v>0</v>
      </c>
      <c r="J29" s="20" t="n">
        <v>0</v>
      </c>
      <c r="K29" s="18" t="n">
        <v>0</v>
      </c>
      <c r="L29" s="20" t="n">
        <v>0</v>
      </c>
      <c r="M29" s="18" t="n">
        <v>0</v>
      </c>
      <c r="N29" s="20" t="n">
        <v>0</v>
      </c>
      <c r="O29" s="18" t="n">
        <v>0</v>
      </c>
      <c r="P29" s="20" t="n">
        <v>0</v>
      </c>
      <c r="Q29" s="18" t="n">
        <v>3.17672988</v>
      </c>
      <c r="R29" s="20" t="n">
        <v>0.71196065</v>
      </c>
    </row>
    <row r="30" spans="1:18">
      <c r="A30" s="15" t="s">
        <v>452</v>
      </c>
      <c r="B30" s="17" t="n">
        <v>4520</v>
      </c>
      <c r="C30" s="18">
        <f>(3992.0/B30*100)</f>
        <v/>
      </c>
      <c r="D30" s="19" t="n">
        <v>528</v>
      </c>
      <c r="E30" s="18" t="n">
        <v>28.58235262</v>
      </c>
      <c r="F30" s="20" t="n">
        <v>1.86432118</v>
      </c>
      <c r="G30" s="18" t="n">
        <v>55.44647997</v>
      </c>
      <c r="H30" s="20" t="n">
        <v>2.17987205</v>
      </c>
      <c r="I30" s="18" t="n">
        <v>0</v>
      </c>
      <c r="J30" s="20" t="n">
        <v>0</v>
      </c>
      <c r="K30" s="18" t="n">
        <v>0.71125623</v>
      </c>
      <c r="L30" s="20" t="n">
        <v>0.34910164</v>
      </c>
      <c r="M30" s="18" t="n">
        <v>0</v>
      </c>
      <c r="N30" s="20" t="n">
        <v>0</v>
      </c>
      <c r="O30" s="18" t="n">
        <v>0</v>
      </c>
      <c r="P30" s="20" t="n">
        <v>0</v>
      </c>
      <c r="Q30" s="18" t="n">
        <v>15.25991118</v>
      </c>
      <c r="R30" s="20" t="n">
        <v>1.81616198</v>
      </c>
    </row>
    <row r="31" spans="1:18">
      <c r="A31" s="15" t="s">
        <v>453</v>
      </c>
      <c r="B31" s="17" t="n">
        <v>5456</v>
      </c>
      <c r="C31" s="18">
        <f>(4783.0/B31*100)</f>
        <v/>
      </c>
      <c r="D31" s="19" t="n">
        <v>673</v>
      </c>
      <c r="E31" s="18" t="n">
        <v>29.78880187</v>
      </c>
      <c r="F31" s="20" t="n">
        <v>1.84996755</v>
      </c>
      <c r="G31" s="18" t="n">
        <v>56.84567008</v>
      </c>
      <c r="H31" s="20" t="n">
        <v>1.81970791</v>
      </c>
      <c r="I31" s="18" t="n">
        <v>0</v>
      </c>
      <c r="J31" s="20" t="n">
        <v>0</v>
      </c>
      <c r="K31" s="18" t="n">
        <v>1.22510443</v>
      </c>
      <c r="L31" s="20" t="n">
        <v>0.42776779</v>
      </c>
      <c r="M31" s="18" t="n">
        <v>0</v>
      </c>
      <c r="N31" s="20" t="n">
        <v>0</v>
      </c>
      <c r="O31" s="18" t="n">
        <v>0</v>
      </c>
      <c r="P31" s="20" t="n">
        <v>0</v>
      </c>
      <c r="Q31" s="18" t="n">
        <v>12.14042361</v>
      </c>
      <c r="R31" s="20" t="n">
        <v>1.34808338</v>
      </c>
    </row>
    <row r="32" spans="1:18">
      <c r="A32" s="15" t="s">
        <v>454</v>
      </c>
      <c r="B32" s="17" t="n">
        <v>4478</v>
      </c>
      <c r="C32" s="18">
        <f>(3721.0/B32*100)</f>
        <v/>
      </c>
      <c r="D32" s="19" t="n">
        <v>757</v>
      </c>
      <c r="E32" s="18" t="n">
        <v>35.40533054</v>
      </c>
      <c r="F32" s="20" t="n">
        <v>1.86928178</v>
      </c>
      <c r="G32" s="18" t="n">
        <v>52.76131863</v>
      </c>
      <c r="H32" s="20" t="n">
        <v>2.01533572</v>
      </c>
      <c r="I32" s="18" t="n">
        <v>0</v>
      </c>
      <c r="J32" s="20" t="n">
        <v>0</v>
      </c>
      <c r="K32" s="18" t="n">
        <v>0.24444959</v>
      </c>
      <c r="L32" s="20" t="n">
        <v>0.0113791</v>
      </c>
      <c r="M32" s="18" t="n">
        <v>0</v>
      </c>
      <c r="N32" s="20" t="n">
        <v>0</v>
      </c>
      <c r="O32" s="18" t="n">
        <v>0</v>
      </c>
      <c r="P32" s="20" t="n">
        <v>0</v>
      </c>
      <c r="Q32" s="18" t="n">
        <v>11.58890124</v>
      </c>
      <c r="R32" s="20" t="n">
        <v>1.31029602</v>
      </c>
    </row>
    <row r="33" spans="1:18">
      <c r="A33" s="15" t="s">
        <v>455</v>
      </c>
      <c r="B33" s="17" t="n">
        <v>7325</v>
      </c>
      <c r="C33" s="18">
        <f>(6438.0/B33*100)</f>
        <v/>
      </c>
      <c r="D33" s="19" t="n">
        <v>887</v>
      </c>
      <c r="E33" s="18" t="n">
        <v>41.63812194</v>
      </c>
      <c r="F33" s="20" t="n">
        <v>1.97056866</v>
      </c>
      <c r="G33" s="18" t="n">
        <v>49.74081242</v>
      </c>
      <c r="H33" s="20" t="n">
        <v>2.11681371</v>
      </c>
      <c r="I33" s="18" t="n">
        <v>0</v>
      </c>
      <c r="J33" s="20" t="n">
        <v>0</v>
      </c>
      <c r="K33" s="18" t="n">
        <v>0.01592369</v>
      </c>
      <c r="L33" s="20" t="n">
        <v>0.01691401</v>
      </c>
      <c r="M33" s="18" t="n">
        <v>0</v>
      </c>
      <c r="N33" s="20" t="n">
        <v>0</v>
      </c>
      <c r="O33" s="18" t="n">
        <v>0</v>
      </c>
      <c r="P33" s="20" t="n">
        <v>0</v>
      </c>
      <c r="Q33" s="18" t="n">
        <v>8.60514195</v>
      </c>
      <c r="R33" s="20" t="n">
        <v>1.18137132</v>
      </c>
    </row>
    <row r="34" spans="1:18">
      <c r="A34" s="15" t="s">
        <v>456</v>
      </c>
      <c r="B34" s="17" t="n">
        <v>6350</v>
      </c>
      <c r="C34" s="18">
        <f>(5625.0/B34*100)</f>
        <v/>
      </c>
      <c r="D34" s="19" t="n">
        <v>725</v>
      </c>
      <c r="E34" s="18" t="n">
        <v>51.57918305</v>
      </c>
      <c r="F34" s="20" t="n">
        <v>1.91755168</v>
      </c>
      <c r="G34" s="18" t="n">
        <v>31.87866032</v>
      </c>
      <c r="H34" s="20" t="n">
        <v>1.87894961</v>
      </c>
      <c r="I34" s="18" t="n">
        <v>0</v>
      </c>
      <c r="J34" s="20" t="n">
        <v>0</v>
      </c>
      <c r="K34" s="18" t="n">
        <v>0.17072666</v>
      </c>
      <c r="L34" s="20" t="n">
        <v>0.12729436</v>
      </c>
      <c r="M34" s="18" t="n">
        <v>0</v>
      </c>
      <c r="N34" s="20" t="n">
        <v>0</v>
      </c>
      <c r="O34" s="18" t="n">
        <v>0</v>
      </c>
      <c r="P34" s="20" t="n">
        <v>0</v>
      </c>
      <c r="Q34" s="18" t="n">
        <v>16.37142997</v>
      </c>
      <c r="R34" s="20" t="n">
        <v>1.53075302</v>
      </c>
    </row>
    <row r="35" spans="1:18">
      <c r="A35" s="15" t="s">
        <v>457</v>
      </c>
      <c r="B35" s="17" t="n">
        <v>6406</v>
      </c>
      <c r="C35" s="18">
        <f>(5648.0/B35*100)</f>
        <v/>
      </c>
      <c r="D35" s="19" t="n">
        <v>758</v>
      </c>
      <c r="E35" s="18" t="n">
        <v>37.38346723</v>
      </c>
      <c r="F35" s="20" t="n">
        <v>2.34965261</v>
      </c>
      <c r="G35" s="18" t="n">
        <v>52.82325313</v>
      </c>
      <c r="H35" s="20" t="n">
        <v>2.52531164</v>
      </c>
      <c r="I35" s="18" t="n">
        <v>0</v>
      </c>
      <c r="J35" s="20" t="n">
        <v>0</v>
      </c>
      <c r="K35" s="18" t="n">
        <v>0.48533385</v>
      </c>
      <c r="L35" s="20" t="n">
        <v>0.17495322</v>
      </c>
      <c r="M35" s="18" t="n">
        <v>0</v>
      </c>
      <c r="N35" s="20" t="n">
        <v>0</v>
      </c>
      <c r="O35" s="18" t="n">
        <v>0</v>
      </c>
      <c r="P35" s="20" t="n">
        <v>0</v>
      </c>
      <c r="Q35" s="18" t="n">
        <v>9.307945780000001</v>
      </c>
      <c r="R35" s="20" t="n">
        <v>1.12769848</v>
      </c>
    </row>
    <row r="36" spans="1:18">
      <c r="A36" s="15" t="s">
        <v>458</v>
      </c>
      <c r="B36" s="17" t="n">
        <v>6736</v>
      </c>
      <c r="C36" s="18">
        <f>(5926.0/B36*100)</f>
        <v/>
      </c>
      <c r="D36" s="19" t="n">
        <v>810</v>
      </c>
      <c r="E36" s="18" t="n">
        <v>43.27637934</v>
      </c>
      <c r="F36" s="20" t="n">
        <v>2.13991027</v>
      </c>
      <c r="G36" s="18" t="n">
        <v>42.80583884</v>
      </c>
      <c r="H36" s="20" t="n">
        <v>2.13227736</v>
      </c>
      <c r="I36" s="18" t="n">
        <v>0</v>
      </c>
      <c r="J36" s="20" t="n">
        <v>0</v>
      </c>
      <c r="K36" s="18" t="n">
        <v>0.48511223</v>
      </c>
      <c r="L36" s="20" t="n">
        <v>0.20705261</v>
      </c>
      <c r="M36" s="18" t="n">
        <v>0</v>
      </c>
      <c r="N36" s="20" t="n">
        <v>0</v>
      </c>
      <c r="O36" s="18" t="n">
        <v>0</v>
      </c>
      <c r="P36" s="20" t="n">
        <v>0</v>
      </c>
      <c r="Q36" s="18" t="n">
        <v>13.43266959</v>
      </c>
      <c r="R36" s="20" t="n">
        <v>1.37248353</v>
      </c>
    </row>
    <row r="37" spans="1:18">
      <c r="A37" s="15" t="s">
        <v>459</v>
      </c>
      <c r="B37" s="17" t="n">
        <v>5458</v>
      </c>
      <c r="C37" s="18">
        <f>(4782.0/B37*100)</f>
        <v/>
      </c>
      <c r="D37" s="19" t="n">
        <v>676</v>
      </c>
      <c r="E37" s="18" t="n">
        <v>35.00140557</v>
      </c>
      <c r="F37" s="20" t="n">
        <v>1.65201697</v>
      </c>
      <c r="G37" s="18" t="n">
        <v>51.93311838</v>
      </c>
      <c r="H37" s="20" t="n">
        <v>2.04558159</v>
      </c>
      <c r="I37" s="18" t="n">
        <v>0</v>
      </c>
      <c r="J37" s="20" t="n">
        <v>0</v>
      </c>
      <c r="K37" s="18" t="n">
        <v>0.56471952</v>
      </c>
      <c r="L37" s="20" t="n">
        <v>0.2937892</v>
      </c>
      <c r="M37" s="18" t="n">
        <v>0</v>
      </c>
      <c r="N37" s="20" t="n">
        <v>0</v>
      </c>
      <c r="O37" s="18" t="n">
        <v>0</v>
      </c>
      <c r="P37" s="20" t="n">
        <v>0</v>
      </c>
      <c r="Q37" s="18" t="n">
        <v>12.50075653</v>
      </c>
      <c r="R37" s="20" t="n">
        <v>1.47219822</v>
      </c>
    </row>
    <row r="38" spans="1:18">
      <c r="A38" s="15" t="s">
        <v>460</v>
      </c>
      <c r="B38" s="17" t="n">
        <v>5860</v>
      </c>
      <c r="C38" s="18">
        <f>(4870.0/B38*100)</f>
        <v/>
      </c>
      <c r="D38" s="19" t="n">
        <v>990</v>
      </c>
      <c r="E38" s="18" t="n">
        <v>34.93602536</v>
      </c>
      <c r="F38" s="20" t="n">
        <v>1.78609077</v>
      </c>
      <c r="G38" s="18" t="n">
        <v>53.69087727</v>
      </c>
      <c r="H38" s="20" t="n">
        <v>1.79488594</v>
      </c>
      <c r="I38" s="18" t="n">
        <v>0</v>
      </c>
      <c r="J38" s="20" t="n">
        <v>0</v>
      </c>
      <c r="K38" s="18" t="n">
        <v>1.07637116</v>
      </c>
      <c r="L38" s="20" t="n">
        <v>0.41398619</v>
      </c>
      <c r="M38" s="18" t="n">
        <v>0</v>
      </c>
      <c r="N38" s="20" t="n">
        <v>0</v>
      </c>
      <c r="O38" s="18" t="n">
        <v>0</v>
      </c>
      <c r="P38" s="20" t="n">
        <v>0</v>
      </c>
      <c r="Q38" s="18" t="n">
        <v>10.29672621</v>
      </c>
      <c r="R38" s="20" t="n">
        <v>1.12025815</v>
      </c>
    </row>
    <row r="39" spans="1:18">
      <c r="A39" s="15" t="s">
        <v>461</v>
      </c>
      <c r="B39" s="17" t="n">
        <v>5895</v>
      </c>
      <c r="C39" s="18">
        <f>(5162.0/B39*100)</f>
        <v/>
      </c>
      <c r="D39" s="19" t="n">
        <v>733</v>
      </c>
      <c r="E39" s="18" t="n">
        <v>57.32850237</v>
      </c>
      <c r="F39" s="20" t="n">
        <v>2.02588949</v>
      </c>
      <c r="G39" s="18" t="n">
        <v>30.61549326</v>
      </c>
      <c r="H39" s="20" t="n">
        <v>2.13262789</v>
      </c>
      <c r="I39" s="18" t="n">
        <v>0</v>
      </c>
      <c r="J39" s="20" t="n">
        <v>0</v>
      </c>
      <c r="K39" s="18" t="n">
        <v>0.19889279</v>
      </c>
      <c r="L39" s="20" t="n">
        <v>0.14182982</v>
      </c>
      <c r="M39" s="18" t="n">
        <v>0</v>
      </c>
      <c r="N39" s="20" t="n">
        <v>0</v>
      </c>
      <c r="O39" s="18" t="n">
        <v>0</v>
      </c>
      <c r="P39" s="20" t="n">
        <v>0</v>
      </c>
      <c r="Q39" s="18" t="n">
        <v>11.85711158</v>
      </c>
      <c r="R39" s="20" t="n">
        <v>1.25503504</v>
      </c>
    </row>
    <row r="40" spans="1:18">
      <c r="A40" s="15" t="s">
        <v>462</v>
      </c>
      <c r="B40" s="17" t="n">
        <v>14157</v>
      </c>
      <c r="C40" s="18">
        <f>(12444.0/B40*100)</f>
        <v/>
      </c>
      <c r="D40" s="19" t="n">
        <v>1713</v>
      </c>
      <c r="E40" s="18" t="n">
        <v>26.93556827</v>
      </c>
      <c r="F40" s="20" t="n">
        <v>1.7005102</v>
      </c>
      <c r="G40" s="18" t="n">
        <v>57.26697635</v>
      </c>
      <c r="H40" s="20" t="n">
        <v>1.97357755</v>
      </c>
      <c r="I40" s="18" t="n">
        <v>0</v>
      </c>
      <c r="J40" s="20" t="n">
        <v>0</v>
      </c>
      <c r="K40" s="18" t="n">
        <v>0.47469506</v>
      </c>
      <c r="L40" s="20" t="n">
        <v>0.25306831</v>
      </c>
      <c r="M40" s="18" t="n">
        <v>0</v>
      </c>
      <c r="N40" s="20" t="n">
        <v>0</v>
      </c>
      <c r="O40" s="18" t="n">
        <v>0</v>
      </c>
      <c r="P40" s="20" t="n">
        <v>0</v>
      </c>
      <c r="Q40" s="18" t="n">
        <v>15.32276032</v>
      </c>
      <c r="R40" s="20" t="n">
        <v>1.34380858</v>
      </c>
    </row>
    <row r="41" spans="1:18">
      <c r="A41" s="15" t="s">
        <v>463</v>
      </c>
      <c r="B41" s="17" t="n">
        <v>5712</v>
      </c>
      <c r="C41" s="18">
        <f>(5008.0/B41*100)</f>
        <v/>
      </c>
      <c r="D41" s="19" t="n">
        <v>704</v>
      </c>
      <c r="E41" s="18" t="n">
        <v>46.10680029</v>
      </c>
      <c r="F41" s="20" t="n">
        <v>1.96282485</v>
      </c>
      <c r="G41" s="18" t="n">
        <v>49.33899966</v>
      </c>
      <c r="H41" s="20" t="n">
        <v>2.23176783</v>
      </c>
      <c r="I41" s="18" t="n">
        <v>0</v>
      </c>
      <c r="J41" s="20" t="n">
        <v>0</v>
      </c>
      <c r="K41" s="18" t="n">
        <v>0.15051621</v>
      </c>
      <c r="L41" s="20" t="n">
        <v>0.14887503</v>
      </c>
      <c r="M41" s="18" t="n">
        <v>0</v>
      </c>
      <c r="N41" s="20" t="n">
        <v>0</v>
      </c>
      <c r="O41" s="18" t="n">
        <v>0</v>
      </c>
      <c r="P41" s="20" t="n">
        <v>0</v>
      </c>
      <c r="Q41" s="18" t="n">
        <v>4.40368385</v>
      </c>
      <c r="R41" s="20" t="n">
        <v>0.7611420800000001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(20657.0/B46*100)</f>
        <v/>
      </c>
      <c r="D46" s="19" t="n">
        <v>2484</v>
      </c>
      <c r="E46" s="18" t="n">
        <v>43.27689129</v>
      </c>
      <c r="F46" s="20" t="n">
        <v>1.33238754</v>
      </c>
      <c r="G46" s="18" t="n">
        <v>35.11490927</v>
      </c>
      <c r="H46" s="20" t="n">
        <v>1.3978445</v>
      </c>
      <c r="I46" s="18" t="n">
        <v>0</v>
      </c>
      <c r="J46" s="20" t="n">
        <v>0</v>
      </c>
      <c r="K46" s="18" t="n">
        <v>1.34704201</v>
      </c>
      <c r="L46" s="20" t="n">
        <v>0.34400469</v>
      </c>
      <c r="M46" s="18" t="n">
        <v>0</v>
      </c>
      <c r="N46" s="20" t="n">
        <v>0</v>
      </c>
      <c r="O46" s="18" t="n">
        <v>0</v>
      </c>
      <c r="P46" s="20" t="n">
        <v>0</v>
      </c>
      <c r="Q46" s="18" t="n">
        <v>20.26115743</v>
      </c>
      <c r="R46" s="20" t="n">
        <v>1.25087357</v>
      </c>
    </row>
    <row r="47" spans="1:18">
      <c r="A47" s="15" t="s">
        <v>470</v>
      </c>
      <c r="B47" s="17" t="n">
        <v>5928</v>
      </c>
      <c r="C47" s="18">
        <f>(5229.0/B47*100)</f>
        <v/>
      </c>
      <c r="D47" s="19" t="n">
        <v>699</v>
      </c>
      <c r="E47" s="18" t="n">
        <v>54.25594255</v>
      </c>
      <c r="F47" s="20" t="n">
        <v>1.77119967</v>
      </c>
      <c r="G47" s="18" t="n">
        <v>25.29973537</v>
      </c>
      <c r="H47" s="20" t="n">
        <v>1.74577396</v>
      </c>
      <c r="I47" s="18" t="n">
        <v>0</v>
      </c>
      <c r="J47" s="20" t="n">
        <v>0</v>
      </c>
      <c r="K47" s="18" t="n">
        <v>0.26629977</v>
      </c>
      <c r="L47" s="20" t="n">
        <v>0.15985729</v>
      </c>
      <c r="M47" s="18" t="n">
        <v>0</v>
      </c>
      <c r="N47" s="20" t="n">
        <v>0</v>
      </c>
      <c r="O47" s="18" t="n">
        <v>0</v>
      </c>
      <c r="P47" s="20" t="n">
        <v>0</v>
      </c>
      <c r="Q47" s="18" t="n">
        <v>20.17802232</v>
      </c>
      <c r="R47" s="20" t="n">
        <v>1.69038966</v>
      </c>
    </row>
    <row r="48" spans="1:18">
      <c r="A48" s="15" t="s">
        <v>471</v>
      </c>
      <c r="B48" s="17" t="n">
        <v>9841</v>
      </c>
      <c r="C48" s="18">
        <f>(8641.0/B48*100)</f>
        <v/>
      </c>
      <c r="D48" s="19" t="n">
        <v>1200</v>
      </c>
      <c r="E48" s="18" t="n">
        <v>61.10888265</v>
      </c>
      <c r="F48" s="20" t="n">
        <v>1.86426711</v>
      </c>
      <c r="G48" s="18" t="n">
        <v>28.98233587</v>
      </c>
      <c r="H48" s="20" t="n">
        <v>1.8464273</v>
      </c>
      <c r="I48" s="18" t="n">
        <v>0</v>
      </c>
      <c r="J48" s="20" t="n">
        <v>0</v>
      </c>
      <c r="K48" s="18" t="n">
        <v>1.06572652</v>
      </c>
      <c r="L48" s="20" t="n">
        <v>0.49453075</v>
      </c>
      <c r="M48" s="18" t="n">
        <v>0</v>
      </c>
      <c r="N48" s="20" t="n">
        <v>0</v>
      </c>
      <c r="O48" s="18" t="n">
        <v>0</v>
      </c>
      <c r="P48" s="20" t="n">
        <v>0</v>
      </c>
      <c r="Q48" s="18" t="n">
        <v>8.84305496</v>
      </c>
      <c r="R48" s="20" t="n">
        <v>1.22151512</v>
      </c>
    </row>
    <row r="49" spans="1:18">
      <c r="A49" s="15" t="s">
        <v>472</v>
      </c>
      <c r="B49" s="17" t="n">
        <v>11795</v>
      </c>
      <c r="C49" s="18">
        <f>(10368.0/B49*100)</f>
        <v/>
      </c>
      <c r="D49" s="19" t="n">
        <v>1427</v>
      </c>
      <c r="E49" s="18" t="n">
        <v>55.73607315</v>
      </c>
      <c r="F49" s="20" t="n">
        <v>1.65386409</v>
      </c>
      <c r="G49" s="18" t="n">
        <v>32.76565338</v>
      </c>
      <c r="H49" s="20" t="n">
        <v>1.51940922</v>
      </c>
      <c r="I49" s="18" t="n">
        <v>0</v>
      </c>
      <c r="J49" s="20" t="n">
        <v>0</v>
      </c>
      <c r="K49" s="18" t="n">
        <v>1.10042072</v>
      </c>
      <c r="L49" s="20" t="n">
        <v>0.30827019</v>
      </c>
      <c r="M49" s="18" t="n">
        <v>0</v>
      </c>
      <c r="N49" s="20" t="n">
        <v>0</v>
      </c>
      <c r="O49" s="18" t="n">
        <v>0</v>
      </c>
      <c r="P49" s="20" t="n">
        <v>0</v>
      </c>
      <c r="Q49" s="18" t="n">
        <v>10.39785275</v>
      </c>
      <c r="R49" s="20" t="n">
        <v>1.10884473</v>
      </c>
    </row>
    <row r="50" spans="1:18">
      <c r="A50" s="15" t="s">
        <v>473</v>
      </c>
      <c r="B50" s="17" t="n">
        <v>6866</v>
      </c>
      <c r="C50" s="18">
        <f>(6163.0/B50*100)</f>
        <v/>
      </c>
      <c r="D50" s="19" t="n">
        <v>703</v>
      </c>
      <c r="E50" s="18" t="n">
        <v>57.5642389</v>
      </c>
      <c r="F50" s="20" t="n">
        <v>2.20799916</v>
      </c>
      <c r="G50" s="18" t="n">
        <v>24.23379056</v>
      </c>
      <c r="H50" s="20" t="n">
        <v>1.73469568</v>
      </c>
      <c r="I50" s="18" t="n">
        <v>0</v>
      </c>
      <c r="J50" s="20" t="n">
        <v>0</v>
      </c>
      <c r="K50" s="18" t="n">
        <v>0.61934352</v>
      </c>
      <c r="L50" s="20" t="n">
        <v>0.34044167</v>
      </c>
      <c r="M50" s="18" t="n">
        <v>0</v>
      </c>
      <c r="N50" s="20" t="n">
        <v>0</v>
      </c>
      <c r="O50" s="18" t="n">
        <v>0</v>
      </c>
      <c r="P50" s="20" t="n">
        <v>0</v>
      </c>
      <c r="Q50" s="18" t="n">
        <v>17.58262703</v>
      </c>
      <c r="R50" s="20" t="n">
        <v>1.77524729</v>
      </c>
    </row>
    <row r="51" spans="1:18">
      <c r="A51" s="15" t="s">
        <v>474</v>
      </c>
      <c r="B51" s="17" t="n">
        <v>5809</v>
      </c>
      <c r="C51" s="18">
        <f>(5090.0/B51*100)</f>
        <v/>
      </c>
      <c r="D51" s="19" t="n">
        <v>719</v>
      </c>
      <c r="E51" s="18" t="n">
        <v>39.90052281</v>
      </c>
      <c r="F51" s="20" t="n">
        <v>2.05874133</v>
      </c>
      <c r="G51" s="18" t="n">
        <v>45.12336681</v>
      </c>
      <c r="H51" s="20" t="n">
        <v>2.2004659</v>
      </c>
      <c r="I51" s="18" t="n">
        <v>0</v>
      </c>
      <c r="J51" s="20" t="n">
        <v>0</v>
      </c>
      <c r="K51" s="18" t="n">
        <v>0.12795446</v>
      </c>
      <c r="L51" s="20" t="n">
        <v>0.12764734</v>
      </c>
      <c r="M51" s="18" t="n">
        <v>0</v>
      </c>
      <c r="N51" s="20" t="n">
        <v>0</v>
      </c>
      <c r="O51" s="18" t="n">
        <v>0</v>
      </c>
      <c r="P51" s="20" t="n">
        <v>0</v>
      </c>
      <c r="Q51" s="18" t="n">
        <v>14.84815592</v>
      </c>
      <c r="R51" s="20" t="n">
        <v>1.27083021</v>
      </c>
    </row>
    <row r="52" spans="1:18">
      <c r="A52" s="15" t="s">
        <v>475</v>
      </c>
      <c r="B52" s="17" t="n">
        <v>5571</v>
      </c>
      <c r="C52" s="18">
        <f>(4884.0/B52*100)</f>
        <v/>
      </c>
      <c r="D52" s="19" t="n">
        <v>687</v>
      </c>
      <c r="E52" s="18" t="n">
        <v>41.42601967</v>
      </c>
      <c r="F52" s="20" t="n">
        <v>2.00533875</v>
      </c>
      <c r="G52" s="18" t="n">
        <v>40.08347244</v>
      </c>
      <c r="H52" s="20" t="n">
        <v>1.75508831</v>
      </c>
      <c r="I52" s="18" t="n">
        <v>0</v>
      </c>
      <c r="J52" s="20" t="n">
        <v>0</v>
      </c>
      <c r="K52" s="18" t="n">
        <v>0.63104755</v>
      </c>
      <c r="L52" s="20" t="n">
        <v>0.33183841</v>
      </c>
      <c r="M52" s="18" t="n">
        <v>0</v>
      </c>
      <c r="N52" s="20" t="n">
        <v>0</v>
      </c>
      <c r="O52" s="18" t="n">
        <v>0</v>
      </c>
      <c r="P52" s="20" t="n">
        <v>0</v>
      </c>
      <c r="Q52" s="18" t="n">
        <v>17.85946034</v>
      </c>
      <c r="R52" s="20" t="n">
        <v>1.44736322</v>
      </c>
    </row>
    <row r="53" spans="1:18">
      <c r="A53" s="15" t="s">
        <v>476</v>
      </c>
      <c r="B53" s="17" t="n">
        <v>4740</v>
      </c>
      <c r="C53" s="18">
        <f>(3962.0/B53*100)</f>
        <v/>
      </c>
      <c r="D53" s="19" t="n">
        <v>778</v>
      </c>
      <c r="E53" s="18" t="n">
        <v>49.25259721</v>
      </c>
      <c r="F53" s="20" t="n">
        <v>1.78113987</v>
      </c>
      <c r="G53" s="18" t="n">
        <v>17.74681251</v>
      </c>
      <c r="H53" s="20" t="n">
        <v>1.43100013</v>
      </c>
      <c r="I53" s="18" t="n">
        <v>0</v>
      </c>
      <c r="J53" s="20" t="n">
        <v>0</v>
      </c>
      <c r="K53" s="18" t="n">
        <v>9.08652243</v>
      </c>
      <c r="L53" s="20" t="n">
        <v>1.09867865</v>
      </c>
      <c r="M53" s="18" t="n">
        <v>0</v>
      </c>
      <c r="N53" s="20" t="n">
        <v>0</v>
      </c>
      <c r="O53" s="18" t="n">
        <v>0</v>
      </c>
      <c r="P53" s="20" t="n">
        <v>0</v>
      </c>
      <c r="Q53" s="18" t="n">
        <v>23.91406784</v>
      </c>
      <c r="R53" s="20" t="n">
        <v>1.61782578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43.8464192</v>
      </c>
      <c r="F55" s="20" t="n">
        <v>1.93802229</v>
      </c>
      <c r="G55" s="18" t="n">
        <v>48.93761498</v>
      </c>
      <c r="H55" s="20" t="n">
        <v>2.1279366</v>
      </c>
      <c r="I55" s="18" t="n">
        <v>0</v>
      </c>
      <c r="J55" s="20" t="n">
        <v>0</v>
      </c>
      <c r="K55" s="18" t="n">
        <v>0.26295602</v>
      </c>
      <c r="L55" s="20" t="n">
        <v>0.18634382</v>
      </c>
      <c r="M55" s="18" t="n">
        <v>0</v>
      </c>
      <c r="N55" s="20" t="n">
        <v>0</v>
      </c>
      <c r="O55" s="18" t="n">
        <v>0</v>
      </c>
      <c r="P55" s="20" t="n">
        <v>0</v>
      </c>
      <c r="Q55" s="18" t="n">
        <v>6.9530098</v>
      </c>
      <c r="R55" s="20" t="n">
        <v>1.11276569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(5748.0/B61*100)</f>
        <v/>
      </c>
      <c r="D61" s="19" t="n">
        <v>777</v>
      </c>
      <c r="E61" s="18" t="n">
        <v>46.37347155</v>
      </c>
      <c r="F61" s="20" t="n">
        <v>2.06471467</v>
      </c>
      <c r="G61" s="18" t="n">
        <v>41.28824986</v>
      </c>
      <c r="H61" s="20" t="n">
        <v>1.95885678</v>
      </c>
      <c r="I61" s="18" t="n">
        <v>0</v>
      </c>
      <c r="J61" s="20" t="n">
        <v>0</v>
      </c>
      <c r="K61" s="18" t="n">
        <v>0.18311005</v>
      </c>
      <c r="L61" s="20" t="n">
        <v>0.16123553</v>
      </c>
      <c r="M61" s="18" t="n">
        <v>0</v>
      </c>
      <c r="N61" s="20" t="n">
        <v>0</v>
      </c>
      <c r="O61" s="18" t="n">
        <v>0</v>
      </c>
      <c r="P61" s="20" t="n">
        <v>0</v>
      </c>
      <c r="Q61" s="18" t="n">
        <v>12.15516855</v>
      </c>
      <c r="R61" s="20" t="n">
        <v>1.29380781</v>
      </c>
    </row>
    <row r="62" spans="1:18">
      <c r="A62" s="15" t="s">
        <v>486</v>
      </c>
      <c r="B62" s="17" t="n">
        <v>4476</v>
      </c>
      <c r="C62" s="18">
        <f>(3922.0/B62*100)</f>
        <v/>
      </c>
      <c r="D62" s="19" t="n">
        <v>554</v>
      </c>
      <c r="E62" s="18" t="n">
        <v>57.7421001</v>
      </c>
      <c r="F62" s="20" t="n">
        <v>2.09980728</v>
      </c>
      <c r="G62" s="18" t="n">
        <v>38.28242033</v>
      </c>
      <c r="H62" s="20" t="n">
        <v>2.01947686</v>
      </c>
      <c r="I62" s="18" t="n">
        <v>0</v>
      </c>
      <c r="J62" s="20" t="n">
        <v>0</v>
      </c>
      <c r="K62" s="18" t="n">
        <v>0.18528073</v>
      </c>
      <c r="L62" s="20" t="n">
        <v>0.18367656</v>
      </c>
      <c r="M62" s="18" t="n">
        <v>0</v>
      </c>
      <c r="N62" s="20" t="n">
        <v>0</v>
      </c>
      <c r="O62" s="18" t="n">
        <v>0</v>
      </c>
      <c r="P62" s="20" t="n">
        <v>0</v>
      </c>
      <c r="Q62" s="18" t="n">
        <v>3.79019884</v>
      </c>
      <c r="R62" s="20" t="n">
        <v>0.8334057499999999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(4973.0/B67*100)</f>
        <v/>
      </c>
      <c r="D67" s="19" t="n">
        <v>692</v>
      </c>
      <c r="E67" s="18" t="n">
        <v>41.07824988</v>
      </c>
      <c r="F67" s="20" t="n">
        <v>2.01333246</v>
      </c>
      <c r="G67" s="18" t="n">
        <v>17.87201429</v>
      </c>
      <c r="H67" s="20" t="n">
        <v>1.36546979</v>
      </c>
      <c r="I67" s="18" t="n">
        <v>0</v>
      </c>
      <c r="J67" s="20" t="n">
        <v>0</v>
      </c>
      <c r="K67" s="18" t="n">
        <v>1.55198207</v>
      </c>
      <c r="L67" s="20" t="n">
        <v>0.47999429</v>
      </c>
      <c r="M67" s="18" t="n">
        <v>0</v>
      </c>
      <c r="N67" s="20" t="n">
        <v>0</v>
      </c>
      <c r="O67" s="18" t="n">
        <v>0</v>
      </c>
      <c r="P67" s="20" t="n">
        <v>0</v>
      </c>
      <c r="Q67" s="18" t="n">
        <v>39.49775376</v>
      </c>
      <c r="R67" s="20" t="n">
        <v>1.85834201</v>
      </c>
    </row>
    <row r="68" spans="1:18">
      <c r="A68" s="15" t="s">
        <v>492</v>
      </c>
      <c r="B68" s="17" t="n">
        <v>6971</v>
      </c>
      <c r="C68" s="18">
        <f>(6174.0/B68*100)</f>
        <v/>
      </c>
      <c r="D68" s="19" t="n">
        <v>797</v>
      </c>
      <c r="E68" s="18" t="n">
        <v>69.05618776</v>
      </c>
      <c r="F68" s="20" t="n">
        <v>1.72687792</v>
      </c>
      <c r="G68" s="18" t="n">
        <v>17.88172598</v>
      </c>
      <c r="H68" s="20" t="n">
        <v>1.44597615</v>
      </c>
      <c r="I68" s="18" t="n">
        <v>0</v>
      </c>
      <c r="J68" s="20" t="n">
        <v>0</v>
      </c>
      <c r="K68" s="18" t="n">
        <v>0.09499636</v>
      </c>
      <c r="L68" s="20" t="n">
        <v>0.0948194</v>
      </c>
      <c r="M68" s="18" t="n">
        <v>0</v>
      </c>
      <c r="N68" s="20" t="n">
        <v>0</v>
      </c>
      <c r="O68" s="18" t="n">
        <v>0</v>
      </c>
      <c r="P68" s="20" t="n">
        <v>0</v>
      </c>
      <c r="Q68" s="18" t="n">
        <v>12.96708991</v>
      </c>
      <c r="R68" s="20" t="n">
        <v>1.47663134</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(10062.0/B70*100)</f>
        <v/>
      </c>
      <c r="D70" s="19" t="n">
        <v>2021</v>
      </c>
      <c r="E70" s="18" t="n">
        <v>58.6092644</v>
      </c>
      <c r="F70" s="20" t="n">
        <v>1.05326755</v>
      </c>
      <c r="G70" s="18" t="n">
        <v>23.32205357</v>
      </c>
      <c r="H70" s="20" t="n">
        <v>1.09256663</v>
      </c>
      <c r="I70" s="18" t="n">
        <v>0</v>
      </c>
      <c r="J70" s="20" t="n">
        <v>0</v>
      </c>
      <c r="K70" s="18" t="n">
        <v>2.33311298</v>
      </c>
      <c r="L70" s="20" t="n">
        <v>0.33120232</v>
      </c>
      <c r="M70" s="18" t="n">
        <v>0</v>
      </c>
      <c r="N70" s="20" t="n">
        <v>0</v>
      </c>
      <c r="O70" s="18" t="n">
        <v>0</v>
      </c>
      <c r="P70" s="20" t="n">
        <v>0</v>
      </c>
      <c r="Q70" s="18" t="n">
        <v>15.73556905</v>
      </c>
      <c r="R70" s="20" t="n">
        <v>0.75032384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(5335.0/B72*100)</f>
        <v/>
      </c>
      <c r="D72" s="19" t="n">
        <v>701</v>
      </c>
      <c r="E72" s="18" t="n">
        <v>38.81940621</v>
      </c>
      <c r="F72" s="20" t="n">
        <v>2.80970817</v>
      </c>
      <c r="G72" s="18" t="n">
        <v>47.47230489</v>
      </c>
      <c r="H72" s="20" t="n">
        <v>2.64155434</v>
      </c>
      <c r="I72" s="18" t="n">
        <v>0</v>
      </c>
      <c r="J72" s="20" t="n">
        <v>0</v>
      </c>
      <c r="K72" s="18" t="n">
        <v>0.42502176</v>
      </c>
      <c r="L72" s="20" t="n">
        <v>0.24892187</v>
      </c>
      <c r="M72" s="18" t="n">
        <v>0</v>
      </c>
      <c r="N72" s="20" t="n">
        <v>0</v>
      </c>
      <c r="O72" s="18" t="n">
        <v>0</v>
      </c>
      <c r="P72" s="20" t="n">
        <v>0</v>
      </c>
      <c r="Q72" s="18" t="n">
        <v>13.28326714</v>
      </c>
      <c r="R72" s="20" t="n">
        <v>1.1669943</v>
      </c>
    </row>
    <row r="73" spans="1:18">
      <c r="A73" s="15" t="s">
        <v>497</v>
      </c>
      <c r="B73" s="17" t="n">
        <v>6115</v>
      </c>
      <c r="C73" s="18">
        <f>(5340.0/B73*100)</f>
        <v/>
      </c>
      <c r="D73" s="19" t="n">
        <v>775</v>
      </c>
      <c r="E73" s="18" t="n">
        <v>33.79188034</v>
      </c>
      <c r="F73" s="20" t="n">
        <v>1.7064294</v>
      </c>
      <c r="G73" s="18" t="n">
        <v>62.01724745</v>
      </c>
      <c r="H73" s="20" t="n">
        <v>1.72882924</v>
      </c>
      <c r="I73" s="18" t="n">
        <v>0</v>
      </c>
      <c r="J73" s="20" t="n">
        <v>0</v>
      </c>
      <c r="K73" s="18" t="n">
        <v>0.11755783</v>
      </c>
      <c r="L73" s="20" t="n">
        <v>0.11827002</v>
      </c>
      <c r="M73" s="18" t="n">
        <v>0</v>
      </c>
      <c r="N73" s="20" t="n">
        <v>0</v>
      </c>
      <c r="O73" s="18" t="n">
        <v>0</v>
      </c>
      <c r="P73" s="20" t="n">
        <v>0</v>
      </c>
      <c r="Q73" s="18" t="n">
        <v>4.07331437</v>
      </c>
      <c r="R73" s="20" t="n">
        <v>0.71584524</v>
      </c>
    </row>
    <row r="74" spans="1:18">
      <c r="A74" s="15" t="s">
        <v>498</v>
      </c>
      <c r="B74" s="17" t="n">
        <v>7708</v>
      </c>
      <c r="C74" s="18">
        <f>(6754.0/B74*100)</f>
        <v/>
      </c>
      <c r="D74" s="19" t="n">
        <v>954</v>
      </c>
      <c r="E74" s="18" t="n">
        <v>43.85068964</v>
      </c>
      <c r="F74" s="20" t="n">
        <v>1.70688586</v>
      </c>
      <c r="G74" s="18" t="n">
        <v>47.07038623</v>
      </c>
      <c r="H74" s="20" t="n">
        <v>1.68592372</v>
      </c>
      <c r="I74" s="18" t="n">
        <v>0</v>
      </c>
      <c r="J74" s="20" t="n">
        <v>0</v>
      </c>
      <c r="K74" s="18" t="n">
        <v>0.08319989</v>
      </c>
      <c r="L74" s="20" t="n">
        <v>0.08340375</v>
      </c>
      <c r="M74" s="18" t="n">
        <v>0</v>
      </c>
      <c r="N74" s="20" t="n">
        <v>0</v>
      </c>
      <c r="O74" s="18" t="n">
        <v>0</v>
      </c>
      <c r="P74" s="20" t="n">
        <v>0</v>
      </c>
      <c r="Q74" s="18" t="n">
        <v>8.995724239999999</v>
      </c>
      <c r="R74" s="20" t="n">
        <v>1.00562635</v>
      </c>
    </row>
    <row r="75" spans="1:18">
      <c r="A75" s="15" t="s">
        <v>499</v>
      </c>
      <c r="B75" s="17" t="n">
        <v>8249</v>
      </c>
      <c r="C75" s="18">
        <f>(7256.0/B75*100)</f>
        <v/>
      </c>
      <c r="D75" s="19" t="n">
        <v>993</v>
      </c>
      <c r="E75" s="18" t="n">
        <v>75.78027342</v>
      </c>
      <c r="F75" s="20" t="n">
        <v>1.85551547</v>
      </c>
      <c r="G75" s="18" t="n">
        <v>19.41918172</v>
      </c>
      <c r="H75" s="20" t="n">
        <v>1.70268824</v>
      </c>
      <c r="I75" s="18" t="n">
        <v>0</v>
      </c>
      <c r="J75" s="20" t="n">
        <v>0</v>
      </c>
      <c r="K75" s="18" t="n">
        <v>0.14917649</v>
      </c>
      <c r="L75" s="20" t="n">
        <v>0.14907641</v>
      </c>
      <c r="M75" s="18" t="n">
        <v>0</v>
      </c>
      <c r="N75" s="20" t="n">
        <v>0</v>
      </c>
      <c r="O75" s="18" t="n">
        <v>0</v>
      </c>
      <c r="P75" s="20" t="n">
        <v>0</v>
      </c>
      <c r="Q75" s="18" t="n">
        <v>4.65136837</v>
      </c>
      <c r="R75" s="20" t="n">
        <v>0.83052696</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(4763.0/B77*100)</f>
        <v/>
      </c>
      <c r="D77" s="19" t="n">
        <v>612</v>
      </c>
      <c r="E77" s="18" t="n">
        <v>64.52473516000001</v>
      </c>
      <c r="F77" s="20" t="n">
        <v>2.06239696</v>
      </c>
      <c r="G77" s="18" t="n">
        <v>12.14268784</v>
      </c>
      <c r="H77" s="20" t="n">
        <v>1.26175347</v>
      </c>
      <c r="I77" s="18" t="n">
        <v>0</v>
      </c>
      <c r="J77" s="20" t="n">
        <v>0</v>
      </c>
      <c r="K77" s="18" t="n">
        <v>1.77490218</v>
      </c>
      <c r="L77" s="20" t="n">
        <v>0.5791996700000001</v>
      </c>
      <c r="M77" s="18" t="n">
        <v>0</v>
      </c>
      <c r="N77" s="20" t="n">
        <v>0</v>
      </c>
      <c r="O77" s="18" t="n">
        <v>0</v>
      </c>
      <c r="P77" s="20" t="n">
        <v>0</v>
      </c>
      <c r="Q77" s="18" t="n">
        <v>21.55767481</v>
      </c>
      <c r="R77" s="20" t="n">
        <v>1.7855069</v>
      </c>
    </row>
    <row r="78" spans="1:18">
      <c r="A78" s="15" t="s">
        <v>502</v>
      </c>
      <c r="B78" s="17" t="n">
        <v>14167</v>
      </c>
      <c r="C78" s="18">
        <f>(12408.0/B78*100)</f>
        <v/>
      </c>
      <c r="D78" s="19" t="n">
        <v>1759</v>
      </c>
      <c r="E78" s="18" t="n">
        <v>53.71090412</v>
      </c>
      <c r="F78" s="20" t="n">
        <v>1.65180766</v>
      </c>
      <c r="G78" s="18" t="n">
        <v>35.70295063</v>
      </c>
      <c r="H78" s="20" t="n">
        <v>1.51005842</v>
      </c>
      <c r="I78" s="18" t="n">
        <v>0</v>
      </c>
      <c r="J78" s="20" t="n">
        <v>0</v>
      </c>
      <c r="K78" s="18" t="n">
        <v>0.57468944</v>
      </c>
      <c r="L78" s="20" t="n">
        <v>0.21291743</v>
      </c>
      <c r="M78" s="18" t="n">
        <v>0</v>
      </c>
      <c r="N78" s="20" t="n">
        <v>0</v>
      </c>
      <c r="O78" s="18" t="n">
        <v>0</v>
      </c>
      <c r="P78" s="20" t="n">
        <v>0</v>
      </c>
      <c r="Q78" s="18" t="n">
        <v>10.01145582</v>
      </c>
      <c r="R78" s="20" t="n">
        <v>0.8926400799999999</v>
      </c>
    </row>
    <row r="79" spans="1:18">
      <c r="A79" s="15" t="s">
        <v>503</v>
      </c>
      <c r="B79" s="17" t="n">
        <v>6062</v>
      </c>
      <c r="C79" s="18">
        <f>(5327.0/B79*100)</f>
        <v/>
      </c>
      <c r="D79" s="19" t="n">
        <v>735</v>
      </c>
      <c r="E79" s="18" t="n">
        <v>39.09152992</v>
      </c>
      <c r="F79" s="20" t="n">
        <v>1.89126089</v>
      </c>
      <c r="G79" s="18" t="n">
        <v>33.52840968</v>
      </c>
      <c r="H79" s="20" t="n">
        <v>1.74796045</v>
      </c>
      <c r="I79" s="18" t="n">
        <v>0</v>
      </c>
      <c r="J79" s="20" t="n">
        <v>0</v>
      </c>
      <c r="K79" s="18" t="n">
        <v>1.66161965</v>
      </c>
      <c r="L79" s="20" t="n">
        <v>0.49818792</v>
      </c>
      <c r="M79" s="18" t="n">
        <v>0</v>
      </c>
      <c r="N79" s="20" t="n">
        <v>0</v>
      </c>
      <c r="O79" s="18" t="n">
        <v>0</v>
      </c>
      <c r="P79" s="20" t="n">
        <v>0</v>
      </c>
      <c r="Q79" s="18" t="n">
        <v>25.71844075</v>
      </c>
      <c r="R79" s="20" t="n">
        <v>1.79259951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(28390.0/B82*100)</f>
        <v/>
      </c>
      <c r="D82" s="19" t="n">
        <v>3940</v>
      </c>
      <c r="E82" s="18" t="n">
        <v>45.02174254</v>
      </c>
      <c r="F82" s="20" t="n">
        <v>1.22899789</v>
      </c>
      <c r="G82" s="18" t="n">
        <v>42.6947011</v>
      </c>
      <c r="H82" s="20" t="n">
        <v>1.06680055</v>
      </c>
      <c r="I82" s="18" t="n">
        <v>0</v>
      </c>
      <c r="J82" s="20" t="n">
        <v>0</v>
      </c>
      <c r="K82" s="18" t="n">
        <v>0.31901193</v>
      </c>
      <c r="L82" s="20" t="n">
        <v>0.12119053</v>
      </c>
      <c r="M82" s="18" t="n">
        <v>0.05231633</v>
      </c>
      <c r="N82" s="20" t="n">
        <v>0.04965205</v>
      </c>
      <c r="O82" s="18" t="n">
        <v>0</v>
      </c>
      <c r="P82" s="20" t="n">
        <v>0</v>
      </c>
      <c r="Q82" s="18" t="n">
        <v>11.9122281</v>
      </c>
      <c r="R82" s="20" t="n">
        <v>0.7990807</v>
      </c>
    </row>
    <row r="83" spans="1:18">
      <c r="A83" s="15" t="s">
        <v>507</v>
      </c>
      <c r="B83" s="17" t="n">
        <v>1652</v>
      </c>
      <c r="C83" s="18">
        <f>(1456.0/B83*100)</f>
        <v/>
      </c>
      <c r="D83" s="19" t="n">
        <v>196</v>
      </c>
      <c r="E83" s="18" t="n">
        <v>38.37227871</v>
      </c>
      <c r="F83" s="20" t="n">
        <v>4.37070666</v>
      </c>
      <c r="G83" s="18" t="n">
        <v>58.75555575</v>
      </c>
      <c r="H83" s="20" t="n">
        <v>4.27499004</v>
      </c>
      <c r="I83" s="18" t="n">
        <v>0</v>
      </c>
      <c r="J83" s="20" t="n">
        <v>0</v>
      </c>
      <c r="K83" s="18" t="n">
        <v>0</v>
      </c>
      <c r="L83" s="20" t="n">
        <v>0</v>
      </c>
      <c r="M83" s="18" t="n">
        <v>0</v>
      </c>
      <c r="N83" s="20" t="n">
        <v>0</v>
      </c>
      <c r="O83" s="18" t="n">
        <v>0</v>
      </c>
      <c r="P83" s="20" t="n">
        <v>0</v>
      </c>
      <c r="Q83" s="18" t="n">
        <v>2.87216554</v>
      </c>
      <c r="R83" s="20" t="n">
        <v>1.09456115</v>
      </c>
    </row>
    <row r="84" spans="1:18">
      <c r="A84" s="23" t="s">
        <v>508</v>
      </c>
      <c r="B84" s="24" t="n">
        <v>1887</v>
      </c>
      <c r="C84" s="25">
        <f>(1655.0/B84*100)</f>
        <v/>
      </c>
      <c r="D84" s="19" t="n">
        <v>232</v>
      </c>
      <c r="E84" s="18" t="n">
        <v>47.56649626</v>
      </c>
      <c r="F84" s="20" t="n">
        <v>3.84937948</v>
      </c>
      <c r="G84" s="18" t="n">
        <v>49.34967237</v>
      </c>
      <c r="H84" s="20" t="n">
        <v>3.69908546</v>
      </c>
      <c r="I84" s="18" t="n">
        <v>0</v>
      </c>
      <c r="J84" s="20" t="n">
        <v>0</v>
      </c>
      <c r="K84" s="18" t="n">
        <v>0</v>
      </c>
      <c r="L84" s="20" t="n">
        <v>0</v>
      </c>
      <c r="M84" s="18" t="n">
        <v>0</v>
      </c>
      <c r="N84" s="20" t="n">
        <v>0</v>
      </c>
      <c r="O84" s="18" t="n">
        <v>0</v>
      </c>
      <c r="P84" s="20" t="n">
        <v>0</v>
      </c>
      <c r="Q84" s="18" t="n">
        <v>3.08383137</v>
      </c>
      <c r="R84" s="20" t="n">
        <v>0.97805025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(12768.0/B7*100)</f>
        <v/>
      </c>
      <c r="D7" s="19" t="n">
        <v>1762</v>
      </c>
      <c r="E7" s="18" t="n">
        <v>49.29823677</v>
      </c>
      <c r="F7" s="20" t="n">
        <v>1.41957268</v>
      </c>
      <c r="G7" s="18" t="n">
        <v>38.86217498</v>
      </c>
      <c r="H7" s="20" t="n">
        <v>1.32998536</v>
      </c>
      <c r="I7" s="18" t="n">
        <v>0</v>
      </c>
      <c r="J7" s="20" t="n">
        <v>0</v>
      </c>
      <c r="K7" s="18" t="n">
        <v>0.22533505</v>
      </c>
      <c r="L7" s="20" t="n">
        <v>0.1382202</v>
      </c>
      <c r="M7" s="18" t="n">
        <v>0</v>
      </c>
      <c r="N7" s="20" t="n">
        <v>0</v>
      </c>
      <c r="O7" s="18" t="n">
        <v>0</v>
      </c>
      <c r="P7" s="20" t="n">
        <v>0</v>
      </c>
      <c r="Q7" s="18" t="n">
        <v>11.6142532</v>
      </c>
      <c r="R7" s="20" t="n">
        <v>0.95270359</v>
      </c>
    </row>
    <row r="8" spans="1:18">
      <c r="A8" s="15" t="s">
        <v>430</v>
      </c>
      <c r="B8" s="17" t="n">
        <v>7007</v>
      </c>
      <c r="C8" s="18">
        <f>(6124.0/B8*100)</f>
        <v/>
      </c>
      <c r="D8" s="19" t="n">
        <v>883</v>
      </c>
      <c r="E8" s="18" t="n">
        <v>44.21320389</v>
      </c>
      <c r="F8" s="20" t="n">
        <v>2.084578</v>
      </c>
      <c r="G8" s="18" t="n">
        <v>38.76066356</v>
      </c>
      <c r="H8" s="20" t="n">
        <v>2.20185808</v>
      </c>
      <c r="I8" s="18" t="n">
        <v>0</v>
      </c>
      <c r="J8" s="20" t="n">
        <v>0</v>
      </c>
      <c r="K8" s="18" t="n">
        <v>0.24514889</v>
      </c>
      <c r="L8" s="20" t="n">
        <v>0.1754421</v>
      </c>
      <c r="M8" s="18" t="n">
        <v>0</v>
      </c>
      <c r="N8" s="20" t="n">
        <v>0</v>
      </c>
      <c r="O8" s="18" t="n">
        <v>0</v>
      </c>
      <c r="P8" s="20" t="n">
        <v>0</v>
      </c>
      <c r="Q8" s="18" t="n">
        <v>16.78098366</v>
      </c>
      <c r="R8" s="20" t="n">
        <v>1.45763356</v>
      </c>
    </row>
    <row r="9" spans="1:18">
      <c r="A9" s="15" t="s">
        <v>431</v>
      </c>
      <c r="B9" s="17" t="n">
        <v>9651</v>
      </c>
      <c r="C9" s="18">
        <f>(8502.0/B9*100)</f>
        <v/>
      </c>
      <c r="D9" s="19" t="n">
        <v>1149</v>
      </c>
      <c r="E9" s="18" t="n">
        <v>46.76963037</v>
      </c>
      <c r="F9" s="20" t="n">
        <v>1.64161477</v>
      </c>
      <c r="G9" s="18" t="n">
        <v>40.04164721</v>
      </c>
      <c r="H9" s="20" t="n">
        <v>1.51625928</v>
      </c>
      <c r="I9" s="18" t="n">
        <v>0</v>
      </c>
      <c r="J9" s="20" t="n">
        <v>0</v>
      </c>
      <c r="K9" s="18" t="n">
        <v>0.48355199</v>
      </c>
      <c r="L9" s="20" t="n">
        <v>0.21377366</v>
      </c>
      <c r="M9" s="18" t="n">
        <v>0</v>
      </c>
      <c r="N9" s="20" t="n">
        <v>0</v>
      </c>
      <c r="O9" s="18" t="n">
        <v>0</v>
      </c>
      <c r="P9" s="20" t="n">
        <v>0</v>
      </c>
      <c r="Q9" s="18" t="n">
        <v>12.70517043</v>
      </c>
      <c r="R9" s="20" t="n">
        <v>0.98902095</v>
      </c>
    </row>
    <row r="10" spans="1:18">
      <c r="A10" s="15" t="s">
        <v>432</v>
      </c>
      <c r="B10" s="17" t="n">
        <v>20058</v>
      </c>
      <c r="C10" s="18">
        <f>(17529.0/B10*100)</f>
        <v/>
      </c>
      <c r="D10" s="19" t="n">
        <v>2529</v>
      </c>
      <c r="E10" s="18" t="n">
        <v>35.13175424</v>
      </c>
      <c r="F10" s="20" t="n">
        <v>1.26724421</v>
      </c>
      <c r="G10" s="18" t="n">
        <v>56.94804028</v>
      </c>
      <c r="H10" s="20" t="n">
        <v>1.55778783</v>
      </c>
      <c r="I10" s="18" t="n">
        <v>0</v>
      </c>
      <c r="J10" s="20" t="n">
        <v>0</v>
      </c>
      <c r="K10" s="18" t="n">
        <v>0.12393329</v>
      </c>
      <c r="L10" s="20" t="n">
        <v>0.08909805</v>
      </c>
      <c r="M10" s="18" t="n">
        <v>0</v>
      </c>
      <c r="N10" s="20" t="n">
        <v>0</v>
      </c>
      <c r="O10" s="18" t="n">
        <v>0</v>
      </c>
      <c r="P10" s="20" t="n">
        <v>0</v>
      </c>
      <c r="Q10" s="18" t="n">
        <v>7.79627218</v>
      </c>
      <c r="R10" s="20" t="n">
        <v>0.8740048</v>
      </c>
    </row>
    <row r="11" spans="1:18">
      <c r="A11" s="15" t="s">
        <v>433</v>
      </c>
      <c r="B11" s="17" t="n">
        <v>7053</v>
      </c>
      <c r="C11" s="18">
        <f>(6220.0/B11*100)</f>
        <v/>
      </c>
      <c r="D11" s="19" t="n">
        <v>833</v>
      </c>
      <c r="E11" s="18" t="n">
        <v>49.75663022</v>
      </c>
      <c r="F11" s="20" t="n">
        <v>1.84519387</v>
      </c>
      <c r="G11" s="18" t="n">
        <v>28.82370293</v>
      </c>
      <c r="H11" s="20" t="n">
        <v>1.77645193</v>
      </c>
      <c r="I11" s="18" t="n">
        <v>0</v>
      </c>
      <c r="J11" s="20" t="n">
        <v>0</v>
      </c>
      <c r="K11" s="18" t="n">
        <v>0.73158712</v>
      </c>
      <c r="L11" s="20" t="n">
        <v>0.4259547</v>
      </c>
      <c r="M11" s="18" t="n">
        <v>0</v>
      </c>
      <c r="N11" s="20" t="n">
        <v>0</v>
      </c>
      <c r="O11" s="18" t="n">
        <v>0</v>
      </c>
      <c r="P11" s="20" t="n">
        <v>0</v>
      </c>
      <c r="Q11" s="18" t="n">
        <v>20.68807973</v>
      </c>
      <c r="R11" s="20" t="n">
        <v>1.59837189</v>
      </c>
    </row>
    <row r="12" spans="1:18">
      <c r="A12" s="15" t="s">
        <v>434</v>
      </c>
      <c r="B12" s="17" t="n">
        <v>6894</v>
      </c>
      <c r="C12" s="18">
        <f>(6055.0/B12*100)</f>
        <v/>
      </c>
      <c r="D12" s="19" t="n">
        <v>839</v>
      </c>
      <c r="E12" s="18" t="n">
        <v>44.61475094</v>
      </c>
      <c r="F12" s="20" t="n">
        <v>1.83510889</v>
      </c>
      <c r="G12" s="18" t="n">
        <v>38.46985362</v>
      </c>
      <c r="H12" s="20" t="n">
        <v>1.9182446</v>
      </c>
      <c r="I12" s="18" t="n">
        <v>0</v>
      </c>
      <c r="J12" s="20" t="n">
        <v>0</v>
      </c>
      <c r="K12" s="18" t="n">
        <v>0.10829153</v>
      </c>
      <c r="L12" s="20" t="n">
        <v>0.10608231</v>
      </c>
      <c r="M12" s="18" t="n">
        <v>0</v>
      </c>
      <c r="N12" s="20" t="n">
        <v>0</v>
      </c>
      <c r="O12" s="18" t="n">
        <v>0</v>
      </c>
      <c r="P12" s="20" t="n">
        <v>0</v>
      </c>
      <c r="Q12" s="18" t="n">
        <v>16.80710391</v>
      </c>
      <c r="R12" s="20" t="n">
        <v>1.5011377</v>
      </c>
    </row>
    <row r="13" spans="1:18">
      <c r="A13" s="15" t="s">
        <v>435</v>
      </c>
      <c r="B13" s="17" t="n">
        <v>7161</v>
      </c>
      <c r="C13" s="18">
        <f>(6315.0/B13*100)</f>
        <v/>
      </c>
      <c r="D13" s="19" t="n">
        <v>846</v>
      </c>
      <c r="E13" s="18" t="n">
        <v>54.49264847</v>
      </c>
      <c r="F13" s="20" t="n">
        <v>2.15954987</v>
      </c>
      <c r="G13" s="18" t="n">
        <v>33.18683578</v>
      </c>
      <c r="H13" s="20" t="n">
        <v>2.08804878</v>
      </c>
      <c r="I13" s="18" t="n">
        <v>0</v>
      </c>
      <c r="J13" s="20" t="n">
        <v>0</v>
      </c>
      <c r="K13" s="18" t="n">
        <v>0.7747808900000001</v>
      </c>
      <c r="L13" s="20" t="n">
        <v>0.33336317</v>
      </c>
      <c r="M13" s="18" t="n">
        <v>0.01456083</v>
      </c>
      <c r="N13" s="20" t="n">
        <v>0.01031873</v>
      </c>
      <c r="O13" s="18" t="n">
        <v>0</v>
      </c>
      <c r="P13" s="20" t="n">
        <v>0</v>
      </c>
      <c r="Q13" s="18" t="n">
        <v>11.53117403</v>
      </c>
      <c r="R13" s="20" t="n">
        <v>1.15937772</v>
      </c>
    </row>
    <row r="14" spans="1:18">
      <c r="A14" s="15" t="s">
        <v>436</v>
      </c>
      <c r="B14" s="17" t="n">
        <v>5587</v>
      </c>
      <c r="C14" s="18">
        <f>(4924.0/B14*100)</f>
        <v/>
      </c>
      <c r="D14" s="19" t="n">
        <v>663</v>
      </c>
      <c r="E14" s="18" t="n">
        <v>39.16128596</v>
      </c>
      <c r="F14" s="20" t="n">
        <v>2.54050907</v>
      </c>
      <c r="G14" s="18" t="n">
        <v>53.01244896</v>
      </c>
      <c r="H14" s="20" t="n">
        <v>2.58387712</v>
      </c>
      <c r="I14" s="18" t="n">
        <v>0</v>
      </c>
      <c r="J14" s="20" t="n">
        <v>0</v>
      </c>
      <c r="K14" s="18" t="n">
        <v>0</v>
      </c>
      <c r="L14" s="20" t="n">
        <v>0</v>
      </c>
      <c r="M14" s="18" t="n">
        <v>0</v>
      </c>
      <c r="N14" s="20" t="n">
        <v>0</v>
      </c>
      <c r="O14" s="18" t="n">
        <v>0</v>
      </c>
      <c r="P14" s="20" t="n">
        <v>0</v>
      </c>
      <c r="Q14" s="18" t="n">
        <v>7.82626508</v>
      </c>
      <c r="R14" s="20" t="n">
        <v>1.23695783</v>
      </c>
    </row>
    <row r="15" spans="1:18">
      <c r="A15" s="15" t="s">
        <v>437</v>
      </c>
      <c r="B15" s="17" t="n">
        <v>5882</v>
      </c>
      <c r="C15" s="18">
        <f>(5152.0/B15*100)</f>
        <v/>
      </c>
      <c r="D15" s="19" t="n">
        <v>730</v>
      </c>
      <c r="E15" s="18" t="n">
        <v>46.15778555</v>
      </c>
      <c r="F15" s="20" t="n">
        <v>1.9326945</v>
      </c>
      <c r="G15" s="18" t="n">
        <v>43.52703482</v>
      </c>
      <c r="H15" s="20" t="n">
        <v>1.91942024</v>
      </c>
      <c r="I15" s="18" t="n">
        <v>0</v>
      </c>
      <c r="J15" s="20" t="n">
        <v>0</v>
      </c>
      <c r="K15" s="18" t="n">
        <v>0.1106808</v>
      </c>
      <c r="L15" s="20" t="n">
        <v>0.11087054</v>
      </c>
      <c r="M15" s="18" t="n">
        <v>0</v>
      </c>
      <c r="N15" s="20" t="n">
        <v>0</v>
      </c>
      <c r="O15" s="18" t="n">
        <v>0</v>
      </c>
      <c r="P15" s="20" t="n">
        <v>0</v>
      </c>
      <c r="Q15" s="18" t="n">
        <v>10.20449883</v>
      </c>
      <c r="R15" s="20" t="n">
        <v>1.14299519</v>
      </c>
    </row>
    <row r="16" spans="1:18">
      <c r="A16" s="15" t="s">
        <v>438</v>
      </c>
      <c r="B16" s="17" t="n">
        <v>6108</v>
      </c>
      <c r="C16" s="18">
        <f>(5372.0/B16*100)</f>
        <v/>
      </c>
      <c r="D16" s="19" t="n">
        <v>736</v>
      </c>
      <c r="E16" s="18" t="n">
        <v>33.31327243</v>
      </c>
      <c r="F16" s="20" t="n">
        <v>1.64396539</v>
      </c>
      <c r="G16" s="18" t="n">
        <v>48.8020222</v>
      </c>
      <c r="H16" s="20" t="n">
        <v>1.8112528</v>
      </c>
      <c r="I16" s="18" t="n">
        <v>0</v>
      </c>
      <c r="J16" s="20" t="n">
        <v>0</v>
      </c>
      <c r="K16" s="18" t="n">
        <v>1.78657574</v>
      </c>
      <c r="L16" s="20" t="n">
        <v>0.50161557</v>
      </c>
      <c r="M16" s="18" t="n">
        <v>0</v>
      </c>
      <c r="N16" s="20" t="n">
        <v>0</v>
      </c>
      <c r="O16" s="18" t="n">
        <v>0</v>
      </c>
      <c r="P16" s="20" t="n">
        <v>0</v>
      </c>
      <c r="Q16" s="18" t="n">
        <v>16.09812963</v>
      </c>
      <c r="R16" s="20" t="n">
        <v>1.61627785</v>
      </c>
    </row>
    <row r="17" spans="1:18">
      <c r="A17" s="15" t="s">
        <v>439</v>
      </c>
      <c r="B17" s="17" t="n">
        <v>6504</v>
      </c>
      <c r="C17" s="18">
        <f>(5740.0/B17*100)</f>
        <v/>
      </c>
      <c r="D17" s="19" t="n">
        <v>764</v>
      </c>
      <c r="E17" s="18" t="n">
        <v>33.85569965</v>
      </c>
      <c r="F17" s="20" t="n">
        <v>1.71358751</v>
      </c>
      <c r="G17" s="18" t="n">
        <v>49.99257022</v>
      </c>
      <c r="H17" s="20" t="n">
        <v>1.92209214</v>
      </c>
      <c r="I17" s="18" t="n">
        <v>0</v>
      </c>
      <c r="J17" s="20" t="n">
        <v>0</v>
      </c>
      <c r="K17" s="18" t="n">
        <v>0.21531889</v>
      </c>
      <c r="L17" s="20" t="n">
        <v>0.16448013</v>
      </c>
      <c r="M17" s="18" t="n">
        <v>0</v>
      </c>
      <c r="N17" s="20" t="n">
        <v>0</v>
      </c>
      <c r="O17" s="18" t="n">
        <v>0</v>
      </c>
      <c r="P17" s="20" t="n">
        <v>0</v>
      </c>
      <c r="Q17" s="18" t="n">
        <v>15.93641124</v>
      </c>
      <c r="R17" s="20" t="n">
        <v>1.41538678</v>
      </c>
    </row>
    <row r="18" spans="1:18">
      <c r="A18" s="15" t="s">
        <v>440</v>
      </c>
      <c r="B18" s="17" t="n">
        <v>5532</v>
      </c>
      <c r="C18" s="18">
        <f>(4841.0/B18*100)</f>
        <v/>
      </c>
      <c r="D18" s="19" t="n">
        <v>691</v>
      </c>
      <c r="E18" s="18" t="n">
        <v>39.34476905</v>
      </c>
      <c r="F18" s="20" t="n">
        <v>2.44151053</v>
      </c>
      <c r="G18" s="18" t="n">
        <v>44.3742747</v>
      </c>
      <c r="H18" s="20" t="n">
        <v>2.68025587</v>
      </c>
      <c r="I18" s="18" t="n">
        <v>0</v>
      </c>
      <c r="J18" s="20" t="n">
        <v>0</v>
      </c>
      <c r="K18" s="18" t="n">
        <v>0.44844175</v>
      </c>
      <c r="L18" s="20" t="n">
        <v>0.33028624</v>
      </c>
      <c r="M18" s="18" t="n">
        <v>0</v>
      </c>
      <c r="N18" s="20" t="n">
        <v>0</v>
      </c>
      <c r="O18" s="18" t="n">
        <v>0</v>
      </c>
      <c r="P18" s="20" t="n">
        <v>0</v>
      </c>
      <c r="Q18" s="18" t="n">
        <v>15.8325145</v>
      </c>
      <c r="R18" s="20" t="n">
        <v>1.89961128</v>
      </c>
    </row>
    <row r="19" spans="1:18">
      <c r="A19" s="15" t="s">
        <v>441</v>
      </c>
      <c r="B19" s="17" t="n">
        <v>5658</v>
      </c>
      <c r="C19" s="18">
        <f>(4967.0/B19*100)</f>
        <v/>
      </c>
      <c r="D19" s="19" t="n">
        <v>691</v>
      </c>
      <c r="E19" s="18" t="n">
        <v>46.19731221</v>
      </c>
      <c r="F19" s="20" t="n">
        <v>1.92810007</v>
      </c>
      <c r="G19" s="18" t="n">
        <v>33.41714552</v>
      </c>
      <c r="H19" s="20" t="n">
        <v>1.99009191</v>
      </c>
      <c r="I19" s="18" t="n">
        <v>0</v>
      </c>
      <c r="J19" s="20" t="n">
        <v>0</v>
      </c>
      <c r="K19" s="18" t="n">
        <v>0.29933932</v>
      </c>
      <c r="L19" s="20" t="n">
        <v>0.32757298</v>
      </c>
      <c r="M19" s="18" t="n">
        <v>0</v>
      </c>
      <c r="N19" s="20" t="n">
        <v>0</v>
      </c>
      <c r="O19" s="18" t="n">
        <v>0</v>
      </c>
      <c r="P19" s="20" t="n">
        <v>0</v>
      </c>
      <c r="Q19" s="18" t="n">
        <v>20.08620294</v>
      </c>
      <c r="R19" s="20" t="n">
        <v>1.70173579</v>
      </c>
    </row>
    <row r="20" spans="1:18">
      <c r="A20" s="15" t="s">
        <v>442</v>
      </c>
      <c r="B20" s="17" t="n">
        <v>3371</v>
      </c>
      <c r="C20" s="18">
        <f>(2963.0/B20*100)</f>
        <v/>
      </c>
      <c r="D20" s="19" t="n">
        <v>408</v>
      </c>
      <c r="E20" s="18" t="n">
        <v>57.87020873</v>
      </c>
      <c r="F20" s="20" t="n">
        <v>2.1072514</v>
      </c>
      <c r="G20" s="18" t="n">
        <v>30.61193147</v>
      </c>
      <c r="H20" s="20" t="n">
        <v>2.00949174</v>
      </c>
      <c r="I20" s="18" t="n">
        <v>0</v>
      </c>
      <c r="J20" s="20" t="n">
        <v>0</v>
      </c>
      <c r="K20" s="18" t="n">
        <v>0.61616072</v>
      </c>
      <c r="L20" s="20" t="n">
        <v>0.44892804</v>
      </c>
      <c r="M20" s="18" t="n">
        <v>0</v>
      </c>
      <c r="N20" s="20" t="n">
        <v>0</v>
      </c>
      <c r="O20" s="18" t="n">
        <v>0</v>
      </c>
      <c r="P20" s="20" t="n">
        <v>0</v>
      </c>
      <c r="Q20" s="18" t="n">
        <v>10.90169908</v>
      </c>
      <c r="R20" s="20" t="n">
        <v>1.36338852</v>
      </c>
    </row>
    <row r="21" spans="1:18">
      <c r="A21" s="15" t="s">
        <v>443</v>
      </c>
      <c r="B21" s="17" t="n">
        <v>5741</v>
      </c>
      <c r="C21" s="18">
        <f>(4790.0/B21*100)</f>
        <v/>
      </c>
      <c r="D21" s="19" t="n">
        <v>951</v>
      </c>
      <c r="E21" s="18" t="n">
        <v>42.17519186</v>
      </c>
      <c r="F21" s="20" t="n">
        <v>1.51254035</v>
      </c>
      <c r="G21" s="18" t="n">
        <v>49.64290113</v>
      </c>
      <c r="H21" s="20" t="n">
        <v>1.75840283</v>
      </c>
      <c r="I21" s="18" t="n">
        <v>0</v>
      </c>
      <c r="J21" s="20" t="n">
        <v>0</v>
      </c>
      <c r="K21" s="18" t="n">
        <v>0.25448972</v>
      </c>
      <c r="L21" s="20" t="n">
        <v>0.14341518</v>
      </c>
      <c r="M21" s="18" t="n">
        <v>0</v>
      </c>
      <c r="N21" s="20" t="n">
        <v>0</v>
      </c>
      <c r="O21" s="18" t="n">
        <v>0</v>
      </c>
      <c r="P21" s="20" t="n">
        <v>0</v>
      </c>
      <c r="Q21" s="18" t="n">
        <v>7.9274173</v>
      </c>
      <c r="R21" s="20" t="n">
        <v>0.79882748</v>
      </c>
    </row>
    <row r="22" spans="1:18">
      <c r="A22" s="15" t="s">
        <v>444</v>
      </c>
      <c r="B22" s="17" t="n">
        <v>6598</v>
      </c>
      <c r="C22" s="18">
        <f>(5844.0/B22*100)</f>
        <v/>
      </c>
      <c r="D22" s="19" t="n">
        <v>754</v>
      </c>
      <c r="E22" s="18" t="n">
        <v>38.01921731</v>
      </c>
      <c r="F22" s="20" t="n">
        <v>2.04422229</v>
      </c>
      <c r="G22" s="18" t="n">
        <v>43.40966674</v>
      </c>
      <c r="H22" s="20" t="n">
        <v>2.31959975</v>
      </c>
      <c r="I22" s="18" t="n">
        <v>0</v>
      </c>
      <c r="J22" s="20" t="n">
        <v>0</v>
      </c>
      <c r="K22" s="18" t="n">
        <v>1.17155989</v>
      </c>
      <c r="L22" s="20" t="n">
        <v>0.39095573</v>
      </c>
      <c r="M22" s="18" t="n">
        <v>0</v>
      </c>
      <c r="N22" s="20" t="n">
        <v>0</v>
      </c>
      <c r="O22" s="18" t="n">
        <v>0</v>
      </c>
      <c r="P22" s="20" t="n">
        <v>0</v>
      </c>
      <c r="Q22" s="18" t="n">
        <v>17.39955606</v>
      </c>
      <c r="R22" s="20" t="n">
        <v>1.7775188</v>
      </c>
    </row>
    <row r="23" spans="1:18">
      <c r="A23" s="15" t="s">
        <v>445</v>
      </c>
      <c r="B23" s="17" t="n">
        <v>11583</v>
      </c>
      <c r="C23" s="18">
        <f>(10298.0/B23*100)</f>
        <v/>
      </c>
      <c r="D23" s="19" t="n">
        <v>1285</v>
      </c>
      <c r="E23" s="18" t="n">
        <v>42.0269701</v>
      </c>
      <c r="F23" s="20" t="n">
        <v>1.80200254</v>
      </c>
      <c r="G23" s="18" t="n">
        <v>42.38090792</v>
      </c>
      <c r="H23" s="20" t="n">
        <v>1.99719416</v>
      </c>
      <c r="I23" s="18" t="n">
        <v>0</v>
      </c>
      <c r="J23" s="20" t="n">
        <v>0</v>
      </c>
      <c r="K23" s="18" t="n">
        <v>0.34042345</v>
      </c>
      <c r="L23" s="20" t="n">
        <v>0.2560195</v>
      </c>
      <c r="M23" s="18" t="n">
        <v>0</v>
      </c>
      <c r="N23" s="20" t="n">
        <v>0</v>
      </c>
      <c r="O23" s="18" t="n">
        <v>0</v>
      </c>
      <c r="P23" s="20" t="n">
        <v>0</v>
      </c>
      <c r="Q23" s="18" t="n">
        <v>15.25169853</v>
      </c>
      <c r="R23" s="20" t="n">
        <v>1.58027765</v>
      </c>
    </row>
    <row r="24" spans="1:18">
      <c r="A24" s="15" t="s">
        <v>446</v>
      </c>
      <c r="B24" s="17" t="n">
        <v>6647</v>
      </c>
      <c r="C24" s="18">
        <f>(5848.0/B24*100)</f>
        <v/>
      </c>
      <c r="D24" s="19" t="n">
        <v>799</v>
      </c>
      <c r="E24" s="18" t="n">
        <v>27.11341688</v>
      </c>
      <c r="F24" s="20" t="n">
        <v>1.55104444</v>
      </c>
      <c r="G24" s="18" t="n">
        <v>53.03883603</v>
      </c>
      <c r="H24" s="20" t="n">
        <v>1.7571639</v>
      </c>
      <c r="I24" s="18" t="n">
        <v>0</v>
      </c>
      <c r="J24" s="20" t="n">
        <v>0</v>
      </c>
      <c r="K24" s="18" t="n">
        <v>0.2703368</v>
      </c>
      <c r="L24" s="20" t="n">
        <v>0.18936915</v>
      </c>
      <c r="M24" s="18" t="n">
        <v>0</v>
      </c>
      <c r="N24" s="20" t="n">
        <v>0</v>
      </c>
      <c r="O24" s="18" t="n">
        <v>0</v>
      </c>
      <c r="P24" s="20" t="n">
        <v>0</v>
      </c>
      <c r="Q24" s="18" t="n">
        <v>19.57741029</v>
      </c>
      <c r="R24" s="20" t="n">
        <v>1.54618143</v>
      </c>
    </row>
    <row r="25" spans="1:18">
      <c r="A25" s="15" t="s">
        <v>447</v>
      </c>
      <c r="B25" s="17" t="n">
        <v>5581</v>
      </c>
      <c r="C25" s="18">
        <f>(4891.0/B25*100)</f>
        <v/>
      </c>
      <c r="D25" s="19" t="n">
        <v>690</v>
      </c>
      <c r="E25" s="18" t="n">
        <v>42.59453834</v>
      </c>
      <c r="F25" s="20" t="n">
        <v>2.20463541</v>
      </c>
      <c r="G25" s="18" t="n">
        <v>39.57903002</v>
      </c>
      <c r="H25" s="20" t="n">
        <v>2.27302857</v>
      </c>
      <c r="I25" s="18" t="n">
        <v>0</v>
      </c>
      <c r="J25" s="20" t="n">
        <v>0</v>
      </c>
      <c r="K25" s="18" t="n">
        <v>0.6962065</v>
      </c>
      <c r="L25" s="20" t="n">
        <v>0.31205394</v>
      </c>
      <c r="M25" s="18" t="n">
        <v>0</v>
      </c>
      <c r="N25" s="20" t="n">
        <v>0</v>
      </c>
      <c r="O25" s="18" t="n">
        <v>0</v>
      </c>
      <c r="P25" s="20" t="n">
        <v>0</v>
      </c>
      <c r="Q25" s="18" t="n">
        <v>17.13022515</v>
      </c>
      <c r="R25" s="20" t="n">
        <v>1.6298487</v>
      </c>
    </row>
    <row r="26" spans="1:18">
      <c r="A26" s="15" t="s">
        <v>448</v>
      </c>
      <c r="B26" s="17" t="n">
        <v>4869</v>
      </c>
      <c r="C26" s="18">
        <f>(4266.0/B26*100)</f>
        <v/>
      </c>
      <c r="D26" s="19" t="n">
        <v>603</v>
      </c>
      <c r="E26" s="18" t="n">
        <v>45.77289925</v>
      </c>
      <c r="F26" s="20" t="n">
        <v>2.24003709</v>
      </c>
      <c r="G26" s="18" t="n">
        <v>45.74519865</v>
      </c>
      <c r="H26" s="20" t="n">
        <v>2.26245421</v>
      </c>
      <c r="I26" s="18" t="n">
        <v>0</v>
      </c>
      <c r="J26" s="20" t="n">
        <v>0</v>
      </c>
      <c r="K26" s="18" t="n">
        <v>0</v>
      </c>
      <c r="L26" s="20" t="n">
        <v>0</v>
      </c>
      <c r="M26" s="18" t="n">
        <v>0</v>
      </c>
      <c r="N26" s="20" t="n">
        <v>0</v>
      </c>
      <c r="O26" s="18" t="n">
        <v>0</v>
      </c>
      <c r="P26" s="20" t="n">
        <v>0</v>
      </c>
      <c r="Q26" s="18" t="n">
        <v>8.48190209</v>
      </c>
      <c r="R26" s="20" t="n">
        <v>1.38337811</v>
      </c>
    </row>
    <row r="27" spans="1:18">
      <c r="A27" s="15" t="s">
        <v>449</v>
      </c>
      <c r="B27" s="17" t="n">
        <v>5299</v>
      </c>
      <c r="C27" s="18">
        <f>(4635.0/B27*100)</f>
        <v/>
      </c>
      <c r="D27" s="19" t="n">
        <v>664</v>
      </c>
      <c r="E27" s="18" t="n">
        <v>45.63665076</v>
      </c>
      <c r="F27" s="20" t="n">
        <v>1.71290107</v>
      </c>
      <c r="G27" s="18" t="n">
        <v>37.19102471</v>
      </c>
      <c r="H27" s="20" t="n">
        <v>1.66305627</v>
      </c>
      <c r="I27" s="18" t="n">
        <v>0</v>
      </c>
      <c r="J27" s="20" t="n">
        <v>0</v>
      </c>
      <c r="K27" s="18" t="n">
        <v>0.30092972</v>
      </c>
      <c r="L27" s="20" t="n">
        <v>0.21115604</v>
      </c>
      <c r="M27" s="18" t="n">
        <v>0</v>
      </c>
      <c r="N27" s="20" t="n">
        <v>0</v>
      </c>
      <c r="O27" s="18" t="n">
        <v>0</v>
      </c>
      <c r="P27" s="20" t="n">
        <v>0</v>
      </c>
      <c r="Q27" s="18" t="n">
        <v>16.87139482</v>
      </c>
      <c r="R27" s="20" t="n">
        <v>1.38672955</v>
      </c>
    </row>
    <row r="28" spans="1:18">
      <c r="A28" s="15" t="s">
        <v>450</v>
      </c>
      <c r="B28" s="17" t="n">
        <v>7568</v>
      </c>
      <c r="C28" s="18">
        <f>(6681.0/B28*100)</f>
        <v/>
      </c>
      <c r="D28" s="19" t="n">
        <v>887</v>
      </c>
      <c r="E28" s="18" t="n">
        <v>69.49831973000001</v>
      </c>
      <c r="F28" s="20" t="n">
        <v>1.84059023</v>
      </c>
      <c r="G28" s="18" t="n">
        <v>20.37821377</v>
      </c>
      <c r="H28" s="20" t="n">
        <v>1.67135809</v>
      </c>
      <c r="I28" s="18" t="n">
        <v>0</v>
      </c>
      <c r="J28" s="20" t="n">
        <v>0</v>
      </c>
      <c r="K28" s="18" t="n">
        <v>0</v>
      </c>
      <c r="L28" s="20" t="n">
        <v>0</v>
      </c>
      <c r="M28" s="18" t="n">
        <v>0</v>
      </c>
      <c r="N28" s="20" t="n">
        <v>0</v>
      </c>
      <c r="O28" s="18" t="n">
        <v>0</v>
      </c>
      <c r="P28" s="20" t="n">
        <v>0</v>
      </c>
      <c r="Q28" s="18" t="n">
        <v>10.1234665</v>
      </c>
      <c r="R28" s="20" t="n">
        <v>1.16063387</v>
      </c>
    </row>
    <row r="29" spans="1:18">
      <c r="A29" s="15" t="s">
        <v>451</v>
      </c>
      <c r="B29" s="17" t="n">
        <v>5385</v>
      </c>
      <c r="C29" s="18">
        <f>(4753.0/B29*100)</f>
        <v/>
      </c>
      <c r="D29" s="19" t="n">
        <v>632</v>
      </c>
      <c r="E29" s="18" t="n">
        <v>46.57687205</v>
      </c>
      <c r="F29" s="20" t="n">
        <v>1.89490335</v>
      </c>
      <c r="G29" s="18" t="n">
        <v>48.69040994</v>
      </c>
      <c r="H29" s="20" t="n">
        <v>1.80893982</v>
      </c>
      <c r="I29" s="18" t="n">
        <v>0</v>
      </c>
      <c r="J29" s="20" t="n">
        <v>0</v>
      </c>
      <c r="K29" s="18" t="n">
        <v>0</v>
      </c>
      <c r="L29" s="20" t="n">
        <v>0</v>
      </c>
      <c r="M29" s="18" t="n">
        <v>0</v>
      </c>
      <c r="N29" s="20" t="n">
        <v>0</v>
      </c>
      <c r="O29" s="18" t="n">
        <v>0</v>
      </c>
      <c r="P29" s="20" t="n">
        <v>0</v>
      </c>
      <c r="Q29" s="18" t="n">
        <v>4.73271801</v>
      </c>
      <c r="R29" s="20" t="n">
        <v>0.85925034</v>
      </c>
    </row>
    <row r="30" spans="1:18">
      <c r="A30" s="15" t="s">
        <v>452</v>
      </c>
      <c r="B30" s="17" t="n">
        <v>4520</v>
      </c>
      <c r="C30" s="18">
        <f>(3992.0/B30*100)</f>
        <v/>
      </c>
      <c r="D30" s="19" t="n">
        <v>528</v>
      </c>
      <c r="E30" s="18" t="n">
        <v>39.4389584</v>
      </c>
      <c r="F30" s="20" t="n">
        <v>2.55848574</v>
      </c>
      <c r="G30" s="18" t="n">
        <v>43.22620833</v>
      </c>
      <c r="H30" s="20" t="n">
        <v>2.4495254</v>
      </c>
      <c r="I30" s="18" t="n">
        <v>0</v>
      </c>
      <c r="J30" s="20" t="n">
        <v>0</v>
      </c>
      <c r="K30" s="18" t="n">
        <v>0.71125623</v>
      </c>
      <c r="L30" s="20" t="n">
        <v>0.34910164</v>
      </c>
      <c r="M30" s="18" t="n">
        <v>0</v>
      </c>
      <c r="N30" s="20" t="n">
        <v>0</v>
      </c>
      <c r="O30" s="18" t="n">
        <v>0</v>
      </c>
      <c r="P30" s="20" t="n">
        <v>0</v>
      </c>
      <c r="Q30" s="18" t="n">
        <v>16.62357704</v>
      </c>
      <c r="R30" s="20" t="n">
        <v>1.82752085</v>
      </c>
    </row>
    <row r="31" spans="1:18">
      <c r="A31" s="15" t="s">
        <v>453</v>
      </c>
      <c r="B31" s="17" t="n">
        <v>5456</v>
      </c>
      <c r="C31" s="18">
        <f>(4783.0/B31*100)</f>
        <v/>
      </c>
      <c r="D31" s="19" t="n">
        <v>673</v>
      </c>
      <c r="E31" s="18" t="n">
        <v>40.47019566</v>
      </c>
      <c r="F31" s="20" t="n">
        <v>1.80238468</v>
      </c>
      <c r="G31" s="18" t="n">
        <v>45.32758178</v>
      </c>
      <c r="H31" s="20" t="n">
        <v>1.91717839</v>
      </c>
      <c r="I31" s="18" t="n">
        <v>0</v>
      </c>
      <c r="J31" s="20" t="n">
        <v>0</v>
      </c>
      <c r="K31" s="18" t="n">
        <v>1.22510443</v>
      </c>
      <c r="L31" s="20" t="n">
        <v>0.42776779</v>
      </c>
      <c r="M31" s="18" t="n">
        <v>0</v>
      </c>
      <c r="N31" s="20" t="n">
        <v>0</v>
      </c>
      <c r="O31" s="18" t="n">
        <v>0</v>
      </c>
      <c r="P31" s="20" t="n">
        <v>0</v>
      </c>
      <c r="Q31" s="18" t="n">
        <v>12.97711813</v>
      </c>
      <c r="R31" s="20" t="n">
        <v>1.40054436</v>
      </c>
    </row>
    <row r="32" spans="1:18">
      <c r="A32" s="15" t="s">
        <v>454</v>
      </c>
      <c r="B32" s="17" t="n">
        <v>4478</v>
      </c>
      <c r="C32" s="18">
        <f>(3721.0/B32*100)</f>
        <v/>
      </c>
      <c r="D32" s="19" t="n">
        <v>757</v>
      </c>
      <c r="E32" s="18" t="n">
        <v>39.63388775</v>
      </c>
      <c r="F32" s="20" t="n">
        <v>1.73799555</v>
      </c>
      <c r="G32" s="18" t="n">
        <v>45.61052101</v>
      </c>
      <c r="H32" s="20" t="n">
        <v>1.83437461</v>
      </c>
      <c r="I32" s="18" t="n">
        <v>0</v>
      </c>
      <c r="J32" s="20" t="n">
        <v>0</v>
      </c>
      <c r="K32" s="18" t="n">
        <v>0.24444959</v>
      </c>
      <c r="L32" s="20" t="n">
        <v>0.0113791</v>
      </c>
      <c r="M32" s="18" t="n">
        <v>0.11026957</v>
      </c>
      <c r="N32" s="20" t="n">
        <v>0.11021179</v>
      </c>
      <c r="O32" s="18" t="n">
        <v>0</v>
      </c>
      <c r="P32" s="20" t="n">
        <v>0</v>
      </c>
      <c r="Q32" s="18" t="n">
        <v>14.40087208</v>
      </c>
      <c r="R32" s="20" t="n">
        <v>1.55244874</v>
      </c>
    </row>
    <row r="33" spans="1:18">
      <c r="A33" s="15" t="s">
        <v>455</v>
      </c>
      <c r="B33" s="17" t="n">
        <v>7325</v>
      </c>
      <c r="C33" s="18">
        <f>(6438.0/B33*100)</f>
        <v/>
      </c>
      <c r="D33" s="19" t="n">
        <v>887</v>
      </c>
      <c r="E33" s="18" t="n">
        <v>44.14887119</v>
      </c>
      <c r="F33" s="20" t="n">
        <v>1.89350007</v>
      </c>
      <c r="G33" s="18" t="n">
        <v>45.93271109</v>
      </c>
      <c r="H33" s="20" t="n">
        <v>1.78957367</v>
      </c>
      <c r="I33" s="18" t="n">
        <v>0</v>
      </c>
      <c r="J33" s="20" t="n">
        <v>0</v>
      </c>
      <c r="K33" s="18" t="n">
        <v>0.01592369</v>
      </c>
      <c r="L33" s="20" t="n">
        <v>0.01691401</v>
      </c>
      <c r="M33" s="18" t="n">
        <v>0</v>
      </c>
      <c r="N33" s="20" t="n">
        <v>0</v>
      </c>
      <c r="O33" s="18" t="n">
        <v>0</v>
      </c>
      <c r="P33" s="20" t="n">
        <v>0</v>
      </c>
      <c r="Q33" s="18" t="n">
        <v>9.902494020000001</v>
      </c>
      <c r="R33" s="20" t="n">
        <v>1.24048792</v>
      </c>
    </row>
    <row r="34" spans="1:18">
      <c r="A34" s="15" t="s">
        <v>456</v>
      </c>
      <c r="B34" s="17" t="n">
        <v>6350</v>
      </c>
      <c r="C34" s="18">
        <f>(5626.0/B34*100)</f>
        <v/>
      </c>
      <c r="D34" s="19" t="n">
        <v>724</v>
      </c>
      <c r="E34" s="18" t="n">
        <v>54.20180056</v>
      </c>
      <c r="F34" s="20" t="n">
        <v>1.91228726</v>
      </c>
      <c r="G34" s="18" t="n">
        <v>27.86441492</v>
      </c>
      <c r="H34" s="20" t="n">
        <v>1.78310186</v>
      </c>
      <c r="I34" s="18" t="n">
        <v>0</v>
      </c>
      <c r="J34" s="20" t="n">
        <v>0</v>
      </c>
      <c r="K34" s="18" t="n">
        <v>0.38219804</v>
      </c>
      <c r="L34" s="20" t="n">
        <v>0.2426346</v>
      </c>
      <c r="M34" s="18" t="n">
        <v>0</v>
      </c>
      <c r="N34" s="20" t="n">
        <v>0</v>
      </c>
      <c r="O34" s="18" t="n">
        <v>0</v>
      </c>
      <c r="P34" s="20" t="n">
        <v>0</v>
      </c>
      <c r="Q34" s="18" t="n">
        <v>17.55158648</v>
      </c>
      <c r="R34" s="20" t="n">
        <v>1.53457761</v>
      </c>
    </row>
    <row r="35" spans="1:18">
      <c r="A35" s="15" t="s">
        <v>457</v>
      </c>
      <c r="B35" s="17" t="n">
        <v>6406</v>
      </c>
      <c r="C35" s="18">
        <f>(5648.0/B35*100)</f>
        <v/>
      </c>
      <c r="D35" s="19" t="n">
        <v>758</v>
      </c>
      <c r="E35" s="18" t="n">
        <v>43.99708107</v>
      </c>
      <c r="F35" s="20" t="n">
        <v>2.26703119</v>
      </c>
      <c r="G35" s="18" t="n">
        <v>44.84699686</v>
      </c>
      <c r="H35" s="20" t="n">
        <v>2.27501525</v>
      </c>
      <c r="I35" s="18" t="n">
        <v>0</v>
      </c>
      <c r="J35" s="20" t="n">
        <v>0</v>
      </c>
      <c r="K35" s="18" t="n">
        <v>0.48533385</v>
      </c>
      <c r="L35" s="20" t="n">
        <v>0.17495322</v>
      </c>
      <c r="M35" s="18" t="n">
        <v>0</v>
      </c>
      <c r="N35" s="20" t="n">
        <v>0</v>
      </c>
      <c r="O35" s="18" t="n">
        <v>0</v>
      </c>
      <c r="P35" s="20" t="n">
        <v>0</v>
      </c>
      <c r="Q35" s="18" t="n">
        <v>10.67058822</v>
      </c>
      <c r="R35" s="20" t="n">
        <v>1.26196486</v>
      </c>
    </row>
    <row r="36" spans="1:18">
      <c r="A36" s="15" t="s">
        <v>458</v>
      </c>
      <c r="B36" s="17" t="n">
        <v>6736</v>
      </c>
      <c r="C36" s="18">
        <f>(5926.0/B36*100)</f>
        <v/>
      </c>
      <c r="D36" s="19" t="n">
        <v>810</v>
      </c>
      <c r="E36" s="18" t="n">
        <v>44.83207859</v>
      </c>
      <c r="F36" s="20" t="n">
        <v>1.83621297</v>
      </c>
      <c r="G36" s="18" t="n">
        <v>40.19072431</v>
      </c>
      <c r="H36" s="20" t="n">
        <v>1.70800844</v>
      </c>
      <c r="I36" s="18" t="n">
        <v>0</v>
      </c>
      <c r="J36" s="20" t="n">
        <v>0</v>
      </c>
      <c r="K36" s="18" t="n">
        <v>0.48511223</v>
      </c>
      <c r="L36" s="20" t="n">
        <v>0.20705261</v>
      </c>
      <c r="M36" s="18" t="n">
        <v>0</v>
      </c>
      <c r="N36" s="20" t="n">
        <v>0</v>
      </c>
      <c r="O36" s="18" t="n">
        <v>0</v>
      </c>
      <c r="P36" s="20" t="n">
        <v>0</v>
      </c>
      <c r="Q36" s="18" t="n">
        <v>14.49208487</v>
      </c>
      <c r="R36" s="20" t="n">
        <v>1.4377993</v>
      </c>
    </row>
    <row r="37" spans="1:18">
      <c r="A37" s="15" t="s">
        <v>459</v>
      </c>
      <c r="B37" s="17" t="n">
        <v>5458</v>
      </c>
      <c r="C37" s="18">
        <f>(4782.0/B37*100)</f>
        <v/>
      </c>
      <c r="D37" s="19" t="n">
        <v>676</v>
      </c>
      <c r="E37" s="18" t="n">
        <v>46.87639307</v>
      </c>
      <c r="F37" s="20" t="n">
        <v>2.05225656</v>
      </c>
      <c r="G37" s="18" t="n">
        <v>37.08495613</v>
      </c>
      <c r="H37" s="20" t="n">
        <v>2.08612452</v>
      </c>
      <c r="I37" s="18" t="n">
        <v>0</v>
      </c>
      <c r="J37" s="20" t="n">
        <v>0</v>
      </c>
      <c r="K37" s="18" t="n">
        <v>0.56471952</v>
      </c>
      <c r="L37" s="20" t="n">
        <v>0.2937892</v>
      </c>
      <c r="M37" s="18" t="n">
        <v>0</v>
      </c>
      <c r="N37" s="20" t="n">
        <v>0</v>
      </c>
      <c r="O37" s="18" t="n">
        <v>0</v>
      </c>
      <c r="P37" s="20" t="n">
        <v>0</v>
      </c>
      <c r="Q37" s="18" t="n">
        <v>15.47393127</v>
      </c>
      <c r="R37" s="20" t="n">
        <v>1.82298638</v>
      </c>
    </row>
    <row r="38" spans="1:18">
      <c r="A38" s="15" t="s">
        <v>460</v>
      </c>
      <c r="B38" s="17" t="n">
        <v>5860</v>
      </c>
      <c r="C38" s="18">
        <f>(4870.0/B38*100)</f>
        <v/>
      </c>
      <c r="D38" s="19" t="n">
        <v>990</v>
      </c>
      <c r="E38" s="18" t="n">
        <v>45.21551372</v>
      </c>
      <c r="F38" s="20" t="n">
        <v>1.84578329</v>
      </c>
      <c r="G38" s="18" t="n">
        <v>42.1455563</v>
      </c>
      <c r="H38" s="20" t="n">
        <v>1.83214325</v>
      </c>
      <c r="I38" s="18" t="n">
        <v>0</v>
      </c>
      <c r="J38" s="20" t="n">
        <v>0</v>
      </c>
      <c r="K38" s="18" t="n">
        <v>1.07637116</v>
      </c>
      <c r="L38" s="20" t="n">
        <v>0.41398619</v>
      </c>
      <c r="M38" s="18" t="n">
        <v>0</v>
      </c>
      <c r="N38" s="20" t="n">
        <v>0</v>
      </c>
      <c r="O38" s="18" t="n">
        <v>0</v>
      </c>
      <c r="P38" s="20" t="n">
        <v>0</v>
      </c>
      <c r="Q38" s="18" t="n">
        <v>11.56255882</v>
      </c>
      <c r="R38" s="20" t="n">
        <v>1.22772492</v>
      </c>
    </row>
    <row r="39" spans="1:18">
      <c r="A39" s="15" t="s">
        <v>461</v>
      </c>
      <c r="B39" s="17" t="n">
        <v>5895</v>
      </c>
      <c r="C39" s="18">
        <f>(5162.0/B39*100)</f>
        <v/>
      </c>
      <c r="D39" s="19" t="n">
        <v>733</v>
      </c>
      <c r="E39" s="18" t="n">
        <v>55.82215502</v>
      </c>
      <c r="F39" s="20" t="n">
        <v>1.78849043</v>
      </c>
      <c r="G39" s="18" t="n">
        <v>29.80315444</v>
      </c>
      <c r="H39" s="20" t="n">
        <v>1.76512261</v>
      </c>
      <c r="I39" s="18" t="n">
        <v>0</v>
      </c>
      <c r="J39" s="20" t="n">
        <v>0</v>
      </c>
      <c r="K39" s="18" t="n">
        <v>0.19889279</v>
      </c>
      <c r="L39" s="20" t="n">
        <v>0.14182982</v>
      </c>
      <c r="M39" s="18" t="n">
        <v>0</v>
      </c>
      <c r="N39" s="20" t="n">
        <v>0</v>
      </c>
      <c r="O39" s="18" t="n">
        <v>0</v>
      </c>
      <c r="P39" s="20" t="n">
        <v>0</v>
      </c>
      <c r="Q39" s="18" t="n">
        <v>14.17579775</v>
      </c>
      <c r="R39" s="20" t="n">
        <v>1.23375498</v>
      </c>
    </row>
    <row r="40" spans="1:18">
      <c r="A40" s="15" t="s">
        <v>462</v>
      </c>
      <c r="B40" s="17" t="n">
        <v>14157</v>
      </c>
      <c r="C40" s="18">
        <f>(12444.0/B40*100)</f>
        <v/>
      </c>
      <c r="D40" s="19" t="n">
        <v>1713</v>
      </c>
      <c r="E40" s="18" t="n">
        <v>32.87813707</v>
      </c>
      <c r="F40" s="20" t="n">
        <v>1.93811466</v>
      </c>
      <c r="G40" s="18" t="n">
        <v>48.28717472</v>
      </c>
      <c r="H40" s="20" t="n">
        <v>2.12539645</v>
      </c>
      <c r="I40" s="18" t="n">
        <v>0</v>
      </c>
      <c r="J40" s="20" t="n">
        <v>0</v>
      </c>
      <c r="K40" s="18" t="n">
        <v>0.47469506</v>
      </c>
      <c r="L40" s="20" t="n">
        <v>0.25306831</v>
      </c>
      <c r="M40" s="18" t="n">
        <v>0</v>
      </c>
      <c r="N40" s="20" t="n">
        <v>0</v>
      </c>
      <c r="O40" s="18" t="n">
        <v>0</v>
      </c>
      <c r="P40" s="20" t="n">
        <v>0</v>
      </c>
      <c r="Q40" s="18" t="n">
        <v>18.35999315</v>
      </c>
      <c r="R40" s="20" t="n">
        <v>1.61562102</v>
      </c>
    </row>
    <row r="41" spans="1:18">
      <c r="A41" s="15" t="s">
        <v>463</v>
      </c>
      <c r="B41" s="17" t="n">
        <v>5712</v>
      </c>
      <c r="C41" s="18">
        <f>(5008.0/B41*100)</f>
        <v/>
      </c>
      <c r="D41" s="19" t="n">
        <v>704</v>
      </c>
      <c r="E41" s="18" t="n">
        <v>52.084169</v>
      </c>
      <c r="F41" s="20" t="n">
        <v>2.03945594</v>
      </c>
      <c r="G41" s="18" t="n">
        <v>41.95130525</v>
      </c>
      <c r="H41" s="20" t="n">
        <v>2.07024768</v>
      </c>
      <c r="I41" s="18" t="n">
        <v>0</v>
      </c>
      <c r="J41" s="20" t="n">
        <v>0</v>
      </c>
      <c r="K41" s="18" t="n">
        <v>0.15051621</v>
      </c>
      <c r="L41" s="20" t="n">
        <v>0.14887503</v>
      </c>
      <c r="M41" s="18" t="n">
        <v>0</v>
      </c>
      <c r="N41" s="20" t="n">
        <v>0</v>
      </c>
      <c r="O41" s="18" t="n">
        <v>0</v>
      </c>
      <c r="P41" s="20" t="n">
        <v>0</v>
      </c>
      <c r="Q41" s="18" t="n">
        <v>5.81400954</v>
      </c>
      <c r="R41" s="20" t="n">
        <v>0.8499213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(20657.0/B46*100)</f>
        <v/>
      </c>
      <c r="D46" s="19" t="n">
        <v>2484</v>
      </c>
      <c r="E46" s="18" t="n">
        <v>50.11408095</v>
      </c>
      <c r="F46" s="20" t="n">
        <v>1.27714717</v>
      </c>
      <c r="G46" s="18" t="n">
        <v>26.4799944</v>
      </c>
      <c r="H46" s="20" t="n">
        <v>1.25304432</v>
      </c>
      <c r="I46" s="18" t="n">
        <v>0</v>
      </c>
      <c r="J46" s="20" t="n">
        <v>0</v>
      </c>
      <c r="K46" s="18" t="n">
        <v>1.44678845</v>
      </c>
      <c r="L46" s="20" t="n">
        <v>0.35751276</v>
      </c>
      <c r="M46" s="18" t="n">
        <v>0</v>
      </c>
      <c r="N46" s="20" t="n">
        <v>0</v>
      </c>
      <c r="O46" s="18" t="n">
        <v>0</v>
      </c>
      <c r="P46" s="20" t="n">
        <v>0</v>
      </c>
      <c r="Q46" s="18" t="n">
        <v>21.95913621</v>
      </c>
      <c r="R46" s="20" t="n">
        <v>1.24001066</v>
      </c>
    </row>
    <row r="47" spans="1:18">
      <c r="A47" s="15" t="s">
        <v>470</v>
      </c>
      <c r="B47" s="17" t="n">
        <v>5928</v>
      </c>
      <c r="C47" s="18">
        <f>(5229.0/B47*100)</f>
        <v/>
      </c>
      <c r="D47" s="19" t="n">
        <v>699</v>
      </c>
      <c r="E47" s="18" t="n">
        <v>52.85913958</v>
      </c>
      <c r="F47" s="20" t="n">
        <v>1.8323518</v>
      </c>
      <c r="G47" s="18" t="n">
        <v>25.89464564</v>
      </c>
      <c r="H47" s="20" t="n">
        <v>1.76216608</v>
      </c>
      <c r="I47" s="18" t="n">
        <v>0</v>
      </c>
      <c r="J47" s="20" t="n">
        <v>0</v>
      </c>
      <c r="K47" s="18" t="n">
        <v>0.26629977</v>
      </c>
      <c r="L47" s="20" t="n">
        <v>0.15985729</v>
      </c>
      <c r="M47" s="18" t="n">
        <v>0</v>
      </c>
      <c r="N47" s="20" t="n">
        <v>0</v>
      </c>
      <c r="O47" s="18" t="n">
        <v>0</v>
      </c>
      <c r="P47" s="20" t="n">
        <v>0</v>
      </c>
      <c r="Q47" s="18" t="n">
        <v>20.97991501</v>
      </c>
      <c r="R47" s="20" t="n">
        <v>1.72463768</v>
      </c>
    </row>
    <row r="48" spans="1:18">
      <c r="A48" s="15" t="s">
        <v>471</v>
      </c>
      <c r="B48" s="17" t="n">
        <v>9841</v>
      </c>
      <c r="C48" s="18">
        <f>(8641.0/B48*100)</f>
        <v/>
      </c>
      <c r="D48" s="19" t="n">
        <v>1200</v>
      </c>
      <c r="E48" s="18" t="n">
        <v>52.31541925</v>
      </c>
      <c r="F48" s="20" t="n">
        <v>2.25477643</v>
      </c>
      <c r="G48" s="18" t="n">
        <v>36.80086603</v>
      </c>
      <c r="H48" s="20" t="n">
        <v>2.00510384</v>
      </c>
      <c r="I48" s="18" t="n">
        <v>0</v>
      </c>
      <c r="J48" s="20" t="n">
        <v>0</v>
      </c>
      <c r="K48" s="18" t="n">
        <v>1.06572652</v>
      </c>
      <c r="L48" s="20" t="n">
        <v>0.49453075</v>
      </c>
      <c r="M48" s="18" t="n">
        <v>0</v>
      </c>
      <c r="N48" s="20" t="n">
        <v>0</v>
      </c>
      <c r="O48" s="18" t="n">
        <v>0</v>
      </c>
      <c r="P48" s="20" t="n">
        <v>0</v>
      </c>
      <c r="Q48" s="18" t="n">
        <v>9.8179882</v>
      </c>
      <c r="R48" s="20" t="n">
        <v>1.33184794</v>
      </c>
    </row>
    <row r="49" spans="1:18">
      <c r="A49" s="15" t="s">
        <v>472</v>
      </c>
      <c r="B49" s="17" t="n">
        <v>11795</v>
      </c>
      <c r="C49" s="18">
        <f>(10368.0/B49*100)</f>
        <v/>
      </c>
      <c r="D49" s="19" t="n">
        <v>1427</v>
      </c>
      <c r="E49" s="18" t="n">
        <v>61.55830006</v>
      </c>
      <c r="F49" s="20" t="n">
        <v>1.88869709</v>
      </c>
      <c r="G49" s="18" t="n">
        <v>24.57995341</v>
      </c>
      <c r="H49" s="20" t="n">
        <v>1.63142113</v>
      </c>
      <c r="I49" s="18" t="n">
        <v>0</v>
      </c>
      <c r="J49" s="20" t="n">
        <v>0</v>
      </c>
      <c r="K49" s="18" t="n">
        <v>1.10042072</v>
      </c>
      <c r="L49" s="20" t="n">
        <v>0.30827019</v>
      </c>
      <c r="M49" s="18" t="n">
        <v>0</v>
      </c>
      <c r="N49" s="20" t="n">
        <v>0</v>
      </c>
      <c r="O49" s="18" t="n">
        <v>0</v>
      </c>
      <c r="P49" s="20" t="n">
        <v>0</v>
      </c>
      <c r="Q49" s="18" t="n">
        <v>12.76132581</v>
      </c>
      <c r="R49" s="20" t="n">
        <v>1.15441103</v>
      </c>
    </row>
    <row r="50" spans="1:18">
      <c r="A50" s="15" t="s">
        <v>473</v>
      </c>
      <c r="B50" s="17" t="n">
        <v>6866</v>
      </c>
      <c r="C50" s="18">
        <f>(6163.0/B50*100)</f>
        <v/>
      </c>
      <c r="D50" s="19" t="n">
        <v>703</v>
      </c>
      <c r="E50" s="18" t="n">
        <v>63.96319458</v>
      </c>
      <c r="F50" s="20" t="n">
        <v>2.19547839</v>
      </c>
      <c r="G50" s="18" t="n">
        <v>17.06089949</v>
      </c>
      <c r="H50" s="20" t="n">
        <v>1.48265248</v>
      </c>
      <c r="I50" s="18" t="n">
        <v>0</v>
      </c>
      <c r="J50" s="20" t="n">
        <v>0</v>
      </c>
      <c r="K50" s="18" t="n">
        <v>0.61934352</v>
      </c>
      <c r="L50" s="20" t="n">
        <v>0.34044167</v>
      </c>
      <c r="M50" s="18" t="n">
        <v>0</v>
      </c>
      <c r="N50" s="20" t="n">
        <v>0</v>
      </c>
      <c r="O50" s="18" t="n">
        <v>0</v>
      </c>
      <c r="P50" s="20" t="n">
        <v>0</v>
      </c>
      <c r="Q50" s="18" t="n">
        <v>18.35656241</v>
      </c>
      <c r="R50" s="20" t="n">
        <v>1.79181594</v>
      </c>
    </row>
    <row r="51" spans="1:18">
      <c r="A51" s="15" t="s">
        <v>474</v>
      </c>
      <c r="B51" s="17" t="n">
        <v>5809</v>
      </c>
      <c r="C51" s="18">
        <f>(5090.0/B51*100)</f>
        <v/>
      </c>
      <c r="D51" s="19" t="n">
        <v>719</v>
      </c>
      <c r="E51" s="18" t="n">
        <v>42.2025763</v>
      </c>
      <c r="F51" s="20" t="n">
        <v>1.82186845</v>
      </c>
      <c r="G51" s="18" t="n">
        <v>41.01111496</v>
      </c>
      <c r="H51" s="20" t="n">
        <v>2.03316836</v>
      </c>
      <c r="I51" s="18" t="n">
        <v>0</v>
      </c>
      <c r="J51" s="20" t="n">
        <v>0</v>
      </c>
      <c r="K51" s="18" t="n">
        <v>0.12795446</v>
      </c>
      <c r="L51" s="20" t="n">
        <v>0.12764734</v>
      </c>
      <c r="M51" s="18" t="n">
        <v>0</v>
      </c>
      <c r="N51" s="20" t="n">
        <v>0</v>
      </c>
      <c r="O51" s="18" t="n">
        <v>0</v>
      </c>
      <c r="P51" s="20" t="n">
        <v>0</v>
      </c>
      <c r="Q51" s="18" t="n">
        <v>16.65835429</v>
      </c>
      <c r="R51" s="20" t="n">
        <v>1.40667239</v>
      </c>
    </row>
    <row r="52" spans="1:18">
      <c r="A52" s="15" t="s">
        <v>475</v>
      </c>
      <c r="B52" s="17" t="n">
        <v>5571</v>
      </c>
      <c r="C52" s="18">
        <f>(4884.0/B52*100)</f>
        <v/>
      </c>
      <c r="D52" s="19" t="n">
        <v>687</v>
      </c>
      <c r="E52" s="18" t="n">
        <v>38.40192177</v>
      </c>
      <c r="F52" s="20" t="n">
        <v>1.9673838</v>
      </c>
      <c r="G52" s="18" t="n">
        <v>41.08000565</v>
      </c>
      <c r="H52" s="20" t="n">
        <v>1.73690969</v>
      </c>
      <c r="I52" s="18" t="n">
        <v>0</v>
      </c>
      <c r="J52" s="20" t="n">
        <v>0</v>
      </c>
      <c r="K52" s="18" t="n">
        <v>0.63104755</v>
      </c>
      <c r="L52" s="20" t="n">
        <v>0.33183841</v>
      </c>
      <c r="M52" s="18" t="n">
        <v>0</v>
      </c>
      <c r="N52" s="20" t="n">
        <v>0</v>
      </c>
      <c r="O52" s="18" t="n">
        <v>0</v>
      </c>
      <c r="P52" s="20" t="n">
        <v>0</v>
      </c>
      <c r="Q52" s="18" t="n">
        <v>19.88702502</v>
      </c>
      <c r="R52" s="20" t="n">
        <v>1.53160813</v>
      </c>
    </row>
    <row r="53" spans="1:18">
      <c r="A53" s="15" t="s">
        <v>476</v>
      </c>
      <c r="B53" s="17" t="n">
        <v>4740</v>
      </c>
      <c r="C53" s="18">
        <f>(3962.0/B53*100)</f>
        <v/>
      </c>
      <c r="D53" s="19" t="n">
        <v>778</v>
      </c>
      <c r="E53" s="18" t="n">
        <v>49.95458487</v>
      </c>
      <c r="F53" s="20" t="n">
        <v>1.77439999</v>
      </c>
      <c r="G53" s="18" t="n">
        <v>17.04400805</v>
      </c>
      <c r="H53" s="20" t="n">
        <v>1.14694153</v>
      </c>
      <c r="I53" s="18" t="n">
        <v>0</v>
      </c>
      <c r="J53" s="20" t="n">
        <v>0</v>
      </c>
      <c r="K53" s="18" t="n">
        <v>9.08652243</v>
      </c>
      <c r="L53" s="20" t="n">
        <v>1.09867865</v>
      </c>
      <c r="M53" s="18" t="n">
        <v>0</v>
      </c>
      <c r="N53" s="20" t="n">
        <v>0</v>
      </c>
      <c r="O53" s="18" t="n">
        <v>0</v>
      </c>
      <c r="P53" s="20" t="n">
        <v>0</v>
      </c>
      <c r="Q53" s="18" t="n">
        <v>23.91488465</v>
      </c>
      <c r="R53" s="20" t="n">
        <v>1.60446039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(4697.0/B55*100)</f>
        <v/>
      </c>
      <c r="D55" s="19" t="n">
        <v>662</v>
      </c>
      <c r="E55" s="18" t="n">
        <v>60.07961919</v>
      </c>
      <c r="F55" s="20" t="n">
        <v>1.81703831</v>
      </c>
      <c r="G55" s="18" t="n">
        <v>32.77849124</v>
      </c>
      <c r="H55" s="20" t="n">
        <v>1.83567885</v>
      </c>
      <c r="I55" s="18" t="n">
        <v>0</v>
      </c>
      <c r="J55" s="20" t="n">
        <v>0</v>
      </c>
      <c r="K55" s="18" t="n">
        <v>0.26295602</v>
      </c>
      <c r="L55" s="20" t="n">
        <v>0.18634382</v>
      </c>
      <c r="M55" s="18" t="n">
        <v>0</v>
      </c>
      <c r="N55" s="20" t="n">
        <v>0</v>
      </c>
      <c r="O55" s="18" t="n">
        <v>0</v>
      </c>
      <c r="P55" s="20" t="n">
        <v>0</v>
      </c>
      <c r="Q55" s="18" t="n">
        <v>6.87893355</v>
      </c>
      <c r="R55" s="20" t="n">
        <v>1.09668072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(5748.0/B61*100)</f>
        <v/>
      </c>
      <c r="D61" s="19" t="n">
        <v>777</v>
      </c>
      <c r="E61" s="18" t="n">
        <v>46.26296877</v>
      </c>
      <c r="F61" s="20" t="n">
        <v>1.99583729</v>
      </c>
      <c r="G61" s="18" t="n">
        <v>38.94062336</v>
      </c>
      <c r="H61" s="20" t="n">
        <v>2.0222116</v>
      </c>
      <c r="I61" s="18" t="n">
        <v>0</v>
      </c>
      <c r="J61" s="20" t="n">
        <v>0</v>
      </c>
      <c r="K61" s="18" t="n">
        <v>0.18311005</v>
      </c>
      <c r="L61" s="20" t="n">
        <v>0.16123553</v>
      </c>
      <c r="M61" s="18" t="n">
        <v>0</v>
      </c>
      <c r="N61" s="20" t="n">
        <v>0</v>
      </c>
      <c r="O61" s="18" t="n">
        <v>0</v>
      </c>
      <c r="P61" s="20" t="n">
        <v>0</v>
      </c>
      <c r="Q61" s="18" t="n">
        <v>14.61329783</v>
      </c>
      <c r="R61" s="20" t="n">
        <v>1.39862773</v>
      </c>
    </row>
    <row r="62" spans="1:18">
      <c r="A62" s="15" t="s">
        <v>486</v>
      </c>
      <c r="B62" s="17" t="n">
        <v>4476</v>
      </c>
      <c r="C62" s="18">
        <f>(3922.0/B62*100)</f>
        <v/>
      </c>
      <c r="D62" s="19" t="n">
        <v>554</v>
      </c>
      <c r="E62" s="18" t="n">
        <v>58.10682095</v>
      </c>
      <c r="F62" s="20" t="n">
        <v>2.15353571</v>
      </c>
      <c r="G62" s="18" t="n">
        <v>37.36703522</v>
      </c>
      <c r="H62" s="20" t="n">
        <v>2.21755109</v>
      </c>
      <c r="I62" s="18" t="n">
        <v>0</v>
      </c>
      <c r="J62" s="20" t="n">
        <v>0</v>
      </c>
      <c r="K62" s="18" t="n">
        <v>0.18528073</v>
      </c>
      <c r="L62" s="20" t="n">
        <v>0.18367656</v>
      </c>
      <c r="M62" s="18" t="n">
        <v>0</v>
      </c>
      <c r="N62" s="20" t="n">
        <v>0</v>
      </c>
      <c r="O62" s="18" t="n">
        <v>0</v>
      </c>
      <c r="P62" s="20" t="n">
        <v>0</v>
      </c>
      <c r="Q62" s="18" t="n">
        <v>4.3408631</v>
      </c>
      <c r="R62" s="20" t="n">
        <v>0.83947944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(4973.0/B67*100)</f>
        <v/>
      </c>
      <c r="D67" s="19" t="n">
        <v>692</v>
      </c>
      <c r="E67" s="18" t="n">
        <v>35.5194072</v>
      </c>
      <c r="F67" s="20" t="n">
        <v>1.81785399</v>
      </c>
      <c r="G67" s="18" t="n">
        <v>19.76069116</v>
      </c>
      <c r="H67" s="20" t="n">
        <v>1.36370901</v>
      </c>
      <c r="I67" s="18" t="n">
        <v>0</v>
      </c>
      <c r="J67" s="20" t="n">
        <v>0</v>
      </c>
      <c r="K67" s="18" t="n">
        <v>1.55198207</v>
      </c>
      <c r="L67" s="20" t="n">
        <v>0.47999429</v>
      </c>
      <c r="M67" s="18" t="n">
        <v>0</v>
      </c>
      <c r="N67" s="20" t="n">
        <v>0</v>
      </c>
      <c r="O67" s="18" t="n">
        <v>0</v>
      </c>
      <c r="P67" s="20" t="n">
        <v>0</v>
      </c>
      <c r="Q67" s="18" t="n">
        <v>43.16791957</v>
      </c>
      <c r="R67" s="20" t="n">
        <v>1.92919031</v>
      </c>
    </row>
    <row r="68" spans="1:18">
      <c r="A68" s="15" t="s">
        <v>492</v>
      </c>
      <c r="B68" s="17" t="n">
        <v>6971</v>
      </c>
      <c r="C68" s="18">
        <f>(6174.0/B68*100)</f>
        <v/>
      </c>
      <c r="D68" s="19" t="n">
        <v>797</v>
      </c>
      <c r="E68" s="18" t="n">
        <v>72.93094701</v>
      </c>
      <c r="F68" s="20" t="n">
        <v>1.70709141</v>
      </c>
      <c r="G68" s="18" t="n">
        <v>10.70562122</v>
      </c>
      <c r="H68" s="20" t="n">
        <v>1.10548293</v>
      </c>
      <c r="I68" s="18" t="n">
        <v>0</v>
      </c>
      <c r="J68" s="20" t="n">
        <v>0</v>
      </c>
      <c r="K68" s="18" t="n">
        <v>0.09499636</v>
      </c>
      <c r="L68" s="20" t="n">
        <v>0.0948194</v>
      </c>
      <c r="M68" s="18" t="n">
        <v>0</v>
      </c>
      <c r="N68" s="20" t="n">
        <v>0</v>
      </c>
      <c r="O68" s="18" t="n">
        <v>0</v>
      </c>
      <c r="P68" s="20" t="n">
        <v>0</v>
      </c>
      <c r="Q68" s="18" t="n">
        <v>16.26843541</v>
      </c>
      <c r="R68" s="20" t="n">
        <v>1.56323457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(10062.0/B70*100)</f>
        <v/>
      </c>
      <c r="D70" s="19" t="n">
        <v>2021</v>
      </c>
      <c r="E70" s="18" t="n">
        <v>61.31645828</v>
      </c>
      <c r="F70" s="20" t="n">
        <v>0.98754648</v>
      </c>
      <c r="G70" s="18" t="n">
        <v>19.76079864</v>
      </c>
      <c r="H70" s="20" t="n">
        <v>0.90583041</v>
      </c>
      <c r="I70" s="18" t="n">
        <v>0</v>
      </c>
      <c r="J70" s="20" t="n">
        <v>0</v>
      </c>
      <c r="K70" s="18" t="n">
        <v>2.38102799</v>
      </c>
      <c r="L70" s="20" t="n">
        <v>0.33456067</v>
      </c>
      <c r="M70" s="18" t="n">
        <v>0</v>
      </c>
      <c r="N70" s="20" t="n">
        <v>0</v>
      </c>
      <c r="O70" s="18" t="n">
        <v>0</v>
      </c>
      <c r="P70" s="20" t="n">
        <v>0</v>
      </c>
      <c r="Q70" s="18" t="n">
        <v>16.5417151</v>
      </c>
      <c r="R70" s="20" t="n">
        <v>0.79360451</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(5335.0/B72*100)</f>
        <v/>
      </c>
      <c r="D72" s="19" t="n">
        <v>701</v>
      </c>
      <c r="E72" s="18" t="n">
        <v>43.14511912</v>
      </c>
      <c r="F72" s="20" t="n">
        <v>1.94682178</v>
      </c>
      <c r="G72" s="18" t="n">
        <v>40.87666498</v>
      </c>
      <c r="H72" s="20" t="n">
        <v>2.12244666</v>
      </c>
      <c r="I72" s="18" t="n">
        <v>0</v>
      </c>
      <c r="J72" s="20" t="n">
        <v>0</v>
      </c>
      <c r="K72" s="18" t="n">
        <v>0.42502176</v>
      </c>
      <c r="L72" s="20" t="n">
        <v>0.24892187</v>
      </c>
      <c r="M72" s="18" t="n">
        <v>0</v>
      </c>
      <c r="N72" s="20" t="n">
        <v>0</v>
      </c>
      <c r="O72" s="18" t="n">
        <v>0</v>
      </c>
      <c r="P72" s="20" t="n">
        <v>0</v>
      </c>
      <c r="Q72" s="18" t="n">
        <v>15.55319414</v>
      </c>
      <c r="R72" s="20" t="n">
        <v>1.60365947</v>
      </c>
    </row>
    <row r="73" spans="1:18">
      <c r="A73" s="15" t="s">
        <v>497</v>
      </c>
      <c r="B73" s="17" t="n">
        <v>6115</v>
      </c>
      <c r="C73" s="18">
        <f>(5340.0/B73*100)</f>
        <v/>
      </c>
      <c r="D73" s="19" t="n">
        <v>775</v>
      </c>
      <c r="E73" s="18" t="n">
        <v>56.74057862</v>
      </c>
      <c r="F73" s="20" t="n">
        <v>2.15123567</v>
      </c>
      <c r="G73" s="18" t="n">
        <v>39.08652321</v>
      </c>
      <c r="H73" s="20" t="n">
        <v>2.00361634</v>
      </c>
      <c r="I73" s="18" t="n">
        <v>0</v>
      </c>
      <c r="J73" s="20" t="n">
        <v>0</v>
      </c>
      <c r="K73" s="18" t="n">
        <v>0.11755783</v>
      </c>
      <c r="L73" s="20" t="n">
        <v>0.11827002</v>
      </c>
      <c r="M73" s="18" t="n">
        <v>0</v>
      </c>
      <c r="N73" s="20" t="n">
        <v>0</v>
      </c>
      <c r="O73" s="18" t="n">
        <v>0</v>
      </c>
      <c r="P73" s="20" t="n">
        <v>0</v>
      </c>
      <c r="Q73" s="18" t="n">
        <v>4.05534034</v>
      </c>
      <c r="R73" s="20" t="n">
        <v>0.71363422</v>
      </c>
    </row>
    <row r="74" spans="1:18">
      <c r="A74" s="15" t="s">
        <v>498</v>
      </c>
      <c r="B74" s="17" t="n">
        <v>7708</v>
      </c>
      <c r="C74" s="18">
        <f>(6754.0/B74*100)</f>
        <v/>
      </c>
      <c r="D74" s="19" t="n">
        <v>954</v>
      </c>
      <c r="E74" s="18" t="n">
        <v>49.25385637</v>
      </c>
      <c r="F74" s="20" t="n">
        <v>1.82125546</v>
      </c>
      <c r="G74" s="18" t="n">
        <v>41.5577566</v>
      </c>
      <c r="H74" s="20" t="n">
        <v>1.78982107</v>
      </c>
      <c r="I74" s="18" t="n">
        <v>0</v>
      </c>
      <c r="J74" s="20" t="n">
        <v>0</v>
      </c>
      <c r="K74" s="18" t="n">
        <v>0.08319989</v>
      </c>
      <c r="L74" s="20" t="n">
        <v>0.08340375</v>
      </c>
      <c r="M74" s="18" t="n">
        <v>0</v>
      </c>
      <c r="N74" s="20" t="n">
        <v>0</v>
      </c>
      <c r="O74" s="18" t="n">
        <v>0</v>
      </c>
      <c r="P74" s="20" t="n">
        <v>0</v>
      </c>
      <c r="Q74" s="18" t="n">
        <v>9.10518714</v>
      </c>
      <c r="R74" s="20" t="n">
        <v>0.98394213</v>
      </c>
    </row>
    <row r="75" spans="1:18">
      <c r="A75" s="15" t="s">
        <v>499</v>
      </c>
      <c r="B75" s="17" t="n">
        <v>8249</v>
      </c>
      <c r="C75" s="18">
        <f>(7256.0/B75*100)</f>
        <v/>
      </c>
      <c r="D75" s="19" t="n">
        <v>993</v>
      </c>
      <c r="E75" s="18" t="n">
        <v>79.99421091000001</v>
      </c>
      <c r="F75" s="20" t="n">
        <v>1.43436856</v>
      </c>
      <c r="G75" s="18" t="n">
        <v>13.39593859</v>
      </c>
      <c r="H75" s="20" t="n">
        <v>1.24355474</v>
      </c>
      <c r="I75" s="18" t="n">
        <v>0</v>
      </c>
      <c r="J75" s="20" t="n">
        <v>0</v>
      </c>
      <c r="K75" s="18" t="n">
        <v>0.14917649</v>
      </c>
      <c r="L75" s="20" t="n">
        <v>0.14907641</v>
      </c>
      <c r="M75" s="18" t="n">
        <v>0</v>
      </c>
      <c r="N75" s="20" t="n">
        <v>0</v>
      </c>
      <c r="O75" s="18" t="n">
        <v>0</v>
      </c>
      <c r="P75" s="20" t="n">
        <v>0</v>
      </c>
      <c r="Q75" s="18" t="n">
        <v>6.46067401</v>
      </c>
      <c r="R75" s="20" t="n">
        <v>0.91736779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(4763.0/B77*100)</f>
        <v/>
      </c>
      <c r="D77" s="19" t="n">
        <v>612</v>
      </c>
      <c r="E77" s="18" t="n">
        <v>60.72354251</v>
      </c>
      <c r="F77" s="20" t="n">
        <v>2.10862329</v>
      </c>
      <c r="G77" s="18" t="n">
        <v>12.34601519</v>
      </c>
      <c r="H77" s="20" t="n">
        <v>1.37757539</v>
      </c>
      <c r="I77" s="18" t="n">
        <v>0</v>
      </c>
      <c r="J77" s="20" t="n">
        <v>0</v>
      </c>
      <c r="K77" s="18" t="n">
        <v>2.07760195</v>
      </c>
      <c r="L77" s="20" t="n">
        <v>0.65858911</v>
      </c>
      <c r="M77" s="18" t="n">
        <v>0</v>
      </c>
      <c r="N77" s="20" t="n">
        <v>0</v>
      </c>
      <c r="O77" s="18" t="n">
        <v>0</v>
      </c>
      <c r="P77" s="20" t="n">
        <v>0</v>
      </c>
      <c r="Q77" s="18" t="n">
        <v>24.85284035</v>
      </c>
      <c r="R77" s="20" t="n">
        <v>1.82023228</v>
      </c>
    </row>
    <row r="78" spans="1:18">
      <c r="A78" s="15" t="s">
        <v>502</v>
      </c>
      <c r="B78" s="17" t="n">
        <v>14167</v>
      </c>
      <c r="C78" s="18">
        <f>(12408.0/B78*100)</f>
        <v/>
      </c>
      <c r="D78" s="19" t="n">
        <v>1759</v>
      </c>
      <c r="E78" s="18" t="n">
        <v>61.66023494</v>
      </c>
      <c r="F78" s="20" t="n">
        <v>1.38767242</v>
      </c>
      <c r="G78" s="18" t="n">
        <v>26.41288334</v>
      </c>
      <c r="H78" s="20" t="n">
        <v>1.18848448</v>
      </c>
      <c r="I78" s="18" t="n">
        <v>0</v>
      </c>
      <c r="J78" s="20" t="n">
        <v>0</v>
      </c>
      <c r="K78" s="18" t="n">
        <v>0.57468944</v>
      </c>
      <c r="L78" s="20" t="n">
        <v>0.21291743</v>
      </c>
      <c r="M78" s="18" t="n">
        <v>0</v>
      </c>
      <c r="N78" s="20" t="n">
        <v>0</v>
      </c>
      <c r="O78" s="18" t="n">
        <v>0</v>
      </c>
      <c r="P78" s="20" t="n">
        <v>0</v>
      </c>
      <c r="Q78" s="18" t="n">
        <v>11.35219228</v>
      </c>
      <c r="R78" s="20" t="n">
        <v>0.85727031</v>
      </c>
    </row>
    <row r="79" spans="1:18">
      <c r="A79" s="15" t="s">
        <v>503</v>
      </c>
      <c r="B79" s="17" t="n">
        <v>6062</v>
      </c>
      <c r="C79" s="18">
        <f>(5327.0/B79*100)</f>
        <v/>
      </c>
      <c r="D79" s="19" t="n">
        <v>735</v>
      </c>
      <c r="E79" s="18" t="n">
        <v>39.40526168</v>
      </c>
      <c r="F79" s="20" t="n">
        <v>2.06202045</v>
      </c>
      <c r="G79" s="18" t="n">
        <v>30.479657</v>
      </c>
      <c r="H79" s="20" t="n">
        <v>1.73548556</v>
      </c>
      <c r="I79" s="18" t="n">
        <v>0</v>
      </c>
      <c r="J79" s="20" t="n">
        <v>0</v>
      </c>
      <c r="K79" s="18" t="n">
        <v>1.66161965</v>
      </c>
      <c r="L79" s="20" t="n">
        <v>0.49818792</v>
      </c>
      <c r="M79" s="18" t="n">
        <v>0</v>
      </c>
      <c r="N79" s="20" t="n">
        <v>0</v>
      </c>
      <c r="O79" s="18" t="n">
        <v>0</v>
      </c>
      <c r="P79" s="20" t="n">
        <v>0</v>
      </c>
      <c r="Q79" s="18" t="n">
        <v>28.45346167</v>
      </c>
      <c r="R79" s="20" t="n">
        <v>1.92137908</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(28390.0/B82*100)</f>
        <v/>
      </c>
      <c r="D82" s="19" t="n">
        <v>3940</v>
      </c>
      <c r="E82" s="18" t="n">
        <v>44.74416519</v>
      </c>
      <c r="F82" s="20" t="n">
        <v>1.29343423</v>
      </c>
      <c r="G82" s="18" t="n">
        <v>41.53902146</v>
      </c>
      <c r="H82" s="20" t="n">
        <v>1.04795798</v>
      </c>
      <c r="I82" s="18" t="n">
        <v>0</v>
      </c>
      <c r="J82" s="20" t="n">
        <v>0</v>
      </c>
      <c r="K82" s="18" t="n">
        <v>0.35961395</v>
      </c>
      <c r="L82" s="20" t="n">
        <v>0.1251103</v>
      </c>
      <c r="M82" s="18" t="n">
        <v>0.05231633</v>
      </c>
      <c r="N82" s="20" t="n">
        <v>0.04965205</v>
      </c>
      <c r="O82" s="18" t="n">
        <v>0</v>
      </c>
      <c r="P82" s="20" t="n">
        <v>0</v>
      </c>
      <c r="Q82" s="18" t="n">
        <v>13.30488308</v>
      </c>
      <c r="R82" s="20" t="n">
        <v>0.81118676</v>
      </c>
    </row>
    <row r="83" spans="1:18">
      <c r="A83" s="15" t="s">
        <v>507</v>
      </c>
      <c r="B83" s="17" t="n">
        <v>1652</v>
      </c>
      <c r="C83" s="18">
        <f>(1456.0/B83*100)</f>
        <v/>
      </c>
      <c r="D83" s="19" t="n">
        <v>196</v>
      </c>
      <c r="E83" s="18" t="n">
        <v>37.86661557</v>
      </c>
      <c r="F83" s="20" t="n">
        <v>4.39886596</v>
      </c>
      <c r="G83" s="18" t="n">
        <v>58.22947945</v>
      </c>
      <c r="H83" s="20" t="n">
        <v>4.19659523</v>
      </c>
      <c r="I83" s="18" t="n">
        <v>0</v>
      </c>
      <c r="J83" s="20" t="n">
        <v>0</v>
      </c>
      <c r="K83" s="18" t="n">
        <v>0</v>
      </c>
      <c r="L83" s="20" t="n">
        <v>0</v>
      </c>
      <c r="M83" s="18" t="n">
        <v>0</v>
      </c>
      <c r="N83" s="20" t="n">
        <v>0</v>
      </c>
      <c r="O83" s="18" t="n">
        <v>0</v>
      </c>
      <c r="P83" s="20" t="n">
        <v>0</v>
      </c>
      <c r="Q83" s="18" t="n">
        <v>3.90390497</v>
      </c>
      <c r="R83" s="20" t="n">
        <v>1.37642834</v>
      </c>
    </row>
    <row r="84" spans="1:18">
      <c r="A84" s="23" t="s">
        <v>508</v>
      </c>
      <c r="B84" s="24" t="n">
        <v>1887</v>
      </c>
      <c r="C84" s="25">
        <f>(1655.0/B84*100)</f>
        <v/>
      </c>
      <c r="D84" s="19" t="n">
        <v>232</v>
      </c>
      <c r="E84" s="18" t="n">
        <v>50.7158524</v>
      </c>
      <c r="F84" s="20" t="n">
        <v>4.13336799</v>
      </c>
      <c r="G84" s="18" t="n">
        <v>42.66054496</v>
      </c>
      <c r="H84" s="20" t="n">
        <v>4.33539193</v>
      </c>
      <c r="I84" s="18" t="n">
        <v>0</v>
      </c>
      <c r="J84" s="20" t="n">
        <v>0</v>
      </c>
      <c r="K84" s="18" t="n">
        <v>0</v>
      </c>
      <c r="L84" s="20" t="n">
        <v>0</v>
      </c>
      <c r="M84" s="18" t="n">
        <v>0</v>
      </c>
      <c r="N84" s="20" t="n">
        <v>0</v>
      </c>
      <c r="O84" s="18" t="n">
        <v>0</v>
      </c>
      <c r="P84" s="20" t="n">
        <v>0</v>
      </c>
      <c r="Q84" s="18" t="n">
        <v>6.62360264</v>
      </c>
      <c r="R84" s="20" t="n">
        <v>1.64893964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(12788.0/B7*100)</f>
        <v/>
      </c>
      <c r="D7" s="19" t="n">
        <v>1742</v>
      </c>
      <c r="E7" s="18" t="n">
        <v>46.05712124</v>
      </c>
      <c r="F7" s="20" t="n">
        <v>1.47498104</v>
      </c>
      <c r="G7" s="18" t="n">
        <v>49.47605358</v>
      </c>
      <c r="H7" s="20" t="n">
        <v>1.46360457</v>
      </c>
      <c r="I7" s="18" t="n">
        <v>0</v>
      </c>
      <c r="J7" s="20" t="n">
        <v>0</v>
      </c>
      <c r="K7" s="18" t="n">
        <v>0.31013082</v>
      </c>
      <c r="L7" s="20" t="n">
        <v>0.14431553</v>
      </c>
      <c r="M7" s="18" t="n">
        <v>0.05300035</v>
      </c>
      <c r="N7" s="20" t="n">
        <v>0.02941584</v>
      </c>
      <c r="O7" s="18" t="n">
        <v>0</v>
      </c>
      <c r="P7" s="20" t="n">
        <v>0</v>
      </c>
      <c r="Q7" s="18" t="n">
        <v>4.10369401</v>
      </c>
      <c r="R7" s="20" t="n">
        <v>0.54986004</v>
      </c>
    </row>
    <row r="8" spans="1:18">
      <c r="A8" s="15" t="s">
        <v>430</v>
      </c>
      <c r="B8" s="17" t="n">
        <v>7007</v>
      </c>
      <c r="C8" s="18">
        <f>(6129.0/B8*100)</f>
        <v/>
      </c>
      <c r="D8" s="19" t="n">
        <v>878</v>
      </c>
      <c r="E8" s="18" t="n">
        <v>29.18118637</v>
      </c>
      <c r="F8" s="20" t="n">
        <v>1.48366323</v>
      </c>
      <c r="G8" s="18" t="n">
        <v>64.69027056</v>
      </c>
      <c r="H8" s="20" t="n">
        <v>1.72309965</v>
      </c>
      <c r="I8" s="18" t="n">
        <v>0</v>
      </c>
      <c r="J8" s="20" t="n">
        <v>0</v>
      </c>
      <c r="K8" s="18" t="n">
        <v>0.24670617</v>
      </c>
      <c r="L8" s="20" t="n">
        <v>0.17656705</v>
      </c>
      <c r="M8" s="18" t="n">
        <v>0</v>
      </c>
      <c r="N8" s="20" t="n">
        <v>0</v>
      </c>
      <c r="O8" s="18" t="n">
        <v>0</v>
      </c>
      <c r="P8" s="20" t="n">
        <v>0</v>
      </c>
      <c r="Q8" s="18" t="n">
        <v>5.8818369</v>
      </c>
      <c r="R8" s="20" t="n">
        <v>0.87349652</v>
      </c>
    </row>
    <row r="9" spans="1:18">
      <c r="A9" s="15" t="s">
        <v>431</v>
      </c>
      <c r="B9" s="17" t="n">
        <v>9651</v>
      </c>
      <c r="C9" s="18">
        <f>(8520.0/B9*100)</f>
        <v/>
      </c>
      <c r="D9" s="19" t="n">
        <v>1131</v>
      </c>
      <c r="E9" s="18" t="n">
        <v>22.11470775</v>
      </c>
      <c r="F9" s="20" t="n">
        <v>1.29393764</v>
      </c>
      <c r="G9" s="18" t="n">
        <v>71.32318278</v>
      </c>
      <c r="H9" s="20" t="n">
        <v>1.45120744</v>
      </c>
      <c r="I9" s="18" t="n">
        <v>0</v>
      </c>
      <c r="J9" s="20" t="n">
        <v>0</v>
      </c>
      <c r="K9" s="18" t="n">
        <v>0.7093014399999999</v>
      </c>
      <c r="L9" s="20" t="n">
        <v>0.2684442</v>
      </c>
      <c r="M9" s="18" t="n">
        <v>0.37805064</v>
      </c>
      <c r="N9" s="20" t="n">
        <v>0.196117</v>
      </c>
      <c r="O9" s="18" t="n">
        <v>0</v>
      </c>
      <c r="P9" s="20" t="n">
        <v>0</v>
      </c>
      <c r="Q9" s="18" t="n">
        <v>5.47475739</v>
      </c>
      <c r="R9" s="20" t="n">
        <v>0.72567571</v>
      </c>
    </row>
    <row r="10" spans="1:18">
      <c r="A10" s="15" t="s">
        <v>432</v>
      </c>
      <c r="B10" s="17" t="n">
        <v>20058</v>
      </c>
      <c r="C10" s="18">
        <f>(17543.0/B10*100)</f>
        <v/>
      </c>
      <c r="D10" s="19" t="n">
        <v>2515</v>
      </c>
      <c r="E10" s="18" t="n">
        <v>38.69032186</v>
      </c>
      <c r="F10" s="20" t="n">
        <v>1.38536598</v>
      </c>
      <c r="G10" s="18" t="n">
        <v>58.88846848</v>
      </c>
      <c r="H10" s="20" t="n">
        <v>1.4339093</v>
      </c>
      <c r="I10" s="18" t="n">
        <v>0</v>
      </c>
      <c r="J10" s="20" t="n">
        <v>0</v>
      </c>
      <c r="K10" s="18" t="n">
        <v>0.19684063</v>
      </c>
      <c r="L10" s="20" t="n">
        <v>0.12060743</v>
      </c>
      <c r="M10" s="18" t="n">
        <v>0.04288379</v>
      </c>
      <c r="N10" s="20" t="n">
        <v>0.04286764</v>
      </c>
      <c r="O10" s="18" t="n">
        <v>0</v>
      </c>
      <c r="P10" s="20" t="n">
        <v>0</v>
      </c>
      <c r="Q10" s="18" t="n">
        <v>2.18148525</v>
      </c>
      <c r="R10" s="20" t="n">
        <v>0.41399227</v>
      </c>
    </row>
    <row r="11" spans="1:18">
      <c r="A11" s="15" t="s">
        <v>433</v>
      </c>
      <c r="B11" s="17" t="n">
        <v>7053</v>
      </c>
      <c r="C11" s="18">
        <f>(6235.0/B11*100)</f>
        <v/>
      </c>
      <c r="D11" s="19" t="n">
        <v>818</v>
      </c>
      <c r="E11" s="18" t="n">
        <v>40.13082002</v>
      </c>
      <c r="F11" s="20" t="n">
        <v>1.7595332</v>
      </c>
      <c r="G11" s="18" t="n">
        <v>53.61785181</v>
      </c>
      <c r="H11" s="20" t="n">
        <v>1.8152207</v>
      </c>
      <c r="I11" s="18" t="n">
        <v>0</v>
      </c>
      <c r="J11" s="20" t="n">
        <v>0</v>
      </c>
      <c r="K11" s="18" t="n">
        <v>0.90753887</v>
      </c>
      <c r="L11" s="20" t="n">
        <v>0.44832631</v>
      </c>
      <c r="M11" s="18" t="n">
        <v>0</v>
      </c>
      <c r="N11" s="20" t="n">
        <v>0</v>
      </c>
      <c r="O11" s="18" t="n">
        <v>0</v>
      </c>
      <c r="P11" s="20" t="n">
        <v>0</v>
      </c>
      <c r="Q11" s="18" t="n">
        <v>5.34378931</v>
      </c>
      <c r="R11" s="20" t="n">
        <v>0.809869</v>
      </c>
    </row>
    <row r="12" spans="1:18">
      <c r="A12" s="15" t="s">
        <v>434</v>
      </c>
      <c r="B12" s="17" t="n">
        <v>6894</v>
      </c>
      <c r="C12" s="18">
        <f>(6062.0/B12*100)</f>
        <v/>
      </c>
      <c r="D12" s="19" t="n">
        <v>832</v>
      </c>
      <c r="E12" s="18" t="n">
        <v>27.61962739</v>
      </c>
      <c r="F12" s="20" t="n">
        <v>1.78538877</v>
      </c>
      <c r="G12" s="18" t="n">
        <v>65.7174346</v>
      </c>
      <c r="H12" s="20" t="n">
        <v>1.99507482</v>
      </c>
      <c r="I12" s="18" t="n">
        <v>0</v>
      </c>
      <c r="J12" s="20" t="n">
        <v>0</v>
      </c>
      <c r="K12" s="18" t="n">
        <v>0.10899683</v>
      </c>
      <c r="L12" s="20" t="n">
        <v>0.10674725</v>
      </c>
      <c r="M12" s="18" t="n">
        <v>0.09072581</v>
      </c>
      <c r="N12" s="20" t="n">
        <v>0.0904459</v>
      </c>
      <c r="O12" s="18" t="n">
        <v>0</v>
      </c>
      <c r="P12" s="20" t="n">
        <v>0</v>
      </c>
      <c r="Q12" s="18" t="n">
        <v>6.46321537</v>
      </c>
      <c r="R12" s="20" t="n">
        <v>1.01217618</v>
      </c>
    </row>
    <row r="13" spans="1:18">
      <c r="A13" s="15" t="s">
        <v>435</v>
      </c>
      <c r="B13" s="17" t="n">
        <v>7161</v>
      </c>
      <c r="C13" s="18">
        <f>(6326.0/B13*100)</f>
        <v/>
      </c>
      <c r="D13" s="19" t="n">
        <v>835</v>
      </c>
      <c r="E13" s="18" t="n">
        <v>20.86279371</v>
      </c>
      <c r="F13" s="20" t="n">
        <v>1.62171118</v>
      </c>
      <c r="G13" s="18" t="n">
        <v>75.19428372</v>
      </c>
      <c r="H13" s="20" t="n">
        <v>1.6874681</v>
      </c>
      <c r="I13" s="18" t="n">
        <v>0</v>
      </c>
      <c r="J13" s="20" t="n">
        <v>0</v>
      </c>
      <c r="K13" s="18" t="n">
        <v>0.78352317</v>
      </c>
      <c r="L13" s="20" t="n">
        <v>0.33694949</v>
      </c>
      <c r="M13" s="18" t="n">
        <v>0.01472512</v>
      </c>
      <c r="N13" s="20" t="n">
        <v>0.01043541</v>
      </c>
      <c r="O13" s="18" t="n">
        <v>0</v>
      </c>
      <c r="P13" s="20" t="n">
        <v>0</v>
      </c>
      <c r="Q13" s="18" t="n">
        <v>3.14467427</v>
      </c>
      <c r="R13" s="20" t="n">
        <v>0.73034022</v>
      </c>
    </row>
    <row r="14" spans="1:18">
      <c r="A14" s="15" t="s">
        <v>436</v>
      </c>
      <c r="B14" s="17" t="n">
        <v>5587</v>
      </c>
      <c r="C14" s="18">
        <f>(4926.0/B14*100)</f>
        <v/>
      </c>
      <c r="D14" s="19" t="n">
        <v>661</v>
      </c>
      <c r="E14" s="18" t="n">
        <v>33.93341268</v>
      </c>
      <c r="F14" s="20" t="n">
        <v>2.09543498</v>
      </c>
      <c r="G14" s="18" t="n">
        <v>64.58683112999999</v>
      </c>
      <c r="H14" s="20" t="n">
        <v>2.1265618</v>
      </c>
      <c r="I14" s="18" t="n">
        <v>0</v>
      </c>
      <c r="J14" s="20" t="n">
        <v>0</v>
      </c>
      <c r="K14" s="18" t="n">
        <v>0.15071961</v>
      </c>
      <c r="L14" s="20" t="n">
        <v>0.14716491</v>
      </c>
      <c r="M14" s="18" t="n">
        <v>0</v>
      </c>
      <c r="N14" s="20" t="n">
        <v>0</v>
      </c>
      <c r="O14" s="18" t="n">
        <v>0</v>
      </c>
      <c r="P14" s="20" t="n">
        <v>0</v>
      </c>
      <c r="Q14" s="18" t="n">
        <v>1.32903659</v>
      </c>
      <c r="R14" s="20" t="n">
        <v>0.47170363</v>
      </c>
    </row>
    <row r="15" spans="1:18">
      <c r="A15" s="15" t="s">
        <v>437</v>
      </c>
      <c r="B15" s="17" t="n">
        <v>5882</v>
      </c>
      <c r="C15" s="18">
        <f>(5156.0/B15*100)</f>
        <v/>
      </c>
      <c r="D15" s="19" t="n">
        <v>726</v>
      </c>
      <c r="E15" s="18" t="n">
        <v>37.59705027</v>
      </c>
      <c r="F15" s="20" t="n">
        <v>1.83261131</v>
      </c>
      <c r="G15" s="18" t="n">
        <v>59.25831413</v>
      </c>
      <c r="H15" s="20" t="n">
        <v>1.9730807</v>
      </c>
      <c r="I15" s="18" t="n">
        <v>0</v>
      </c>
      <c r="J15" s="20" t="n">
        <v>0</v>
      </c>
      <c r="K15" s="18" t="n">
        <v>0.26723725</v>
      </c>
      <c r="L15" s="20" t="n">
        <v>0.18839113</v>
      </c>
      <c r="M15" s="18" t="n">
        <v>0</v>
      </c>
      <c r="N15" s="20" t="n">
        <v>0</v>
      </c>
      <c r="O15" s="18" t="n">
        <v>0</v>
      </c>
      <c r="P15" s="20" t="n">
        <v>0</v>
      </c>
      <c r="Q15" s="18" t="n">
        <v>2.87739835</v>
      </c>
      <c r="R15" s="20" t="n">
        <v>0.6094666399999999</v>
      </c>
    </row>
    <row r="16" spans="1:18">
      <c r="A16" s="15" t="s">
        <v>438</v>
      </c>
      <c r="B16" s="17" t="n">
        <v>6108</v>
      </c>
      <c r="C16" s="18">
        <f>(5378.0/B16*100)</f>
        <v/>
      </c>
      <c r="D16" s="19" t="n">
        <v>730</v>
      </c>
      <c r="E16" s="18" t="n">
        <v>28.16693229</v>
      </c>
      <c r="F16" s="20" t="n">
        <v>1.80110582</v>
      </c>
      <c r="G16" s="18" t="n">
        <v>63.27791431</v>
      </c>
      <c r="H16" s="20" t="n">
        <v>1.87140347</v>
      </c>
      <c r="I16" s="18" t="n">
        <v>0</v>
      </c>
      <c r="J16" s="20" t="n">
        <v>0</v>
      </c>
      <c r="K16" s="18" t="n">
        <v>1.92477208</v>
      </c>
      <c r="L16" s="20" t="n">
        <v>0.51977433</v>
      </c>
      <c r="M16" s="18" t="n">
        <v>0.12717208</v>
      </c>
      <c r="N16" s="20" t="n">
        <v>0.16716044</v>
      </c>
      <c r="O16" s="18" t="n">
        <v>0</v>
      </c>
      <c r="P16" s="20" t="n">
        <v>0</v>
      </c>
      <c r="Q16" s="18" t="n">
        <v>6.50320925</v>
      </c>
      <c r="R16" s="20" t="n">
        <v>1.09747641</v>
      </c>
    </row>
    <row r="17" spans="1:18">
      <c r="A17" s="15" t="s">
        <v>439</v>
      </c>
      <c r="B17" s="17" t="n">
        <v>6504</v>
      </c>
      <c r="C17" s="18">
        <f>(5748.0/B17*100)</f>
        <v/>
      </c>
      <c r="D17" s="19" t="n">
        <v>756</v>
      </c>
      <c r="E17" s="18" t="n">
        <v>16.98398368</v>
      </c>
      <c r="F17" s="20" t="n">
        <v>1.44557105</v>
      </c>
      <c r="G17" s="18" t="n">
        <v>77.77985537000001</v>
      </c>
      <c r="H17" s="20" t="n">
        <v>1.6905586</v>
      </c>
      <c r="I17" s="18" t="n">
        <v>0</v>
      </c>
      <c r="J17" s="20" t="n">
        <v>0</v>
      </c>
      <c r="K17" s="18" t="n">
        <v>0.66180291</v>
      </c>
      <c r="L17" s="20" t="n">
        <v>0.19154422</v>
      </c>
      <c r="M17" s="18" t="n">
        <v>0</v>
      </c>
      <c r="N17" s="20" t="n">
        <v>0</v>
      </c>
      <c r="O17" s="18" t="n">
        <v>0</v>
      </c>
      <c r="P17" s="20" t="n">
        <v>0</v>
      </c>
      <c r="Q17" s="18" t="n">
        <v>4.57435804</v>
      </c>
      <c r="R17" s="20" t="n">
        <v>0.85870331</v>
      </c>
    </row>
    <row r="18" spans="1:18">
      <c r="A18" s="15" t="s">
        <v>440</v>
      </c>
      <c r="B18" s="17" t="n">
        <v>5532</v>
      </c>
      <c r="C18" s="18">
        <f>(4846.0/B18*100)</f>
        <v/>
      </c>
      <c r="D18" s="19" t="n">
        <v>686</v>
      </c>
      <c r="E18" s="18" t="n">
        <v>32.73175063</v>
      </c>
      <c r="F18" s="20" t="n">
        <v>2.04524499</v>
      </c>
      <c r="G18" s="18" t="n">
        <v>58.18943202</v>
      </c>
      <c r="H18" s="20" t="n">
        <v>2.35472361</v>
      </c>
      <c r="I18" s="18" t="n">
        <v>0</v>
      </c>
      <c r="J18" s="20" t="n">
        <v>0</v>
      </c>
      <c r="K18" s="18" t="n">
        <v>0.51822169</v>
      </c>
      <c r="L18" s="20" t="n">
        <v>0.34057874</v>
      </c>
      <c r="M18" s="18" t="n">
        <v>0</v>
      </c>
      <c r="N18" s="20" t="n">
        <v>0</v>
      </c>
      <c r="O18" s="18" t="n">
        <v>0</v>
      </c>
      <c r="P18" s="20" t="n">
        <v>0</v>
      </c>
      <c r="Q18" s="18" t="n">
        <v>8.560595660000001</v>
      </c>
      <c r="R18" s="20" t="n">
        <v>1.30909072</v>
      </c>
    </row>
    <row r="19" spans="1:18">
      <c r="A19" s="15" t="s">
        <v>441</v>
      </c>
      <c r="B19" s="17" t="n">
        <v>5658</v>
      </c>
      <c r="C19" s="18">
        <f>(4971.0/B19*100)</f>
        <v/>
      </c>
      <c r="D19" s="19" t="n">
        <v>687</v>
      </c>
      <c r="E19" s="18" t="n">
        <v>32.07823796</v>
      </c>
      <c r="F19" s="20" t="n">
        <v>1.73274008</v>
      </c>
      <c r="G19" s="18" t="n">
        <v>61.47247576</v>
      </c>
      <c r="H19" s="20" t="n">
        <v>1.87656972</v>
      </c>
      <c r="I19" s="18" t="n">
        <v>0</v>
      </c>
      <c r="J19" s="20" t="n">
        <v>0</v>
      </c>
      <c r="K19" s="18" t="n">
        <v>0.30135548</v>
      </c>
      <c r="L19" s="20" t="n">
        <v>0.32978916</v>
      </c>
      <c r="M19" s="18" t="n">
        <v>0.32909692</v>
      </c>
      <c r="N19" s="20" t="n">
        <v>0.23214618</v>
      </c>
      <c r="O19" s="18" t="n">
        <v>0</v>
      </c>
      <c r="P19" s="20" t="n">
        <v>0</v>
      </c>
      <c r="Q19" s="18" t="n">
        <v>5.81883388</v>
      </c>
      <c r="R19" s="20" t="n">
        <v>1.13295264</v>
      </c>
    </row>
    <row r="20" spans="1:18">
      <c r="A20" s="15" t="s">
        <v>442</v>
      </c>
      <c r="B20" s="17" t="n">
        <v>3371</v>
      </c>
      <c r="C20" s="18">
        <f>(2972.0/B20*100)</f>
        <v/>
      </c>
      <c r="D20" s="19" t="n">
        <v>399</v>
      </c>
      <c r="E20" s="18" t="n">
        <v>32.97530486</v>
      </c>
      <c r="F20" s="20" t="n">
        <v>2.50824301</v>
      </c>
      <c r="G20" s="18" t="n">
        <v>62.36142263</v>
      </c>
      <c r="H20" s="20" t="n">
        <v>2.55576661</v>
      </c>
      <c r="I20" s="18" t="n">
        <v>0</v>
      </c>
      <c r="J20" s="20" t="n">
        <v>0</v>
      </c>
      <c r="K20" s="18" t="n">
        <v>0.62971376</v>
      </c>
      <c r="L20" s="20" t="n">
        <v>0.45855089</v>
      </c>
      <c r="M20" s="18" t="n">
        <v>0</v>
      </c>
      <c r="N20" s="20" t="n">
        <v>0</v>
      </c>
      <c r="O20" s="18" t="n">
        <v>0</v>
      </c>
      <c r="P20" s="20" t="n">
        <v>0</v>
      </c>
      <c r="Q20" s="18" t="n">
        <v>4.03355875</v>
      </c>
      <c r="R20" s="20" t="n">
        <v>0.8890274</v>
      </c>
    </row>
    <row r="21" spans="1:18">
      <c r="A21" s="15" t="s">
        <v>443</v>
      </c>
      <c r="B21" s="17" t="n">
        <v>5741</v>
      </c>
      <c r="C21" s="18">
        <f>(4791.0/B21*100)</f>
        <v/>
      </c>
      <c r="D21" s="19" t="n">
        <v>950</v>
      </c>
      <c r="E21" s="18" t="n">
        <v>29.03176364</v>
      </c>
      <c r="F21" s="20" t="n">
        <v>1.56389253</v>
      </c>
      <c r="G21" s="18" t="n">
        <v>69.28303468999999</v>
      </c>
      <c r="H21" s="20" t="n">
        <v>1.58170007</v>
      </c>
      <c r="I21" s="18" t="n">
        <v>0</v>
      </c>
      <c r="J21" s="20" t="n">
        <v>0</v>
      </c>
      <c r="K21" s="18" t="n">
        <v>0.41243512</v>
      </c>
      <c r="L21" s="20" t="n">
        <v>0.1817429</v>
      </c>
      <c r="M21" s="18" t="n">
        <v>0</v>
      </c>
      <c r="N21" s="20" t="n">
        <v>0</v>
      </c>
      <c r="O21" s="18" t="n">
        <v>0</v>
      </c>
      <c r="P21" s="20" t="n">
        <v>0</v>
      </c>
      <c r="Q21" s="18" t="n">
        <v>1.27276654</v>
      </c>
      <c r="R21" s="20" t="n">
        <v>0.34189406</v>
      </c>
    </row>
    <row r="22" spans="1:18">
      <c r="A22" s="15" t="s">
        <v>444</v>
      </c>
      <c r="B22" s="17" t="n">
        <v>6598</v>
      </c>
      <c r="C22" s="18">
        <f>(5853.0/B22*100)</f>
        <v/>
      </c>
      <c r="D22" s="19" t="n">
        <v>745</v>
      </c>
      <c r="E22" s="18" t="n">
        <v>24.37791984</v>
      </c>
      <c r="F22" s="20" t="n">
        <v>1.69332553</v>
      </c>
      <c r="G22" s="18" t="n">
        <v>67.06541266000001</v>
      </c>
      <c r="H22" s="20" t="n">
        <v>1.77775179</v>
      </c>
      <c r="I22" s="18" t="n">
        <v>0</v>
      </c>
      <c r="J22" s="20" t="n">
        <v>0</v>
      </c>
      <c r="K22" s="18" t="n">
        <v>1.18578071</v>
      </c>
      <c r="L22" s="20" t="n">
        <v>0.39555505</v>
      </c>
      <c r="M22" s="18" t="n">
        <v>0</v>
      </c>
      <c r="N22" s="20" t="n">
        <v>0</v>
      </c>
      <c r="O22" s="18" t="n">
        <v>0</v>
      </c>
      <c r="P22" s="20" t="n">
        <v>0</v>
      </c>
      <c r="Q22" s="18" t="n">
        <v>7.3708868</v>
      </c>
      <c r="R22" s="20" t="n">
        <v>0.83384767</v>
      </c>
    </row>
    <row r="23" spans="1:18">
      <c r="A23" s="15" t="s">
        <v>445</v>
      </c>
      <c r="B23" s="17" t="n">
        <v>11583</v>
      </c>
      <c r="C23" s="18">
        <f>(10170.0/B23*100)</f>
        <v/>
      </c>
      <c r="D23" s="19" t="n">
        <v>1413</v>
      </c>
      <c r="E23" s="18" t="n">
        <v>27.85027922</v>
      </c>
      <c r="F23" s="20" t="n">
        <v>1.86901633</v>
      </c>
      <c r="G23" s="18" t="n">
        <v>60.18550432</v>
      </c>
      <c r="H23" s="20" t="n">
        <v>2.27911419</v>
      </c>
      <c r="I23" s="18" t="n">
        <v>0</v>
      </c>
      <c r="J23" s="20" t="n">
        <v>0</v>
      </c>
      <c r="K23" s="18" t="n">
        <v>0.6212247400000001</v>
      </c>
      <c r="L23" s="20" t="n">
        <v>0.317439</v>
      </c>
      <c r="M23" s="18" t="n">
        <v>1.07808185</v>
      </c>
      <c r="N23" s="20" t="n">
        <v>0.82379509</v>
      </c>
      <c r="O23" s="18" t="n">
        <v>0</v>
      </c>
      <c r="P23" s="20" t="n">
        <v>0</v>
      </c>
      <c r="Q23" s="18" t="n">
        <v>10.26490986</v>
      </c>
      <c r="R23" s="20" t="n">
        <v>1.30566885</v>
      </c>
    </row>
    <row r="24" spans="1:18">
      <c r="A24" s="15" t="s">
        <v>446</v>
      </c>
      <c r="B24" s="17" t="n">
        <v>6647</v>
      </c>
      <c r="C24" s="18">
        <f>(5856.0/B24*100)</f>
        <v/>
      </c>
      <c r="D24" s="19" t="n">
        <v>791</v>
      </c>
      <c r="E24" s="18" t="n">
        <v>24.7347934</v>
      </c>
      <c r="F24" s="20" t="n">
        <v>1.58808579</v>
      </c>
      <c r="G24" s="18" t="n">
        <v>71.57038350000001</v>
      </c>
      <c r="H24" s="20" t="n">
        <v>1.8310537</v>
      </c>
      <c r="I24" s="18" t="n">
        <v>0</v>
      </c>
      <c r="J24" s="20" t="n">
        <v>0</v>
      </c>
      <c r="K24" s="18" t="n">
        <v>0.42207207</v>
      </c>
      <c r="L24" s="20" t="n">
        <v>0.24416491</v>
      </c>
      <c r="M24" s="18" t="n">
        <v>0</v>
      </c>
      <c r="N24" s="20" t="n">
        <v>0</v>
      </c>
      <c r="O24" s="18" t="n">
        <v>0</v>
      </c>
      <c r="P24" s="20" t="n">
        <v>0</v>
      </c>
      <c r="Q24" s="18" t="n">
        <v>3.27275102</v>
      </c>
      <c r="R24" s="20" t="n">
        <v>0.7060442</v>
      </c>
    </row>
    <row r="25" spans="1:18">
      <c r="A25" s="15" t="s">
        <v>447</v>
      </c>
      <c r="B25" s="17" t="n">
        <v>5581</v>
      </c>
      <c r="C25" s="18">
        <f>(4892.0/B25*100)</f>
        <v/>
      </c>
      <c r="D25" s="19" t="n">
        <v>689</v>
      </c>
      <c r="E25" s="18" t="n">
        <v>32.63954831</v>
      </c>
      <c r="F25" s="20" t="n">
        <v>1.6007036</v>
      </c>
      <c r="G25" s="18" t="n">
        <v>62.75609426</v>
      </c>
      <c r="H25" s="20" t="n">
        <v>1.57265723</v>
      </c>
      <c r="I25" s="18" t="n">
        <v>0</v>
      </c>
      <c r="J25" s="20" t="n">
        <v>0</v>
      </c>
      <c r="K25" s="18" t="n">
        <v>0.697186</v>
      </c>
      <c r="L25" s="20" t="n">
        <v>0.31248594</v>
      </c>
      <c r="M25" s="18" t="n">
        <v>0</v>
      </c>
      <c r="N25" s="20" t="n">
        <v>0</v>
      </c>
      <c r="O25" s="18" t="n">
        <v>0</v>
      </c>
      <c r="P25" s="20" t="n">
        <v>0</v>
      </c>
      <c r="Q25" s="18" t="n">
        <v>3.90717144</v>
      </c>
      <c r="R25" s="20" t="n">
        <v>0.80440123</v>
      </c>
    </row>
    <row r="26" spans="1:18">
      <c r="A26" s="15" t="s">
        <v>448</v>
      </c>
      <c r="B26" s="17" t="n">
        <v>4869</v>
      </c>
      <c r="C26" s="18">
        <f>(4265.0/B26*100)</f>
        <v/>
      </c>
      <c r="D26" s="19" t="n">
        <v>604</v>
      </c>
      <c r="E26" s="18" t="n">
        <v>43.03454285</v>
      </c>
      <c r="F26" s="20" t="n">
        <v>2.00102286</v>
      </c>
      <c r="G26" s="18" t="n">
        <v>55.2561811</v>
      </c>
      <c r="H26" s="20" t="n">
        <v>1.99093904</v>
      </c>
      <c r="I26" s="18" t="n">
        <v>0</v>
      </c>
      <c r="J26" s="20" t="n">
        <v>0</v>
      </c>
      <c r="K26" s="18" t="n">
        <v>0</v>
      </c>
      <c r="L26" s="20" t="n">
        <v>0</v>
      </c>
      <c r="M26" s="18" t="n">
        <v>0.24375682</v>
      </c>
      <c r="N26" s="20" t="n">
        <v>0.17251596</v>
      </c>
      <c r="O26" s="18" t="n">
        <v>0</v>
      </c>
      <c r="P26" s="20" t="n">
        <v>0</v>
      </c>
      <c r="Q26" s="18" t="n">
        <v>1.46551923</v>
      </c>
      <c r="R26" s="20" t="n">
        <v>0.54367323</v>
      </c>
    </row>
    <row r="27" spans="1:18">
      <c r="A27" s="15" t="s">
        <v>449</v>
      </c>
      <c r="B27" s="17" t="n">
        <v>5299</v>
      </c>
      <c r="C27" s="18">
        <f>(4646.0/B27*100)</f>
        <v/>
      </c>
      <c r="D27" s="19" t="n">
        <v>653</v>
      </c>
      <c r="E27" s="18" t="n">
        <v>35.33499593</v>
      </c>
      <c r="F27" s="20" t="n">
        <v>2.00235486</v>
      </c>
      <c r="G27" s="18" t="n">
        <v>56.52022823</v>
      </c>
      <c r="H27" s="20" t="n">
        <v>2.09216718</v>
      </c>
      <c r="I27" s="18" t="n">
        <v>0</v>
      </c>
      <c r="J27" s="20" t="n">
        <v>0</v>
      </c>
      <c r="K27" s="18" t="n">
        <v>0.6163255</v>
      </c>
      <c r="L27" s="20" t="n">
        <v>0.30699941</v>
      </c>
      <c r="M27" s="18" t="n">
        <v>0</v>
      </c>
      <c r="N27" s="20" t="n">
        <v>0</v>
      </c>
      <c r="O27" s="18" t="n">
        <v>0</v>
      </c>
      <c r="P27" s="20" t="n">
        <v>0</v>
      </c>
      <c r="Q27" s="18" t="n">
        <v>7.52845034</v>
      </c>
      <c r="R27" s="20" t="n">
        <v>0.87315129</v>
      </c>
    </row>
    <row r="28" spans="1:18">
      <c r="A28" s="15" t="s">
        <v>450</v>
      </c>
      <c r="B28" s="17" t="n">
        <v>7568</v>
      </c>
      <c r="C28" s="18">
        <f>(6711.0/B28*100)</f>
        <v/>
      </c>
      <c r="D28" s="19" t="n">
        <v>857</v>
      </c>
      <c r="E28" s="18" t="n">
        <v>55.32275079</v>
      </c>
      <c r="F28" s="20" t="n">
        <v>2.01231574</v>
      </c>
      <c r="G28" s="18" t="n">
        <v>41.69398026</v>
      </c>
      <c r="H28" s="20" t="n">
        <v>2.01776079</v>
      </c>
      <c r="I28" s="18" t="n">
        <v>0</v>
      </c>
      <c r="J28" s="20" t="n">
        <v>0</v>
      </c>
      <c r="K28" s="18" t="n">
        <v>0.31844256</v>
      </c>
      <c r="L28" s="20" t="n">
        <v>0.23159165</v>
      </c>
      <c r="M28" s="18" t="n">
        <v>0.09451073</v>
      </c>
      <c r="N28" s="20" t="n">
        <v>0.0943049</v>
      </c>
      <c r="O28" s="18" t="n">
        <v>0</v>
      </c>
      <c r="P28" s="20" t="n">
        <v>0</v>
      </c>
      <c r="Q28" s="18" t="n">
        <v>2.57031565</v>
      </c>
      <c r="R28" s="20" t="n">
        <v>0.61166004</v>
      </c>
    </row>
    <row r="29" spans="1:18">
      <c r="A29" s="15" t="s">
        <v>451</v>
      </c>
      <c r="B29" s="17" t="n">
        <v>5385</v>
      </c>
      <c r="C29" s="18">
        <f>(4753.0/B29*100)</f>
        <v/>
      </c>
      <c r="D29" s="19" t="n">
        <v>632</v>
      </c>
      <c r="E29" s="18" t="n">
        <v>26.92695021</v>
      </c>
      <c r="F29" s="20" t="n">
        <v>1.82216016</v>
      </c>
      <c r="G29" s="18" t="n">
        <v>72.56267201</v>
      </c>
      <c r="H29" s="20" t="n">
        <v>1.84284218</v>
      </c>
      <c r="I29" s="18" t="n">
        <v>0</v>
      </c>
      <c r="J29" s="20" t="n">
        <v>0</v>
      </c>
      <c r="K29" s="18" t="n">
        <v>0</v>
      </c>
      <c r="L29" s="20" t="n">
        <v>0</v>
      </c>
      <c r="M29" s="18" t="n">
        <v>0</v>
      </c>
      <c r="N29" s="20" t="n">
        <v>0</v>
      </c>
      <c r="O29" s="18" t="n">
        <v>0</v>
      </c>
      <c r="P29" s="20" t="n">
        <v>0</v>
      </c>
      <c r="Q29" s="18" t="n">
        <v>0.51037778</v>
      </c>
      <c r="R29" s="20" t="n">
        <v>0.28775633</v>
      </c>
    </row>
    <row r="30" spans="1:18">
      <c r="A30" s="15" t="s">
        <v>452</v>
      </c>
      <c r="B30" s="17" t="n">
        <v>4520</v>
      </c>
      <c r="C30" s="18">
        <f>(3999.0/B30*100)</f>
        <v/>
      </c>
      <c r="D30" s="19" t="n">
        <v>521</v>
      </c>
      <c r="E30" s="18" t="n">
        <v>42.60793574</v>
      </c>
      <c r="F30" s="20" t="n">
        <v>2.17363799</v>
      </c>
      <c r="G30" s="18" t="n">
        <v>52.20159841</v>
      </c>
      <c r="H30" s="20" t="n">
        <v>2.13216413</v>
      </c>
      <c r="I30" s="18" t="n">
        <v>0</v>
      </c>
      <c r="J30" s="20" t="n">
        <v>0</v>
      </c>
      <c r="K30" s="18" t="n">
        <v>0.7187799</v>
      </c>
      <c r="L30" s="20" t="n">
        <v>0.35263265</v>
      </c>
      <c r="M30" s="18" t="n">
        <v>0</v>
      </c>
      <c r="N30" s="20" t="n">
        <v>0</v>
      </c>
      <c r="O30" s="18" t="n">
        <v>0</v>
      </c>
      <c r="P30" s="20" t="n">
        <v>0</v>
      </c>
      <c r="Q30" s="18" t="n">
        <v>4.47168595</v>
      </c>
      <c r="R30" s="20" t="n">
        <v>0.87275629</v>
      </c>
    </row>
    <row r="31" spans="1:18">
      <c r="A31" s="15" t="s">
        <v>453</v>
      </c>
      <c r="B31" s="17" t="n">
        <v>5456</v>
      </c>
      <c r="C31" s="18">
        <f>(4791.0/B31*100)</f>
        <v/>
      </c>
      <c r="D31" s="19" t="n">
        <v>665</v>
      </c>
      <c r="E31" s="18" t="n">
        <v>30.50015751</v>
      </c>
      <c r="F31" s="20" t="n">
        <v>2.05870026</v>
      </c>
      <c r="G31" s="18" t="n">
        <v>64.55133191</v>
      </c>
      <c r="H31" s="20" t="n">
        <v>1.91874334</v>
      </c>
      <c r="I31" s="18" t="n">
        <v>0</v>
      </c>
      <c r="J31" s="20" t="n">
        <v>0</v>
      </c>
      <c r="K31" s="18" t="n">
        <v>1.36979693</v>
      </c>
      <c r="L31" s="20" t="n">
        <v>0.45180735</v>
      </c>
      <c r="M31" s="18" t="n">
        <v>0</v>
      </c>
      <c r="N31" s="20" t="n">
        <v>0</v>
      </c>
      <c r="O31" s="18" t="n">
        <v>0</v>
      </c>
      <c r="P31" s="20" t="n">
        <v>0</v>
      </c>
      <c r="Q31" s="18" t="n">
        <v>3.57871365</v>
      </c>
      <c r="R31" s="20" t="n">
        <v>0.84446496</v>
      </c>
    </row>
    <row r="32" spans="1:18">
      <c r="A32" s="15" t="s">
        <v>454</v>
      </c>
      <c r="B32" s="17" t="n">
        <v>4478</v>
      </c>
      <c r="C32" s="18">
        <f>(3726.0/B32*100)</f>
        <v/>
      </c>
      <c r="D32" s="19" t="n">
        <v>752</v>
      </c>
      <c r="E32" s="18" t="n">
        <v>31.99615686</v>
      </c>
      <c r="F32" s="20" t="n">
        <v>1.4346677</v>
      </c>
      <c r="G32" s="18" t="n">
        <v>64.33220545</v>
      </c>
      <c r="H32" s="20" t="n">
        <v>1.57993743</v>
      </c>
      <c r="I32" s="18" t="n">
        <v>0</v>
      </c>
      <c r="J32" s="20" t="n">
        <v>0</v>
      </c>
      <c r="K32" s="18" t="n">
        <v>0.24588277</v>
      </c>
      <c r="L32" s="20" t="n">
        <v>0.01129588</v>
      </c>
      <c r="M32" s="18" t="n">
        <v>0.11091606</v>
      </c>
      <c r="N32" s="20" t="n">
        <v>0.1108594</v>
      </c>
      <c r="O32" s="18" t="n">
        <v>0</v>
      </c>
      <c r="P32" s="20" t="n">
        <v>0</v>
      </c>
      <c r="Q32" s="18" t="n">
        <v>3.31483886</v>
      </c>
      <c r="R32" s="20" t="n">
        <v>0.59906733</v>
      </c>
    </row>
    <row r="33" spans="1:18">
      <c r="A33" s="15" t="s">
        <v>455</v>
      </c>
      <c r="B33" s="17" t="n">
        <v>7325</v>
      </c>
      <c r="C33" s="18">
        <f>(6463.0/B33*100)</f>
        <v/>
      </c>
      <c r="D33" s="19" t="n">
        <v>862</v>
      </c>
      <c r="E33" s="18" t="n">
        <v>21.54205729</v>
      </c>
      <c r="F33" s="20" t="n">
        <v>1.57852871</v>
      </c>
      <c r="G33" s="18" t="n">
        <v>73.90624225000001</v>
      </c>
      <c r="H33" s="20" t="n">
        <v>1.70242163</v>
      </c>
      <c r="I33" s="18" t="n">
        <v>0</v>
      </c>
      <c r="J33" s="20" t="n">
        <v>0</v>
      </c>
      <c r="K33" s="18" t="n">
        <v>0.04383232</v>
      </c>
      <c r="L33" s="20" t="n">
        <v>0.02700617</v>
      </c>
      <c r="M33" s="18" t="n">
        <v>0</v>
      </c>
      <c r="N33" s="20" t="n">
        <v>0</v>
      </c>
      <c r="O33" s="18" t="n">
        <v>0</v>
      </c>
      <c r="P33" s="20" t="n">
        <v>0</v>
      </c>
      <c r="Q33" s="18" t="n">
        <v>4.50786814</v>
      </c>
      <c r="R33" s="20" t="n">
        <v>1.15919626</v>
      </c>
    </row>
    <row r="34" spans="1:18">
      <c r="A34" s="15" t="s">
        <v>456</v>
      </c>
      <c r="B34" s="17" t="n">
        <v>6350</v>
      </c>
      <c r="C34" s="18">
        <f>(5637.0/B34*100)</f>
        <v/>
      </c>
      <c r="D34" s="19" t="n">
        <v>713</v>
      </c>
      <c r="E34" s="18" t="n">
        <v>36.57623202</v>
      </c>
      <c r="F34" s="20" t="n">
        <v>1.88217849</v>
      </c>
      <c r="G34" s="18" t="n">
        <v>57.37922474</v>
      </c>
      <c r="H34" s="20" t="n">
        <v>2.05724791</v>
      </c>
      <c r="I34" s="18" t="n">
        <v>0</v>
      </c>
      <c r="J34" s="20" t="n">
        <v>0</v>
      </c>
      <c r="K34" s="18" t="n">
        <v>0.50331753</v>
      </c>
      <c r="L34" s="20" t="n">
        <v>0.27159774</v>
      </c>
      <c r="M34" s="18" t="n">
        <v>0.09134618999999999</v>
      </c>
      <c r="N34" s="20" t="n">
        <v>0.09142068</v>
      </c>
      <c r="O34" s="18" t="n">
        <v>0</v>
      </c>
      <c r="P34" s="20" t="n">
        <v>0</v>
      </c>
      <c r="Q34" s="18" t="n">
        <v>5.44987952</v>
      </c>
      <c r="R34" s="20" t="n">
        <v>0.96580713</v>
      </c>
    </row>
    <row r="35" spans="1:18">
      <c r="A35" s="15" t="s">
        <v>457</v>
      </c>
      <c r="B35" s="17" t="n">
        <v>6406</v>
      </c>
      <c r="C35" s="18">
        <f>(5651.0/B35*100)</f>
        <v/>
      </c>
      <c r="D35" s="19" t="n">
        <v>755</v>
      </c>
      <c r="E35" s="18" t="n">
        <v>34.76452506</v>
      </c>
      <c r="F35" s="20" t="n">
        <v>2.17626809</v>
      </c>
      <c r="G35" s="18" t="n">
        <v>59.50548606</v>
      </c>
      <c r="H35" s="20" t="n">
        <v>2.33059355</v>
      </c>
      <c r="I35" s="18" t="n">
        <v>0</v>
      </c>
      <c r="J35" s="20" t="n">
        <v>0</v>
      </c>
      <c r="K35" s="18" t="n">
        <v>0.48584556</v>
      </c>
      <c r="L35" s="20" t="n">
        <v>0.17522268</v>
      </c>
      <c r="M35" s="18" t="n">
        <v>0.2248385</v>
      </c>
      <c r="N35" s="20" t="n">
        <v>0.22548219</v>
      </c>
      <c r="O35" s="18" t="n">
        <v>0</v>
      </c>
      <c r="P35" s="20" t="n">
        <v>0</v>
      </c>
      <c r="Q35" s="18" t="n">
        <v>5.01930482</v>
      </c>
      <c r="R35" s="20" t="n">
        <v>0.89449211</v>
      </c>
    </row>
    <row r="36" spans="1:18">
      <c r="A36" s="15" t="s">
        <v>458</v>
      </c>
      <c r="B36" s="17" t="n">
        <v>6736</v>
      </c>
      <c r="C36" s="18">
        <f>(5939.0/B36*100)</f>
        <v/>
      </c>
      <c r="D36" s="19" t="n">
        <v>797</v>
      </c>
      <c r="E36" s="18" t="n">
        <v>24.16042548</v>
      </c>
      <c r="F36" s="20" t="n">
        <v>1.55884849</v>
      </c>
      <c r="G36" s="18" t="n">
        <v>70.31328664999999</v>
      </c>
      <c r="H36" s="20" t="n">
        <v>1.7437413</v>
      </c>
      <c r="I36" s="18" t="n">
        <v>0</v>
      </c>
      <c r="J36" s="20" t="n">
        <v>0</v>
      </c>
      <c r="K36" s="18" t="n">
        <v>0.66469968</v>
      </c>
      <c r="L36" s="20" t="n">
        <v>0.2848285</v>
      </c>
      <c r="M36" s="18" t="n">
        <v>0</v>
      </c>
      <c r="N36" s="20" t="n">
        <v>0</v>
      </c>
      <c r="O36" s="18" t="n">
        <v>0</v>
      </c>
      <c r="P36" s="20" t="n">
        <v>0</v>
      </c>
      <c r="Q36" s="18" t="n">
        <v>4.86158818</v>
      </c>
      <c r="R36" s="20" t="n">
        <v>0.76307588</v>
      </c>
    </row>
    <row r="37" spans="1:18">
      <c r="A37" s="15" t="s">
        <v>459</v>
      </c>
      <c r="B37" s="17" t="n">
        <v>5458</v>
      </c>
      <c r="C37" s="18">
        <f>(4792.0/B37*100)</f>
        <v/>
      </c>
      <c r="D37" s="19" t="n">
        <v>666</v>
      </c>
      <c r="E37" s="18" t="n">
        <v>35.04765364</v>
      </c>
      <c r="F37" s="20" t="n">
        <v>2.05181553</v>
      </c>
      <c r="G37" s="18" t="n">
        <v>57.03568474</v>
      </c>
      <c r="H37" s="20" t="n">
        <v>2.24803863</v>
      </c>
      <c r="I37" s="18" t="n">
        <v>0</v>
      </c>
      <c r="J37" s="20" t="n">
        <v>0</v>
      </c>
      <c r="K37" s="18" t="n">
        <v>0.57306169</v>
      </c>
      <c r="L37" s="20" t="n">
        <v>0.29790015</v>
      </c>
      <c r="M37" s="18" t="n">
        <v>0.12116771</v>
      </c>
      <c r="N37" s="20" t="n">
        <v>0.12119729</v>
      </c>
      <c r="O37" s="18" t="n">
        <v>0</v>
      </c>
      <c r="P37" s="20" t="n">
        <v>0</v>
      </c>
      <c r="Q37" s="18" t="n">
        <v>7.22243222</v>
      </c>
      <c r="R37" s="20" t="n">
        <v>1.1280979</v>
      </c>
    </row>
    <row r="38" spans="1:18">
      <c r="A38" s="15" t="s">
        <v>460</v>
      </c>
      <c r="B38" s="17" t="n">
        <v>5860</v>
      </c>
      <c r="C38" s="18">
        <f>(4874.0/B38*100)</f>
        <v/>
      </c>
      <c r="D38" s="19" t="n">
        <v>986</v>
      </c>
      <c r="E38" s="18" t="n">
        <v>28.90322634</v>
      </c>
      <c r="F38" s="20" t="n">
        <v>1.51336874</v>
      </c>
      <c r="G38" s="18" t="n">
        <v>65.10118306</v>
      </c>
      <c r="H38" s="20" t="n">
        <v>1.68190621</v>
      </c>
      <c r="I38" s="18" t="n">
        <v>0</v>
      </c>
      <c r="J38" s="20" t="n">
        <v>0</v>
      </c>
      <c r="K38" s="18" t="n">
        <v>1.08330405</v>
      </c>
      <c r="L38" s="20" t="n">
        <v>0.41676054</v>
      </c>
      <c r="M38" s="18" t="n">
        <v>0.11087672</v>
      </c>
      <c r="N38" s="20" t="n">
        <v>0.11085299</v>
      </c>
      <c r="O38" s="18" t="n">
        <v>0</v>
      </c>
      <c r="P38" s="20" t="n">
        <v>0</v>
      </c>
      <c r="Q38" s="18" t="n">
        <v>4.80140982</v>
      </c>
      <c r="R38" s="20" t="n">
        <v>0.81913704</v>
      </c>
    </row>
    <row r="39" spans="1:18">
      <c r="A39" s="15" t="s">
        <v>461</v>
      </c>
      <c r="B39" s="17" t="n">
        <v>5895</v>
      </c>
      <c r="C39" s="18">
        <f>(5161.0/B39*100)</f>
        <v/>
      </c>
      <c r="D39" s="19" t="n">
        <v>734</v>
      </c>
      <c r="E39" s="18" t="n">
        <v>42.59531304</v>
      </c>
      <c r="F39" s="20" t="n">
        <v>2.34871556</v>
      </c>
      <c r="G39" s="18" t="n">
        <v>50.12657009</v>
      </c>
      <c r="H39" s="20" t="n">
        <v>2.40932562</v>
      </c>
      <c r="I39" s="18" t="n">
        <v>0</v>
      </c>
      <c r="J39" s="20" t="n">
        <v>0</v>
      </c>
      <c r="K39" s="18" t="n">
        <v>0.198772</v>
      </c>
      <c r="L39" s="20" t="n">
        <v>0.14173966</v>
      </c>
      <c r="M39" s="18" t="n">
        <v>0.0607299</v>
      </c>
      <c r="N39" s="20" t="n">
        <v>0.04356683</v>
      </c>
      <c r="O39" s="18" t="n">
        <v>0</v>
      </c>
      <c r="P39" s="20" t="n">
        <v>0</v>
      </c>
      <c r="Q39" s="18" t="n">
        <v>7.01861498</v>
      </c>
      <c r="R39" s="20" t="n">
        <v>0.96157899</v>
      </c>
    </row>
    <row r="40" spans="1:18">
      <c r="A40" s="15" t="s">
        <v>462</v>
      </c>
      <c r="B40" s="17" t="n">
        <v>14157</v>
      </c>
      <c r="C40" s="18">
        <f>(12448.0/B40*100)</f>
        <v/>
      </c>
      <c r="D40" s="19" t="n">
        <v>1709</v>
      </c>
      <c r="E40" s="18" t="n">
        <v>38.61690732</v>
      </c>
      <c r="F40" s="20" t="n">
        <v>1.9529931</v>
      </c>
      <c r="G40" s="18" t="n">
        <v>57.08086454</v>
      </c>
      <c r="H40" s="20" t="n">
        <v>1.95848408</v>
      </c>
      <c r="I40" s="18" t="n">
        <v>0</v>
      </c>
      <c r="J40" s="20" t="n">
        <v>0</v>
      </c>
      <c r="K40" s="18" t="n">
        <v>0.48241068</v>
      </c>
      <c r="L40" s="20" t="n">
        <v>0.25361109</v>
      </c>
      <c r="M40" s="18" t="n">
        <v>0.48856719</v>
      </c>
      <c r="N40" s="20" t="n">
        <v>0.2972741</v>
      </c>
      <c r="O40" s="18" t="n">
        <v>0</v>
      </c>
      <c r="P40" s="20" t="n">
        <v>0</v>
      </c>
      <c r="Q40" s="18" t="n">
        <v>3.33125028</v>
      </c>
      <c r="R40" s="20" t="n">
        <v>0.63895052</v>
      </c>
    </row>
    <row r="41" spans="1:18">
      <c r="A41" s="15" t="s">
        <v>463</v>
      </c>
      <c r="B41" s="17" t="n">
        <v>5712</v>
      </c>
      <c r="C41" s="18">
        <f>(5019.0/B41*100)</f>
        <v/>
      </c>
      <c r="D41" s="19" t="n">
        <v>693</v>
      </c>
      <c r="E41" s="18" t="n">
        <v>46.76628132</v>
      </c>
      <c r="F41" s="20" t="n">
        <v>2.1448894</v>
      </c>
      <c r="G41" s="18" t="n">
        <v>52.17138775</v>
      </c>
      <c r="H41" s="20" t="n">
        <v>2.06519249</v>
      </c>
      <c r="I41" s="18" t="n">
        <v>0</v>
      </c>
      <c r="J41" s="20" t="n">
        <v>0</v>
      </c>
      <c r="K41" s="18" t="n">
        <v>0.15286052</v>
      </c>
      <c r="L41" s="20" t="n">
        <v>0.15093483</v>
      </c>
      <c r="M41" s="18" t="n">
        <v>0</v>
      </c>
      <c r="N41" s="20" t="n">
        <v>0</v>
      </c>
      <c r="O41" s="18" t="n">
        <v>0</v>
      </c>
      <c r="P41" s="20" t="n">
        <v>0</v>
      </c>
      <c r="Q41" s="18" t="n">
        <v>0.90947042</v>
      </c>
      <c r="R41" s="20" t="n">
        <v>0.37326593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(20921.0/B46*100)</f>
        <v/>
      </c>
      <c r="D46" s="19" t="n">
        <v>2220</v>
      </c>
      <c r="E46" s="18" t="n">
        <v>40.3834843</v>
      </c>
      <c r="F46" s="20" t="n">
        <v>1.28783061</v>
      </c>
      <c r="G46" s="18" t="n">
        <v>48.29954352</v>
      </c>
      <c r="H46" s="20" t="n">
        <v>1.38117154</v>
      </c>
      <c r="I46" s="18" t="n">
        <v>0</v>
      </c>
      <c r="J46" s="20" t="n">
        <v>0</v>
      </c>
      <c r="K46" s="18" t="n">
        <v>1.69962157</v>
      </c>
      <c r="L46" s="20" t="n">
        <v>0.40613241</v>
      </c>
      <c r="M46" s="18" t="n">
        <v>0.30102434</v>
      </c>
      <c r="N46" s="20" t="n">
        <v>0.15724068</v>
      </c>
      <c r="O46" s="18" t="n">
        <v>0</v>
      </c>
      <c r="P46" s="20" t="n">
        <v>0</v>
      </c>
      <c r="Q46" s="18" t="n">
        <v>9.316326269999999</v>
      </c>
      <c r="R46" s="20" t="n">
        <v>0.78309938</v>
      </c>
    </row>
    <row r="47" spans="1:18">
      <c r="A47" s="15" t="s">
        <v>470</v>
      </c>
      <c r="B47" s="17" t="n">
        <v>5928</v>
      </c>
      <c r="C47" s="18">
        <f>(5239.0/B47*100)</f>
        <v/>
      </c>
      <c r="D47" s="19" t="n">
        <v>689</v>
      </c>
      <c r="E47" s="18" t="n">
        <v>26.95666903</v>
      </c>
      <c r="F47" s="20" t="n">
        <v>1.64913232</v>
      </c>
      <c r="G47" s="18" t="n">
        <v>59.65450785</v>
      </c>
      <c r="H47" s="20" t="n">
        <v>1.87974314</v>
      </c>
      <c r="I47" s="18" t="n">
        <v>0</v>
      </c>
      <c r="J47" s="20" t="n">
        <v>0</v>
      </c>
      <c r="K47" s="18" t="n">
        <v>0.56547903</v>
      </c>
      <c r="L47" s="20" t="n">
        <v>0.26410873</v>
      </c>
      <c r="M47" s="18" t="n">
        <v>0</v>
      </c>
      <c r="N47" s="20" t="n">
        <v>0</v>
      </c>
      <c r="O47" s="18" t="n">
        <v>0</v>
      </c>
      <c r="P47" s="20" t="n">
        <v>0</v>
      </c>
      <c r="Q47" s="18" t="n">
        <v>12.82334409</v>
      </c>
      <c r="R47" s="20" t="n">
        <v>1.3205456</v>
      </c>
    </row>
    <row r="48" spans="1:18">
      <c r="A48" s="15" t="s">
        <v>471</v>
      </c>
      <c r="B48" s="17" t="n">
        <v>9841</v>
      </c>
      <c r="C48" s="18">
        <f>(8651.0/B48*100)</f>
        <v/>
      </c>
      <c r="D48" s="19" t="n">
        <v>1190</v>
      </c>
      <c r="E48" s="18" t="n">
        <v>15.11226682</v>
      </c>
      <c r="F48" s="20" t="n">
        <v>1.62280047</v>
      </c>
      <c r="G48" s="18" t="n">
        <v>79.01760744000001</v>
      </c>
      <c r="H48" s="20" t="n">
        <v>1.93958699</v>
      </c>
      <c r="I48" s="18" t="n">
        <v>0</v>
      </c>
      <c r="J48" s="20" t="n">
        <v>0</v>
      </c>
      <c r="K48" s="18" t="n">
        <v>1.22289848</v>
      </c>
      <c r="L48" s="20" t="n">
        <v>0.51817536</v>
      </c>
      <c r="M48" s="18" t="n">
        <v>0</v>
      </c>
      <c r="N48" s="20" t="n">
        <v>0</v>
      </c>
      <c r="O48" s="18" t="n">
        <v>0</v>
      </c>
      <c r="P48" s="20" t="n">
        <v>0</v>
      </c>
      <c r="Q48" s="18" t="n">
        <v>4.64722726</v>
      </c>
      <c r="R48" s="20" t="n">
        <v>0.99011576</v>
      </c>
    </row>
    <row r="49" spans="1:18">
      <c r="A49" s="15" t="s">
        <v>472</v>
      </c>
      <c r="B49" s="17" t="n">
        <v>11795</v>
      </c>
      <c r="C49" s="18">
        <f>(10390.0/B49*100)</f>
        <v/>
      </c>
      <c r="D49" s="19" t="n">
        <v>1405</v>
      </c>
      <c r="E49" s="18" t="n">
        <v>47.71175587</v>
      </c>
      <c r="F49" s="20" t="n">
        <v>1.70403276</v>
      </c>
      <c r="G49" s="18" t="n">
        <v>45.07288186</v>
      </c>
      <c r="H49" s="20" t="n">
        <v>1.74987531</v>
      </c>
      <c r="I49" s="18" t="n">
        <v>0</v>
      </c>
      <c r="J49" s="20" t="n">
        <v>0</v>
      </c>
      <c r="K49" s="18" t="n">
        <v>1.63599557</v>
      </c>
      <c r="L49" s="20" t="n">
        <v>0.4385828</v>
      </c>
      <c r="M49" s="18" t="n">
        <v>0.02321429</v>
      </c>
      <c r="N49" s="20" t="n">
        <v>0.02348185</v>
      </c>
      <c r="O49" s="18" t="n">
        <v>0</v>
      </c>
      <c r="P49" s="20" t="n">
        <v>0</v>
      </c>
      <c r="Q49" s="18" t="n">
        <v>5.55615241</v>
      </c>
      <c r="R49" s="20" t="n">
        <v>0.93071043</v>
      </c>
    </row>
    <row r="50" spans="1:18">
      <c r="A50" s="15" t="s">
        <v>473</v>
      </c>
      <c r="B50" s="17" t="n">
        <v>6866</v>
      </c>
      <c r="C50" s="18">
        <f>(6187.0/B50*100)</f>
        <v/>
      </c>
      <c r="D50" s="19" t="n">
        <v>679</v>
      </c>
      <c r="E50" s="18" t="n">
        <v>41.98313729</v>
      </c>
      <c r="F50" s="20" t="n">
        <v>1.89995185</v>
      </c>
      <c r="G50" s="18" t="n">
        <v>53.42040667</v>
      </c>
      <c r="H50" s="20" t="n">
        <v>1.9783546</v>
      </c>
      <c r="I50" s="18" t="n">
        <v>0</v>
      </c>
      <c r="J50" s="20" t="n">
        <v>0</v>
      </c>
      <c r="K50" s="18" t="n">
        <v>0.7874354099999999</v>
      </c>
      <c r="L50" s="20" t="n">
        <v>0.38034485</v>
      </c>
      <c r="M50" s="18" t="n">
        <v>0</v>
      </c>
      <c r="N50" s="20" t="n">
        <v>0</v>
      </c>
      <c r="O50" s="18" t="n">
        <v>0</v>
      </c>
      <c r="P50" s="20" t="n">
        <v>0</v>
      </c>
      <c r="Q50" s="18" t="n">
        <v>3.80902063</v>
      </c>
      <c r="R50" s="20" t="n">
        <v>0.7140925</v>
      </c>
    </row>
    <row r="51" spans="1:18">
      <c r="A51" s="15" t="s">
        <v>474</v>
      </c>
      <c r="B51" s="17" t="n">
        <v>5809</v>
      </c>
      <c r="C51" s="18">
        <f>(5094.0/B51*100)</f>
        <v/>
      </c>
      <c r="D51" s="19" t="n">
        <v>715</v>
      </c>
      <c r="E51" s="18" t="n">
        <v>23.33509841</v>
      </c>
      <c r="F51" s="20" t="n">
        <v>1.85719192</v>
      </c>
      <c r="G51" s="18" t="n">
        <v>72.54726937</v>
      </c>
      <c r="H51" s="20" t="n">
        <v>1.9749572</v>
      </c>
      <c r="I51" s="18" t="n">
        <v>0</v>
      </c>
      <c r="J51" s="20" t="n">
        <v>0</v>
      </c>
      <c r="K51" s="18" t="n">
        <v>0.12865491</v>
      </c>
      <c r="L51" s="20" t="n">
        <v>0.12834606</v>
      </c>
      <c r="M51" s="18" t="n">
        <v>0</v>
      </c>
      <c r="N51" s="20" t="n">
        <v>0</v>
      </c>
      <c r="O51" s="18" t="n">
        <v>0</v>
      </c>
      <c r="P51" s="20" t="n">
        <v>0</v>
      </c>
      <c r="Q51" s="18" t="n">
        <v>3.98897731</v>
      </c>
      <c r="R51" s="20" t="n">
        <v>0.91267919</v>
      </c>
    </row>
    <row r="52" spans="1:18">
      <c r="A52" s="15" t="s">
        <v>475</v>
      </c>
      <c r="B52" s="17" t="n">
        <v>5571</v>
      </c>
      <c r="C52" s="18">
        <f>(4887.0/B52*100)</f>
        <v/>
      </c>
      <c r="D52" s="19" t="n">
        <v>684</v>
      </c>
      <c r="E52" s="18" t="n">
        <v>34.70854738</v>
      </c>
      <c r="F52" s="20" t="n">
        <v>2.02445245</v>
      </c>
      <c r="G52" s="18" t="n">
        <v>52.16301207</v>
      </c>
      <c r="H52" s="20" t="n">
        <v>2.00649079</v>
      </c>
      <c r="I52" s="18" t="n">
        <v>0</v>
      </c>
      <c r="J52" s="20" t="n">
        <v>0</v>
      </c>
      <c r="K52" s="18" t="n">
        <v>0.75255693</v>
      </c>
      <c r="L52" s="20" t="n">
        <v>0.35507963</v>
      </c>
      <c r="M52" s="18" t="n">
        <v>0.11279935</v>
      </c>
      <c r="N52" s="20" t="n">
        <v>0.11262677</v>
      </c>
      <c r="O52" s="18" t="n">
        <v>0</v>
      </c>
      <c r="P52" s="20" t="n">
        <v>0</v>
      </c>
      <c r="Q52" s="18" t="n">
        <v>12.26308427</v>
      </c>
      <c r="R52" s="20" t="n">
        <v>1.12854243</v>
      </c>
    </row>
    <row r="53" spans="1:18">
      <c r="A53" s="15" t="s">
        <v>476</v>
      </c>
      <c r="B53" s="17" t="n">
        <v>4740</v>
      </c>
      <c r="C53" s="18">
        <f>(3960.0/B53*100)</f>
        <v/>
      </c>
      <c r="D53" s="19" t="n">
        <v>780</v>
      </c>
      <c r="E53" s="18" t="n">
        <v>53.9206757</v>
      </c>
      <c r="F53" s="20" t="n">
        <v>1.91658545</v>
      </c>
      <c r="G53" s="18" t="n">
        <v>19.84263276</v>
      </c>
      <c r="H53" s="20" t="n">
        <v>1.40390581</v>
      </c>
      <c r="I53" s="18" t="n">
        <v>0</v>
      </c>
      <c r="J53" s="20" t="n">
        <v>0</v>
      </c>
      <c r="K53" s="18" t="n">
        <v>11.84693604</v>
      </c>
      <c r="L53" s="20" t="n">
        <v>1.29786954</v>
      </c>
      <c r="M53" s="18" t="n">
        <v>0.95110093</v>
      </c>
      <c r="N53" s="20" t="n">
        <v>0.91926255</v>
      </c>
      <c r="O53" s="18" t="n">
        <v>0</v>
      </c>
      <c r="P53" s="20" t="n">
        <v>0</v>
      </c>
      <c r="Q53" s="18" t="n">
        <v>13.43865458</v>
      </c>
      <c r="R53" s="20" t="n">
        <v>1.13343732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(4699.0/B55*100)</f>
        <v/>
      </c>
      <c r="D55" s="19" t="n">
        <v>660</v>
      </c>
      <c r="E55" s="18" t="n">
        <v>20.0208362</v>
      </c>
      <c r="F55" s="20" t="n">
        <v>1.5814767</v>
      </c>
      <c r="G55" s="18" t="n">
        <v>78.75038716</v>
      </c>
      <c r="H55" s="20" t="n">
        <v>1.6798722</v>
      </c>
      <c r="I55" s="18" t="n">
        <v>0</v>
      </c>
      <c r="J55" s="20" t="n">
        <v>0</v>
      </c>
      <c r="K55" s="18" t="n">
        <v>0.263776</v>
      </c>
      <c r="L55" s="20" t="n">
        <v>0.18690495</v>
      </c>
      <c r="M55" s="18" t="n">
        <v>0</v>
      </c>
      <c r="N55" s="20" t="n">
        <v>0</v>
      </c>
      <c r="O55" s="18" t="n">
        <v>0</v>
      </c>
      <c r="P55" s="20" t="n">
        <v>0</v>
      </c>
      <c r="Q55" s="18" t="n">
        <v>0.96500064</v>
      </c>
      <c r="R55" s="20" t="n">
        <v>0.42352473</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(5753.0/B61*100)</f>
        <v/>
      </c>
      <c r="D61" s="19" t="n">
        <v>772</v>
      </c>
      <c r="E61" s="18" t="n">
        <v>49.57150577</v>
      </c>
      <c r="F61" s="20" t="n">
        <v>2.10390351</v>
      </c>
      <c r="G61" s="18" t="n">
        <v>45.5543988</v>
      </c>
      <c r="H61" s="20" t="n">
        <v>2.13374941</v>
      </c>
      <c r="I61" s="18" t="n">
        <v>0</v>
      </c>
      <c r="J61" s="20" t="n">
        <v>0</v>
      </c>
      <c r="K61" s="18" t="n">
        <v>0.18432926</v>
      </c>
      <c r="L61" s="20" t="n">
        <v>0.16232986</v>
      </c>
      <c r="M61" s="18" t="n">
        <v>0</v>
      </c>
      <c r="N61" s="20" t="n">
        <v>0</v>
      </c>
      <c r="O61" s="18" t="n">
        <v>0</v>
      </c>
      <c r="P61" s="20" t="n">
        <v>0</v>
      </c>
      <c r="Q61" s="18" t="n">
        <v>4.68976618</v>
      </c>
      <c r="R61" s="20" t="n">
        <v>0.7648624000000001</v>
      </c>
    </row>
    <row r="62" spans="1:18">
      <c r="A62" s="15" t="s">
        <v>486</v>
      </c>
      <c r="B62" s="17" t="n">
        <v>4476</v>
      </c>
      <c r="C62" s="18">
        <f>(3936.0/B62*100)</f>
        <v/>
      </c>
      <c r="D62" s="19" t="n">
        <v>540</v>
      </c>
      <c r="E62" s="18" t="n">
        <v>26.2572749</v>
      </c>
      <c r="F62" s="20" t="n">
        <v>2.05498522</v>
      </c>
      <c r="G62" s="18" t="n">
        <v>73.18511027</v>
      </c>
      <c r="H62" s="20" t="n">
        <v>2.13675993</v>
      </c>
      <c r="I62" s="18" t="n">
        <v>0</v>
      </c>
      <c r="J62" s="20" t="n">
        <v>0</v>
      </c>
      <c r="K62" s="18" t="n">
        <v>0.19009563</v>
      </c>
      <c r="L62" s="20" t="n">
        <v>0.18841026</v>
      </c>
      <c r="M62" s="18" t="n">
        <v>0</v>
      </c>
      <c r="N62" s="20" t="n">
        <v>0</v>
      </c>
      <c r="O62" s="18" t="n">
        <v>0</v>
      </c>
      <c r="P62" s="20" t="n">
        <v>0</v>
      </c>
      <c r="Q62" s="18" t="n">
        <v>0.3675192</v>
      </c>
      <c r="R62" s="20" t="n">
        <v>0.26071844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(4981.0/B67*100)</f>
        <v/>
      </c>
      <c r="D67" s="19" t="n">
        <v>684</v>
      </c>
      <c r="E67" s="18" t="n">
        <v>22.94166135</v>
      </c>
      <c r="F67" s="20" t="n">
        <v>1.50004768</v>
      </c>
      <c r="G67" s="18" t="n">
        <v>63.67749731</v>
      </c>
      <c r="H67" s="20" t="n">
        <v>2.01518163</v>
      </c>
      <c r="I67" s="18" t="n">
        <v>0</v>
      </c>
      <c r="J67" s="20" t="n">
        <v>0</v>
      </c>
      <c r="K67" s="18" t="n">
        <v>1.56794903</v>
      </c>
      <c r="L67" s="20" t="n">
        <v>0.48480988</v>
      </c>
      <c r="M67" s="18" t="n">
        <v>0.38410729</v>
      </c>
      <c r="N67" s="20" t="n">
        <v>0.28368741</v>
      </c>
      <c r="O67" s="18" t="n">
        <v>0</v>
      </c>
      <c r="P67" s="20" t="n">
        <v>0</v>
      </c>
      <c r="Q67" s="18" t="n">
        <v>11.42878502</v>
      </c>
      <c r="R67" s="20" t="n">
        <v>1.20385324</v>
      </c>
    </row>
    <row r="68" spans="1:18">
      <c r="A68" s="15" t="s">
        <v>492</v>
      </c>
      <c r="B68" s="17" t="n">
        <v>6971</v>
      </c>
      <c r="C68" s="18">
        <f>(6248.0/B68*100)</f>
        <v/>
      </c>
      <c r="D68" s="19" t="n">
        <v>723</v>
      </c>
      <c r="E68" s="18" t="n">
        <v>55.13745451</v>
      </c>
      <c r="F68" s="20" t="n">
        <v>1.92317725</v>
      </c>
      <c r="G68" s="18" t="n">
        <v>38.46585384</v>
      </c>
      <c r="H68" s="20" t="n">
        <v>1.99823492</v>
      </c>
      <c r="I68" s="18" t="n">
        <v>0</v>
      </c>
      <c r="J68" s="20" t="n">
        <v>0</v>
      </c>
      <c r="K68" s="18" t="n">
        <v>0.21936614</v>
      </c>
      <c r="L68" s="20" t="n">
        <v>0.15469364</v>
      </c>
      <c r="M68" s="18" t="n">
        <v>0.10478552</v>
      </c>
      <c r="N68" s="20" t="n">
        <v>0.10460486</v>
      </c>
      <c r="O68" s="18" t="n">
        <v>0</v>
      </c>
      <c r="P68" s="20" t="n">
        <v>0</v>
      </c>
      <c r="Q68" s="18" t="n">
        <v>6.07253999</v>
      </c>
      <c r="R68" s="20" t="n">
        <v>0.9269666</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45.5408593</v>
      </c>
      <c r="F70" s="20" t="n">
        <v>1.10441121</v>
      </c>
      <c r="G70" s="18" t="n">
        <v>42.44260586</v>
      </c>
      <c r="H70" s="20" t="n">
        <v>1.1041443</v>
      </c>
      <c r="I70" s="18" t="n">
        <v>0</v>
      </c>
      <c r="J70" s="20" t="n">
        <v>0</v>
      </c>
      <c r="K70" s="18" t="n">
        <v>2.63395854</v>
      </c>
      <c r="L70" s="20" t="n">
        <v>0.35290959</v>
      </c>
      <c r="M70" s="18" t="n">
        <v>0.09481566</v>
      </c>
      <c r="N70" s="20" t="n">
        <v>0.06752117000000001</v>
      </c>
      <c r="O70" s="18" t="n">
        <v>0</v>
      </c>
      <c r="P70" s="20" t="n">
        <v>0</v>
      </c>
      <c r="Q70" s="18" t="n">
        <v>9.287760629999999</v>
      </c>
      <c r="R70" s="20" t="n">
        <v>0.67768647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(5354.0/B72*100)</f>
        <v/>
      </c>
      <c r="D72" s="19" t="n">
        <v>682</v>
      </c>
      <c r="E72" s="18" t="n">
        <v>29.2562911</v>
      </c>
      <c r="F72" s="20" t="n">
        <v>2.10558838</v>
      </c>
      <c r="G72" s="18" t="n">
        <v>67.64701146</v>
      </c>
      <c r="H72" s="20" t="n">
        <v>2.28213841</v>
      </c>
      <c r="I72" s="18" t="n">
        <v>0</v>
      </c>
      <c r="J72" s="20" t="n">
        <v>0</v>
      </c>
      <c r="K72" s="18" t="n">
        <v>0.43928251</v>
      </c>
      <c r="L72" s="20" t="n">
        <v>0.25690866</v>
      </c>
      <c r="M72" s="18" t="n">
        <v>0.24173506</v>
      </c>
      <c r="N72" s="20" t="n">
        <v>0.14029653</v>
      </c>
      <c r="O72" s="18" t="n">
        <v>0</v>
      </c>
      <c r="P72" s="20" t="n">
        <v>0</v>
      </c>
      <c r="Q72" s="18" t="n">
        <v>2.41567988</v>
      </c>
      <c r="R72" s="20" t="n">
        <v>0.50223346</v>
      </c>
    </row>
    <row r="73" spans="1:18">
      <c r="A73" s="15" t="s">
        <v>497</v>
      </c>
      <c r="B73" s="17" t="n">
        <v>6115</v>
      </c>
      <c r="C73" s="18">
        <f>(5344.0/B73*100)</f>
        <v/>
      </c>
      <c r="D73" s="19" t="n">
        <v>771</v>
      </c>
      <c r="E73" s="18" t="n">
        <v>26.33015329</v>
      </c>
      <c r="F73" s="20" t="n">
        <v>1.80029667</v>
      </c>
      <c r="G73" s="18" t="n">
        <v>72.56146562000001</v>
      </c>
      <c r="H73" s="20" t="n">
        <v>1.77854877</v>
      </c>
      <c r="I73" s="18" t="n">
        <v>0</v>
      </c>
      <c r="J73" s="20" t="n">
        <v>0</v>
      </c>
      <c r="K73" s="18" t="n">
        <v>0.11812694</v>
      </c>
      <c r="L73" s="20" t="n">
        <v>0.11884523</v>
      </c>
      <c r="M73" s="18" t="n">
        <v>0</v>
      </c>
      <c r="N73" s="20" t="n">
        <v>0</v>
      </c>
      <c r="O73" s="18" t="n">
        <v>0</v>
      </c>
      <c r="P73" s="20" t="n">
        <v>0</v>
      </c>
      <c r="Q73" s="18" t="n">
        <v>0.99025416</v>
      </c>
      <c r="R73" s="20" t="n">
        <v>0.33556102</v>
      </c>
    </row>
    <row r="74" spans="1:18">
      <c r="A74" s="15" t="s">
        <v>498</v>
      </c>
      <c r="B74" s="17" t="n">
        <v>7708</v>
      </c>
      <c r="C74" s="18">
        <f>(6755.0/B74*100)</f>
        <v/>
      </c>
      <c r="D74" s="19" t="n">
        <v>953</v>
      </c>
      <c r="E74" s="18" t="n">
        <v>20.32321528</v>
      </c>
      <c r="F74" s="20" t="n">
        <v>1.40243093</v>
      </c>
      <c r="G74" s="18" t="n">
        <v>76.57282287</v>
      </c>
      <c r="H74" s="20" t="n">
        <v>1.37250164</v>
      </c>
      <c r="I74" s="18" t="n">
        <v>0</v>
      </c>
      <c r="J74" s="20" t="n">
        <v>0</v>
      </c>
      <c r="K74" s="18" t="n">
        <v>0.08333581</v>
      </c>
      <c r="L74" s="20" t="n">
        <v>0.08353975</v>
      </c>
      <c r="M74" s="18" t="n">
        <v>0</v>
      </c>
      <c r="N74" s="20" t="n">
        <v>0</v>
      </c>
      <c r="O74" s="18" t="n">
        <v>0</v>
      </c>
      <c r="P74" s="20" t="n">
        <v>0</v>
      </c>
      <c r="Q74" s="18" t="n">
        <v>3.02062604</v>
      </c>
      <c r="R74" s="20" t="n">
        <v>0.5781115</v>
      </c>
    </row>
    <row r="75" spans="1:18">
      <c r="A75" s="15" t="s">
        <v>499</v>
      </c>
      <c r="B75" s="17" t="n">
        <v>8249</v>
      </c>
      <c r="C75" s="18">
        <f>(7282.0/B75*100)</f>
        <v/>
      </c>
      <c r="D75" s="19" t="n">
        <v>967</v>
      </c>
      <c r="E75" s="18" t="n">
        <v>43.34454052</v>
      </c>
      <c r="F75" s="20" t="n">
        <v>2.21835283</v>
      </c>
      <c r="G75" s="18" t="n">
        <v>55.02924211</v>
      </c>
      <c r="H75" s="20" t="n">
        <v>2.27205819</v>
      </c>
      <c r="I75" s="18" t="n">
        <v>0</v>
      </c>
      <c r="J75" s="20" t="n">
        <v>0</v>
      </c>
      <c r="K75" s="18" t="n">
        <v>0.1526469</v>
      </c>
      <c r="L75" s="20" t="n">
        <v>0.15255245</v>
      </c>
      <c r="M75" s="18" t="n">
        <v>0.1466821</v>
      </c>
      <c r="N75" s="20" t="n">
        <v>0.14148529</v>
      </c>
      <c r="O75" s="18" t="n">
        <v>0</v>
      </c>
      <c r="P75" s="20" t="n">
        <v>0</v>
      </c>
      <c r="Q75" s="18" t="n">
        <v>1.32688837</v>
      </c>
      <c r="R75" s="20" t="n">
        <v>0.37070812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(4781.0/B77*100)</f>
        <v/>
      </c>
      <c r="D77" s="19" t="n">
        <v>594</v>
      </c>
      <c r="E77" s="18" t="n">
        <v>47.26956742</v>
      </c>
      <c r="F77" s="20" t="n">
        <v>2.31429053</v>
      </c>
      <c r="G77" s="18" t="n">
        <v>32.8386041</v>
      </c>
      <c r="H77" s="20" t="n">
        <v>2.02048507</v>
      </c>
      <c r="I77" s="18" t="n">
        <v>0</v>
      </c>
      <c r="J77" s="20" t="n">
        <v>0</v>
      </c>
      <c r="K77" s="18" t="n">
        <v>2.25760889</v>
      </c>
      <c r="L77" s="20" t="n">
        <v>0.68722655</v>
      </c>
      <c r="M77" s="18" t="n">
        <v>0</v>
      </c>
      <c r="N77" s="20" t="n">
        <v>0</v>
      </c>
      <c r="O77" s="18" t="n">
        <v>0</v>
      </c>
      <c r="P77" s="20" t="n">
        <v>0</v>
      </c>
      <c r="Q77" s="18" t="n">
        <v>17.6342196</v>
      </c>
      <c r="R77" s="20" t="n">
        <v>1.75725317</v>
      </c>
    </row>
    <row r="78" spans="1:18">
      <c r="A78" s="15" t="s">
        <v>502</v>
      </c>
      <c r="B78" s="17" t="n">
        <v>14167</v>
      </c>
      <c r="C78" s="18">
        <f>(12409.0/B78*100)</f>
        <v/>
      </c>
      <c r="D78" s="19" t="n">
        <v>1758</v>
      </c>
      <c r="E78" s="18" t="n">
        <v>41.06550472</v>
      </c>
      <c r="F78" s="20" t="n">
        <v>1.33225658</v>
      </c>
      <c r="G78" s="18" t="n">
        <v>53.45823812</v>
      </c>
      <c r="H78" s="20" t="n">
        <v>1.40710682</v>
      </c>
      <c r="I78" s="18" t="n">
        <v>0</v>
      </c>
      <c r="J78" s="20" t="n">
        <v>0</v>
      </c>
      <c r="K78" s="18" t="n">
        <v>0.87054721</v>
      </c>
      <c r="L78" s="20" t="n">
        <v>0.26883077</v>
      </c>
      <c r="M78" s="18" t="n">
        <v>0.04836095</v>
      </c>
      <c r="N78" s="20" t="n">
        <v>0.03471524</v>
      </c>
      <c r="O78" s="18" t="n">
        <v>0</v>
      </c>
      <c r="P78" s="20" t="n">
        <v>0</v>
      </c>
      <c r="Q78" s="18" t="n">
        <v>4.557349</v>
      </c>
      <c r="R78" s="20" t="n">
        <v>0.6321638000000001</v>
      </c>
    </row>
    <row r="79" spans="1:18">
      <c r="A79" s="15" t="s">
        <v>503</v>
      </c>
      <c r="B79" s="17" t="n">
        <v>6062</v>
      </c>
      <c r="C79" s="18">
        <f>(5339.0/B79*100)</f>
        <v/>
      </c>
      <c r="D79" s="19" t="n">
        <v>723</v>
      </c>
      <c r="E79" s="18" t="n">
        <v>32.31088212</v>
      </c>
      <c r="F79" s="20" t="n">
        <v>1.56258659</v>
      </c>
      <c r="G79" s="18" t="n">
        <v>50.43446279</v>
      </c>
      <c r="H79" s="20" t="n">
        <v>1.97793728</v>
      </c>
      <c r="I79" s="18" t="n">
        <v>0</v>
      </c>
      <c r="J79" s="20" t="n">
        <v>0</v>
      </c>
      <c r="K79" s="18" t="n">
        <v>2.0231224</v>
      </c>
      <c r="L79" s="20" t="n">
        <v>0.48335923</v>
      </c>
      <c r="M79" s="18" t="n">
        <v>0.33636076</v>
      </c>
      <c r="N79" s="20" t="n">
        <v>0.17537325</v>
      </c>
      <c r="O79" s="18" t="n">
        <v>0</v>
      </c>
      <c r="P79" s="20" t="n">
        <v>0</v>
      </c>
      <c r="Q79" s="18" t="n">
        <v>14.89517193</v>
      </c>
      <c r="R79" s="20" t="n">
        <v>1.54977244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(28430.0/B82*100)</f>
        <v/>
      </c>
      <c r="D82" s="19" t="n">
        <v>3900</v>
      </c>
      <c r="E82" s="18" t="n">
        <v>24.2168888</v>
      </c>
      <c r="F82" s="20" t="n">
        <v>0.86486677</v>
      </c>
      <c r="G82" s="18" t="n">
        <v>71.26407838</v>
      </c>
      <c r="H82" s="20" t="n">
        <v>0.96766435</v>
      </c>
      <c r="I82" s="18" t="n">
        <v>0</v>
      </c>
      <c r="J82" s="20" t="n">
        <v>0</v>
      </c>
      <c r="K82" s="18" t="n">
        <v>0.43454034</v>
      </c>
      <c r="L82" s="20" t="n">
        <v>0.12803857</v>
      </c>
      <c r="M82" s="18" t="n">
        <v>0.0529071</v>
      </c>
      <c r="N82" s="20" t="n">
        <v>0.0502017</v>
      </c>
      <c r="O82" s="18" t="n">
        <v>0</v>
      </c>
      <c r="P82" s="20" t="n">
        <v>0</v>
      </c>
      <c r="Q82" s="18" t="n">
        <v>4.03158538</v>
      </c>
      <c r="R82" s="20" t="n">
        <v>0.51271945</v>
      </c>
    </row>
    <row r="83" spans="1:18">
      <c r="A83" s="15" t="s">
        <v>507</v>
      </c>
      <c r="B83" s="17" t="n">
        <v>1652</v>
      </c>
      <c r="C83" s="18">
        <f>(1458.0/B83*100)</f>
        <v/>
      </c>
      <c r="D83" s="19" t="n">
        <v>194</v>
      </c>
      <c r="E83" s="18" t="n">
        <v>38.05658344</v>
      </c>
      <c r="F83" s="20" t="n">
        <v>2.86243989</v>
      </c>
      <c r="G83" s="18" t="n">
        <v>60.93559673</v>
      </c>
      <c r="H83" s="20" t="n">
        <v>2.86142899</v>
      </c>
      <c r="I83" s="18" t="n">
        <v>0</v>
      </c>
      <c r="J83" s="20" t="n">
        <v>0</v>
      </c>
      <c r="K83" s="18" t="n">
        <v>0</v>
      </c>
      <c r="L83" s="20" t="n">
        <v>0</v>
      </c>
      <c r="M83" s="18" t="n">
        <v>0</v>
      </c>
      <c r="N83" s="20" t="n">
        <v>0</v>
      </c>
      <c r="O83" s="18" t="n">
        <v>0</v>
      </c>
      <c r="P83" s="20" t="n">
        <v>0</v>
      </c>
      <c r="Q83" s="18" t="n">
        <v>1.00781984</v>
      </c>
      <c r="R83" s="20" t="n">
        <v>0.81420602</v>
      </c>
    </row>
    <row r="84" spans="1:18">
      <c r="A84" s="23" t="s">
        <v>508</v>
      </c>
      <c r="B84" s="24" t="n">
        <v>1887</v>
      </c>
      <c r="C84" s="25">
        <f>(1658.0/B84*100)</f>
        <v/>
      </c>
      <c r="D84" s="19" t="n">
        <v>229</v>
      </c>
      <c r="E84" s="18" t="n">
        <v>45.9443585</v>
      </c>
      <c r="F84" s="20" t="n">
        <v>3.61141701</v>
      </c>
      <c r="G84" s="18" t="n">
        <v>53.62025041</v>
      </c>
      <c r="H84" s="20" t="n">
        <v>3.58513235</v>
      </c>
      <c r="I84" s="18" t="n">
        <v>0</v>
      </c>
      <c r="J84" s="20" t="n">
        <v>0</v>
      </c>
      <c r="K84" s="18" t="n">
        <v>0</v>
      </c>
      <c r="L84" s="20" t="n">
        <v>0</v>
      </c>
      <c r="M84" s="18" t="n">
        <v>0</v>
      </c>
      <c r="N84" s="20" t="n">
        <v>0</v>
      </c>
      <c r="O84" s="18" t="n">
        <v>0</v>
      </c>
      <c r="P84" s="20" t="n">
        <v>0</v>
      </c>
      <c r="Q84" s="18" t="n">
        <v>0.43539108</v>
      </c>
      <c r="R84" s="20" t="n">
        <v>0.4414299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(12787.0/B7*100)</f>
        <v/>
      </c>
      <c r="D7" s="19" t="n">
        <v>1743</v>
      </c>
      <c r="E7" s="18" t="n">
        <v>24.61983241</v>
      </c>
      <c r="F7" s="20" t="n">
        <v>1.17826926</v>
      </c>
      <c r="G7" s="18" t="n">
        <v>70.23724558000001</v>
      </c>
      <c r="H7" s="20" t="n">
        <v>1.30246597</v>
      </c>
      <c r="I7" s="18" t="n">
        <v>0</v>
      </c>
      <c r="J7" s="20" t="n">
        <v>0</v>
      </c>
      <c r="K7" s="18" t="n">
        <v>0.45156478</v>
      </c>
      <c r="L7" s="20" t="n">
        <v>0.21615049</v>
      </c>
      <c r="M7" s="18" t="n">
        <v>0.05298715</v>
      </c>
      <c r="N7" s="20" t="n">
        <v>0.02940906</v>
      </c>
      <c r="O7" s="18" t="n">
        <v>0</v>
      </c>
      <c r="P7" s="20" t="n">
        <v>0</v>
      </c>
      <c r="Q7" s="18" t="n">
        <v>4.63837009</v>
      </c>
      <c r="R7" s="20" t="n">
        <v>0.57223041</v>
      </c>
    </row>
    <row r="8" spans="1:18">
      <c r="A8" s="15" t="s">
        <v>430</v>
      </c>
      <c r="B8" s="17" t="n">
        <v>7007</v>
      </c>
      <c r="C8" s="18">
        <f>(6129.0/B8*100)</f>
        <v/>
      </c>
      <c r="D8" s="19" t="n">
        <v>878</v>
      </c>
      <c r="E8" s="18" t="n">
        <v>19.50295566</v>
      </c>
      <c r="F8" s="20" t="n">
        <v>1.52025868</v>
      </c>
      <c r="G8" s="18" t="n">
        <v>72.18193697</v>
      </c>
      <c r="H8" s="20" t="n">
        <v>1.68624223</v>
      </c>
      <c r="I8" s="18" t="n">
        <v>0</v>
      </c>
      <c r="J8" s="20" t="n">
        <v>0</v>
      </c>
      <c r="K8" s="18" t="n">
        <v>0.24670617</v>
      </c>
      <c r="L8" s="20" t="n">
        <v>0.17656705</v>
      </c>
      <c r="M8" s="18" t="n">
        <v>0</v>
      </c>
      <c r="N8" s="20" t="n">
        <v>0</v>
      </c>
      <c r="O8" s="18" t="n">
        <v>0</v>
      </c>
      <c r="P8" s="20" t="n">
        <v>0</v>
      </c>
      <c r="Q8" s="18" t="n">
        <v>8.068401209999999</v>
      </c>
      <c r="R8" s="20" t="n">
        <v>1.03471063</v>
      </c>
    </row>
    <row r="9" spans="1:18">
      <c r="A9" s="15" t="s">
        <v>431</v>
      </c>
      <c r="B9" s="17" t="n">
        <v>9651</v>
      </c>
      <c r="C9" s="18">
        <f>(8519.0/B9*100)</f>
        <v/>
      </c>
      <c r="D9" s="19" t="n">
        <v>1132</v>
      </c>
      <c r="E9" s="18" t="n">
        <v>17.39851244</v>
      </c>
      <c r="F9" s="20" t="n">
        <v>1.11395719</v>
      </c>
      <c r="G9" s="18" t="n">
        <v>73.02814277</v>
      </c>
      <c r="H9" s="20" t="n">
        <v>1.4530169</v>
      </c>
      <c r="I9" s="18" t="n">
        <v>0</v>
      </c>
      <c r="J9" s="20" t="n">
        <v>0</v>
      </c>
      <c r="K9" s="18" t="n">
        <v>0.95674181</v>
      </c>
      <c r="L9" s="20" t="n">
        <v>0.31893689</v>
      </c>
      <c r="M9" s="18" t="n">
        <v>0.3776079</v>
      </c>
      <c r="N9" s="20" t="n">
        <v>0.1958976</v>
      </c>
      <c r="O9" s="18" t="n">
        <v>0</v>
      </c>
      <c r="P9" s="20" t="n">
        <v>0</v>
      </c>
      <c r="Q9" s="18" t="n">
        <v>8.23899508</v>
      </c>
      <c r="R9" s="20" t="n">
        <v>0.9423989</v>
      </c>
    </row>
    <row r="10" spans="1:18">
      <c r="A10" s="15" t="s">
        <v>432</v>
      </c>
      <c r="B10" s="17" t="n">
        <v>20058</v>
      </c>
      <c r="C10" s="18">
        <f>(17543.0/B10*100)</f>
        <v/>
      </c>
      <c r="D10" s="19" t="n">
        <v>2515</v>
      </c>
      <c r="E10" s="18" t="n">
        <v>18.39523788</v>
      </c>
      <c r="F10" s="20" t="n">
        <v>0.99185282</v>
      </c>
      <c r="G10" s="18" t="n">
        <v>78.61457655</v>
      </c>
      <c r="H10" s="20" t="n">
        <v>1.01540936</v>
      </c>
      <c r="I10" s="18" t="n">
        <v>0</v>
      </c>
      <c r="J10" s="20" t="n">
        <v>0</v>
      </c>
      <c r="K10" s="18" t="n">
        <v>0.36205432</v>
      </c>
      <c r="L10" s="20" t="n">
        <v>0.16472303</v>
      </c>
      <c r="M10" s="18" t="n">
        <v>0.04288379</v>
      </c>
      <c r="N10" s="20" t="n">
        <v>0.04286764</v>
      </c>
      <c r="O10" s="18" t="n">
        <v>0</v>
      </c>
      <c r="P10" s="20" t="n">
        <v>0</v>
      </c>
      <c r="Q10" s="18" t="n">
        <v>2.58524746</v>
      </c>
      <c r="R10" s="20" t="n">
        <v>0.51831324</v>
      </c>
    </row>
    <row r="11" spans="1:18">
      <c r="A11" s="15" t="s">
        <v>433</v>
      </c>
      <c r="B11" s="17" t="n">
        <v>7053</v>
      </c>
      <c r="C11" s="18">
        <f>(6235.0/B11*100)</f>
        <v/>
      </c>
      <c r="D11" s="19" t="n">
        <v>818</v>
      </c>
      <c r="E11" s="18" t="n">
        <v>24.89236041</v>
      </c>
      <c r="F11" s="20" t="n">
        <v>1.89240853</v>
      </c>
      <c r="G11" s="18" t="n">
        <v>67.75396913</v>
      </c>
      <c r="H11" s="20" t="n">
        <v>1.77439205</v>
      </c>
      <c r="I11" s="18" t="n">
        <v>0</v>
      </c>
      <c r="J11" s="20" t="n">
        <v>0</v>
      </c>
      <c r="K11" s="18" t="n">
        <v>1.08252424</v>
      </c>
      <c r="L11" s="20" t="n">
        <v>0.47940726</v>
      </c>
      <c r="M11" s="18" t="n">
        <v>0</v>
      </c>
      <c r="N11" s="20" t="n">
        <v>0</v>
      </c>
      <c r="O11" s="18" t="n">
        <v>0</v>
      </c>
      <c r="P11" s="20" t="n">
        <v>0</v>
      </c>
      <c r="Q11" s="18" t="n">
        <v>6.27114623</v>
      </c>
      <c r="R11" s="20" t="n">
        <v>0.82241089</v>
      </c>
    </row>
    <row r="12" spans="1:18">
      <c r="A12" s="15" t="s">
        <v>434</v>
      </c>
      <c r="B12" s="17" t="n">
        <v>6894</v>
      </c>
      <c r="C12" s="18">
        <f>(6063.0/B12*100)</f>
        <v/>
      </c>
      <c r="D12" s="19" t="n">
        <v>831</v>
      </c>
      <c r="E12" s="18" t="n">
        <v>18.54435622</v>
      </c>
      <c r="F12" s="20" t="n">
        <v>1.53820039</v>
      </c>
      <c r="G12" s="18" t="n">
        <v>76.47248123</v>
      </c>
      <c r="H12" s="20" t="n">
        <v>1.63108362</v>
      </c>
      <c r="I12" s="18" t="n">
        <v>0</v>
      </c>
      <c r="J12" s="20" t="n">
        <v>0</v>
      </c>
      <c r="K12" s="18" t="n">
        <v>0.10915086</v>
      </c>
      <c r="L12" s="20" t="n">
        <v>0.10689919</v>
      </c>
      <c r="M12" s="18" t="n">
        <v>0.09085401999999999</v>
      </c>
      <c r="N12" s="20" t="n">
        <v>0.09057803</v>
      </c>
      <c r="O12" s="18" t="n">
        <v>0</v>
      </c>
      <c r="P12" s="20" t="n">
        <v>0</v>
      </c>
      <c r="Q12" s="18" t="n">
        <v>4.78315767</v>
      </c>
      <c r="R12" s="20" t="n">
        <v>0.82661511</v>
      </c>
    </row>
    <row r="13" spans="1:18">
      <c r="A13" s="15" t="s">
        <v>435</v>
      </c>
      <c r="B13" s="17" t="n">
        <v>7161</v>
      </c>
      <c r="C13" s="18">
        <f>(6326.0/B13*100)</f>
        <v/>
      </c>
      <c r="D13" s="19" t="n">
        <v>835</v>
      </c>
      <c r="E13" s="18" t="n">
        <v>19.29423675</v>
      </c>
      <c r="F13" s="20" t="n">
        <v>1.66592182</v>
      </c>
      <c r="G13" s="18" t="n">
        <v>74.15126407</v>
      </c>
      <c r="H13" s="20" t="n">
        <v>1.90730883</v>
      </c>
      <c r="I13" s="18" t="n">
        <v>0</v>
      </c>
      <c r="J13" s="20" t="n">
        <v>0</v>
      </c>
      <c r="K13" s="18" t="n">
        <v>0.83186944</v>
      </c>
      <c r="L13" s="20" t="n">
        <v>0.3389606</v>
      </c>
      <c r="M13" s="18" t="n">
        <v>0</v>
      </c>
      <c r="N13" s="20" t="n">
        <v>0</v>
      </c>
      <c r="O13" s="18" t="n">
        <v>0</v>
      </c>
      <c r="P13" s="20" t="n">
        <v>0</v>
      </c>
      <c r="Q13" s="18" t="n">
        <v>5.72262974</v>
      </c>
      <c r="R13" s="20" t="n">
        <v>0.8933646</v>
      </c>
    </row>
    <row r="14" spans="1:18">
      <c r="A14" s="15" t="s">
        <v>436</v>
      </c>
      <c r="B14" s="17" t="n">
        <v>5587</v>
      </c>
      <c r="C14" s="18">
        <f>(4926.0/B14*100)</f>
        <v/>
      </c>
      <c r="D14" s="19" t="n">
        <v>661</v>
      </c>
      <c r="E14" s="18" t="n">
        <v>12.77052538</v>
      </c>
      <c r="F14" s="20" t="n">
        <v>1.72620581</v>
      </c>
      <c r="G14" s="18" t="n">
        <v>84.51968060999999</v>
      </c>
      <c r="H14" s="20" t="n">
        <v>1.88874602</v>
      </c>
      <c r="I14" s="18" t="n">
        <v>0</v>
      </c>
      <c r="J14" s="20" t="n">
        <v>0</v>
      </c>
      <c r="K14" s="18" t="n">
        <v>0.26825641</v>
      </c>
      <c r="L14" s="20" t="n">
        <v>0.19527055</v>
      </c>
      <c r="M14" s="18" t="n">
        <v>0</v>
      </c>
      <c r="N14" s="20" t="n">
        <v>0</v>
      </c>
      <c r="O14" s="18" t="n">
        <v>0</v>
      </c>
      <c r="P14" s="20" t="n">
        <v>0</v>
      </c>
      <c r="Q14" s="18" t="n">
        <v>2.4415376</v>
      </c>
      <c r="R14" s="20" t="n">
        <v>0.70861314</v>
      </c>
    </row>
    <row r="15" spans="1:18">
      <c r="A15" s="15" t="s">
        <v>437</v>
      </c>
      <c r="B15" s="17" t="n">
        <v>5882</v>
      </c>
      <c r="C15" s="18">
        <f>(5156.0/B15*100)</f>
        <v/>
      </c>
      <c r="D15" s="19" t="n">
        <v>726</v>
      </c>
      <c r="E15" s="18" t="n">
        <v>12.769593</v>
      </c>
      <c r="F15" s="20" t="n">
        <v>1.32849549</v>
      </c>
      <c r="G15" s="18" t="n">
        <v>83.06029891</v>
      </c>
      <c r="H15" s="20" t="n">
        <v>1.43461524</v>
      </c>
      <c r="I15" s="18" t="n">
        <v>0</v>
      </c>
      <c r="J15" s="20" t="n">
        <v>0</v>
      </c>
      <c r="K15" s="18" t="n">
        <v>0.39665163</v>
      </c>
      <c r="L15" s="20" t="n">
        <v>0.22900439</v>
      </c>
      <c r="M15" s="18" t="n">
        <v>0</v>
      </c>
      <c r="N15" s="20" t="n">
        <v>0</v>
      </c>
      <c r="O15" s="18" t="n">
        <v>0</v>
      </c>
      <c r="P15" s="20" t="n">
        <v>0</v>
      </c>
      <c r="Q15" s="18" t="n">
        <v>3.77345646</v>
      </c>
      <c r="R15" s="20" t="n">
        <v>0.7281987599999999</v>
      </c>
    </row>
    <row r="16" spans="1:18">
      <c r="A16" s="15" t="s">
        <v>438</v>
      </c>
      <c r="B16" s="17" t="n">
        <v>6108</v>
      </c>
      <c r="C16" s="18">
        <f>(5378.0/B16*100)</f>
        <v/>
      </c>
      <c r="D16" s="19" t="n">
        <v>730</v>
      </c>
      <c r="E16" s="18" t="n">
        <v>16.39066472</v>
      </c>
      <c r="F16" s="20" t="n">
        <v>1.23694331</v>
      </c>
      <c r="G16" s="18" t="n">
        <v>70.61771964</v>
      </c>
      <c r="H16" s="20" t="n">
        <v>1.6865482</v>
      </c>
      <c r="I16" s="18" t="n">
        <v>0</v>
      </c>
      <c r="J16" s="20" t="n">
        <v>0</v>
      </c>
      <c r="K16" s="18" t="n">
        <v>2.41122305</v>
      </c>
      <c r="L16" s="20" t="n">
        <v>0.5720504199999999</v>
      </c>
      <c r="M16" s="18" t="n">
        <v>0.36716407</v>
      </c>
      <c r="N16" s="20" t="n">
        <v>0.42509931</v>
      </c>
      <c r="O16" s="18" t="n">
        <v>0</v>
      </c>
      <c r="P16" s="20" t="n">
        <v>0</v>
      </c>
      <c r="Q16" s="18" t="n">
        <v>10.21322852</v>
      </c>
      <c r="R16" s="20" t="n">
        <v>1.26894097</v>
      </c>
    </row>
    <row r="17" spans="1:18">
      <c r="A17" s="15" t="s">
        <v>439</v>
      </c>
      <c r="B17" s="17" t="n">
        <v>6504</v>
      </c>
      <c r="C17" s="18">
        <f>(5748.0/B17*100)</f>
        <v/>
      </c>
      <c r="D17" s="19" t="n">
        <v>756</v>
      </c>
      <c r="E17" s="18" t="n">
        <v>15.31310883</v>
      </c>
      <c r="F17" s="20" t="n">
        <v>1.31856684</v>
      </c>
      <c r="G17" s="18" t="n">
        <v>77.33706588</v>
      </c>
      <c r="H17" s="20" t="n">
        <v>1.54860711</v>
      </c>
      <c r="I17" s="18" t="n">
        <v>0</v>
      </c>
      <c r="J17" s="20" t="n">
        <v>0</v>
      </c>
      <c r="K17" s="18" t="n">
        <v>0.66180291</v>
      </c>
      <c r="L17" s="20" t="n">
        <v>0.19154422</v>
      </c>
      <c r="M17" s="18" t="n">
        <v>0</v>
      </c>
      <c r="N17" s="20" t="n">
        <v>0</v>
      </c>
      <c r="O17" s="18" t="n">
        <v>0</v>
      </c>
      <c r="P17" s="20" t="n">
        <v>0</v>
      </c>
      <c r="Q17" s="18" t="n">
        <v>6.68802238</v>
      </c>
      <c r="R17" s="20" t="n">
        <v>0.93985942</v>
      </c>
    </row>
    <row r="18" spans="1:18">
      <c r="A18" s="15" t="s">
        <v>440</v>
      </c>
      <c r="B18" s="17" t="n">
        <v>5532</v>
      </c>
      <c r="C18" s="18">
        <f>(4846.0/B18*100)</f>
        <v/>
      </c>
      <c r="D18" s="19" t="n">
        <v>686</v>
      </c>
      <c r="E18" s="18" t="n">
        <v>40.19546241</v>
      </c>
      <c r="F18" s="20" t="n">
        <v>2.21295981</v>
      </c>
      <c r="G18" s="18" t="n">
        <v>47.3991691</v>
      </c>
      <c r="H18" s="20" t="n">
        <v>2.20226292</v>
      </c>
      <c r="I18" s="18" t="n">
        <v>0</v>
      </c>
      <c r="J18" s="20" t="n">
        <v>0</v>
      </c>
      <c r="K18" s="18" t="n">
        <v>0.51822169</v>
      </c>
      <c r="L18" s="20" t="n">
        <v>0.34057874</v>
      </c>
      <c r="M18" s="18" t="n">
        <v>0</v>
      </c>
      <c r="N18" s="20" t="n">
        <v>0</v>
      </c>
      <c r="O18" s="18" t="n">
        <v>0</v>
      </c>
      <c r="P18" s="20" t="n">
        <v>0</v>
      </c>
      <c r="Q18" s="18" t="n">
        <v>11.8871468</v>
      </c>
      <c r="R18" s="20" t="n">
        <v>1.66266906</v>
      </c>
    </row>
    <row r="19" spans="1:18">
      <c r="A19" s="15" t="s">
        <v>441</v>
      </c>
      <c r="B19" s="17" t="n">
        <v>5658</v>
      </c>
      <c r="C19" s="18">
        <f>(4971.0/B19*100)</f>
        <v/>
      </c>
      <c r="D19" s="19" t="n">
        <v>687</v>
      </c>
      <c r="E19" s="18" t="n">
        <v>37.57977271</v>
      </c>
      <c r="F19" s="20" t="n">
        <v>1.96677306</v>
      </c>
      <c r="G19" s="18" t="n">
        <v>51.57136055</v>
      </c>
      <c r="H19" s="20" t="n">
        <v>1.9042699</v>
      </c>
      <c r="I19" s="18" t="n">
        <v>0</v>
      </c>
      <c r="J19" s="20" t="n">
        <v>0</v>
      </c>
      <c r="K19" s="18" t="n">
        <v>0.43089515</v>
      </c>
      <c r="L19" s="20" t="n">
        <v>0.35430551</v>
      </c>
      <c r="M19" s="18" t="n">
        <v>0.32909692</v>
      </c>
      <c r="N19" s="20" t="n">
        <v>0.23214618</v>
      </c>
      <c r="O19" s="18" t="n">
        <v>0</v>
      </c>
      <c r="P19" s="20" t="n">
        <v>0</v>
      </c>
      <c r="Q19" s="18" t="n">
        <v>10.08887467</v>
      </c>
      <c r="R19" s="20" t="n">
        <v>1.27535114</v>
      </c>
    </row>
    <row r="20" spans="1:18">
      <c r="A20" s="15" t="s">
        <v>442</v>
      </c>
      <c r="B20" s="17" t="n">
        <v>3371</v>
      </c>
      <c r="C20" s="18">
        <f>(2972.0/B20*100)</f>
        <v/>
      </c>
      <c r="D20" s="19" t="n">
        <v>399</v>
      </c>
      <c r="E20" s="18" t="n">
        <v>20.54294809</v>
      </c>
      <c r="F20" s="20" t="n">
        <v>2.05295816</v>
      </c>
      <c r="G20" s="18" t="n">
        <v>73.11606707999999</v>
      </c>
      <c r="H20" s="20" t="n">
        <v>2.31068303</v>
      </c>
      <c r="I20" s="18" t="n">
        <v>0</v>
      </c>
      <c r="J20" s="20" t="n">
        <v>0</v>
      </c>
      <c r="K20" s="18" t="n">
        <v>0.62971376</v>
      </c>
      <c r="L20" s="20" t="n">
        <v>0.45855089</v>
      </c>
      <c r="M20" s="18" t="n">
        <v>0</v>
      </c>
      <c r="N20" s="20" t="n">
        <v>0</v>
      </c>
      <c r="O20" s="18" t="n">
        <v>0</v>
      </c>
      <c r="P20" s="20" t="n">
        <v>0</v>
      </c>
      <c r="Q20" s="18" t="n">
        <v>5.71127106</v>
      </c>
      <c r="R20" s="20" t="n">
        <v>1.07133167</v>
      </c>
    </row>
    <row r="21" spans="1:18">
      <c r="A21" s="15" t="s">
        <v>443</v>
      </c>
      <c r="B21" s="17" t="n">
        <v>5741</v>
      </c>
      <c r="C21" s="18">
        <f>(4791.0/B21*100)</f>
        <v/>
      </c>
      <c r="D21" s="19" t="n">
        <v>950</v>
      </c>
      <c r="E21" s="18" t="n">
        <v>18.14505879</v>
      </c>
      <c r="F21" s="20" t="n">
        <v>1.29556352</v>
      </c>
      <c r="G21" s="18" t="n">
        <v>78.77761387</v>
      </c>
      <c r="H21" s="20" t="n">
        <v>1.50598135</v>
      </c>
      <c r="I21" s="18" t="n">
        <v>0</v>
      </c>
      <c r="J21" s="20" t="n">
        <v>0</v>
      </c>
      <c r="K21" s="18" t="n">
        <v>0.41243512</v>
      </c>
      <c r="L21" s="20" t="n">
        <v>0.1817429</v>
      </c>
      <c r="M21" s="18" t="n">
        <v>0</v>
      </c>
      <c r="N21" s="20" t="n">
        <v>0</v>
      </c>
      <c r="O21" s="18" t="n">
        <v>0</v>
      </c>
      <c r="P21" s="20" t="n">
        <v>0</v>
      </c>
      <c r="Q21" s="18" t="n">
        <v>2.66489223</v>
      </c>
      <c r="R21" s="20" t="n">
        <v>0.53890601</v>
      </c>
    </row>
    <row r="22" spans="1:18">
      <c r="A22" s="15" t="s">
        <v>444</v>
      </c>
      <c r="B22" s="17" t="n">
        <v>6598</v>
      </c>
      <c r="C22" s="18">
        <f>(5853.0/B22*100)</f>
        <v/>
      </c>
      <c r="D22" s="19" t="n">
        <v>745</v>
      </c>
      <c r="E22" s="18" t="n">
        <v>21.4326843</v>
      </c>
      <c r="F22" s="20" t="n">
        <v>1.58215967</v>
      </c>
      <c r="G22" s="18" t="n">
        <v>68.6264372</v>
      </c>
      <c r="H22" s="20" t="n">
        <v>1.84166587</v>
      </c>
      <c r="I22" s="18" t="n">
        <v>0</v>
      </c>
      <c r="J22" s="20" t="n">
        <v>0</v>
      </c>
      <c r="K22" s="18" t="n">
        <v>1.4446936</v>
      </c>
      <c r="L22" s="20" t="n">
        <v>0.47190534</v>
      </c>
      <c r="M22" s="18" t="n">
        <v>0</v>
      </c>
      <c r="N22" s="20" t="n">
        <v>0</v>
      </c>
      <c r="O22" s="18" t="n">
        <v>0</v>
      </c>
      <c r="P22" s="20" t="n">
        <v>0</v>
      </c>
      <c r="Q22" s="18" t="n">
        <v>8.496184899999999</v>
      </c>
      <c r="R22" s="20" t="n">
        <v>1.06743058</v>
      </c>
    </row>
    <row r="23" spans="1:18">
      <c r="A23" s="15" t="s">
        <v>445</v>
      </c>
      <c r="B23" s="17" t="n">
        <v>11583</v>
      </c>
      <c r="C23" s="18">
        <f>(10170.0/B23*100)</f>
        <v/>
      </c>
      <c r="D23" s="19" t="n">
        <v>1413</v>
      </c>
      <c r="E23" s="18" t="n">
        <v>45.11293514</v>
      </c>
      <c r="F23" s="20" t="n">
        <v>2.57151001</v>
      </c>
      <c r="G23" s="18" t="n">
        <v>43.45342498</v>
      </c>
      <c r="H23" s="20" t="n">
        <v>1.94137595</v>
      </c>
      <c r="I23" s="18" t="n">
        <v>0</v>
      </c>
      <c r="J23" s="20" t="n">
        <v>0</v>
      </c>
      <c r="K23" s="18" t="n">
        <v>0.87817967</v>
      </c>
      <c r="L23" s="20" t="n">
        <v>0.39350763</v>
      </c>
      <c r="M23" s="18" t="n">
        <v>1.07808185</v>
      </c>
      <c r="N23" s="20" t="n">
        <v>0.82379509</v>
      </c>
      <c r="O23" s="18" t="n">
        <v>0</v>
      </c>
      <c r="P23" s="20" t="n">
        <v>0</v>
      </c>
      <c r="Q23" s="18" t="n">
        <v>9.47737835</v>
      </c>
      <c r="R23" s="20" t="n">
        <v>1.30216769</v>
      </c>
    </row>
    <row r="24" spans="1:18">
      <c r="A24" s="15" t="s">
        <v>446</v>
      </c>
      <c r="B24" s="17" t="n">
        <v>6647</v>
      </c>
      <c r="C24" s="18">
        <f>(5856.0/B24*100)</f>
        <v/>
      </c>
      <c r="D24" s="19" t="n">
        <v>791</v>
      </c>
      <c r="E24" s="18" t="n">
        <v>8.94610662</v>
      </c>
      <c r="F24" s="20" t="n">
        <v>1.05352718</v>
      </c>
      <c r="G24" s="18" t="n">
        <v>86.07908456</v>
      </c>
      <c r="H24" s="20" t="n">
        <v>1.29492452</v>
      </c>
      <c r="I24" s="18" t="n">
        <v>0</v>
      </c>
      <c r="J24" s="20" t="n">
        <v>0</v>
      </c>
      <c r="K24" s="18" t="n">
        <v>0.42207207</v>
      </c>
      <c r="L24" s="20" t="n">
        <v>0.24416491</v>
      </c>
      <c r="M24" s="18" t="n">
        <v>0</v>
      </c>
      <c r="N24" s="20" t="n">
        <v>0</v>
      </c>
      <c r="O24" s="18" t="n">
        <v>0</v>
      </c>
      <c r="P24" s="20" t="n">
        <v>0</v>
      </c>
      <c r="Q24" s="18" t="n">
        <v>4.55273675</v>
      </c>
      <c r="R24" s="20" t="n">
        <v>0.84457795</v>
      </c>
    </row>
    <row r="25" spans="1:18">
      <c r="A25" s="15" t="s">
        <v>447</v>
      </c>
      <c r="B25" s="17" t="n">
        <v>5581</v>
      </c>
      <c r="C25" s="18">
        <f>(4892.0/B25*100)</f>
        <v/>
      </c>
      <c r="D25" s="19" t="n">
        <v>689</v>
      </c>
      <c r="E25" s="18" t="n">
        <v>25.36318705</v>
      </c>
      <c r="F25" s="20" t="n">
        <v>1.80208448</v>
      </c>
      <c r="G25" s="18" t="n">
        <v>67.46162275</v>
      </c>
      <c r="H25" s="20" t="n">
        <v>1.78722984</v>
      </c>
      <c r="I25" s="18" t="n">
        <v>0</v>
      </c>
      <c r="J25" s="20" t="n">
        <v>0</v>
      </c>
      <c r="K25" s="18" t="n">
        <v>0.697186</v>
      </c>
      <c r="L25" s="20" t="n">
        <v>0.31248594</v>
      </c>
      <c r="M25" s="18" t="n">
        <v>0</v>
      </c>
      <c r="N25" s="20" t="n">
        <v>0</v>
      </c>
      <c r="O25" s="18" t="n">
        <v>0</v>
      </c>
      <c r="P25" s="20" t="n">
        <v>0</v>
      </c>
      <c r="Q25" s="18" t="n">
        <v>6.47800421</v>
      </c>
      <c r="R25" s="20" t="n">
        <v>1.03843821</v>
      </c>
    </row>
    <row r="26" spans="1:18">
      <c r="A26" s="15" t="s">
        <v>448</v>
      </c>
      <c r="B26" s="17" t="n">
        <v>4869</v>
      </c>
      <c r="C26" s="18">
        <f>(4265.0/B26*100)</f>
        <v/>
      </c>
      <c r="D26" s="19" t="n">
        <v>604</v>
      </c>
      <c r="E26" s="18" t="n">
        <v>22.60484318</v>
      </c>
      <c r="F26" s="20" t="n">
        <v>1.89895316</v>
      </c>
      <c r="G26" s="18" t="n">
        <v>72.97341342</v>
      </c>
      <c r="H26" s="20" t="n">
        <v>1.92369837</v>
      </c>
      <c r="I26" s="18" t="n">
        <v>0</v>
      </c>
      <c r="J26" s="20" t="n">
        <v>0</v>
      </c>
      <c r="K26" s="18" t="n">
        <v>0</v>
      </c>
      <c r="L26" s="20" t="n">
        <v>0</v>
      </c>
      <c r="M26" s="18" t="n">
        <v>0.24375682</v>
      </c>
      <c r="N26" s="20" t="n">
        <v>0.17251596</v>
      </c>
      <c r="O26" s="18" t="n">
        <v>0</v>
      </c>
      <c r="P26" s="20" t="n">
        <v>0</v>
      </c>
      <c r="Q26" s="18" t="n">
        <v>4.17798657</v>
      </c>
      <c r="R26" s="20" t="n">
        <v>0.86743982</v>
      </c>
    </row>
    <row r="27" spans="1:18">
      <c r="A27" s="15" t="s">
        <v>449</v>
      </c>
      <c r="B27" s="17" t="n">
        <v>5299</v>
      </c>
      <c r="C27" s="18">
        <f>(4646.0/B27*100)</f>
        <v/>
      </c>
      <c r="D27" s="19" t="n">
        <v>653</v>
      </c>
      <c r="E27" s="18" t="n">
        <v>26.028304</v>
      </c>
      <c r="F27" s="20" t="n">
        <v>1.60335069</v>
      </c>
      <c r="G27" s="18" t="n">
        <v>63.45188224</v>
      </c>
      <c r="H27" s="20" t="n">
        <v>1.87763831</v>
      </c>
      <c r="I27" s="18" t="n">
        <v>0</v>
      </c>
      <c r="J27" s="20" t="n">
        <v>0</v>
      </c>
      <c r="K27" s="18" t="n">
        <v>0.6163255</v>
      </c>
      <c r="L27" s="20" t="n">
        <v>0.30699941</v>
      </c>
      <c r="M27" s="18" t="n">
        <v>0</v>
      </c>
      <c r="N27" s="20" t="n">
        <v>0</v>
      </c>
      <c r="O27" s="18" t="n">
        <v>0</v>
      </c>
      <c r="P27" s="20" t="n">
        <v>0</v>
      </c>
      <c r="Q27" s="18" t="n">
        <v>9.90348827</v>
      </c>
      <c r="R27" s="20" t="n">
        <v>1.03484431</v>
      </c>
    </row>
    <row r="28" spans="1:18">
      <c r="A28" s="15" t="s">
        <v>450</v>
      </c>
      <c r="B28" s="17" t="n">
        <v>7568</v>
      </c>
      <c r="C28" s="18">
        <f>(6711.0/B28*100)</f>
        <v/>
      </c>
      <c r="D28" s="19" t="n">
        <v>857</v>
      </c>
      <c r="E28" s="18" t="n">
        <v>40.98527951</v>
      </c>
      <c r="F28" s="20" t="n">
        <v>2.17353918</v>
      </c>
      <c r="G28" s="18" t="n">
        <v>55.84929406</v>
      </c>
      <c r="H28" s="20" t="n">
        <v>2.1663926</v>
      </c>
      <c r="I28" s="18" t="n">
        <v>0</v>
      </c>
      <c r="J28" s="20" t="n">
        <v>0</v>
      </c>
      <c r="K28" s="18" t="n">
        <v>0.52461622</v>
      </c>
      <c r="L28" s="20" t="n">
        <v>0.27489046</v>
      </c>
      <c r="M28" s="18" t="n">
        <v>0.09451073</v>
      </c>
      <c r="N28" s="20" t="n">
        <v>0.0943049</v>
      </c>
      <c r="O28" s="18" t="n">
        <v>0</v>
      </c>
      <c r="P28" s="20" t="n">
        <v>0</v>
      </c>
      <c r="Q28" s="18" t="n">
        <v>2.54629947</v>
      </c>
      <c r="R28" s="20" t="n">
        <v>0.7135497</v>
      </c>
    </row>
    <row r="29" spans="1:18">
      <c r="A29" s="15" t="s">
        <v>451</v>
      </c>
      <c r="B29" s="17" t="n">
        <v>5385</v>
      </c>
      <c r="C29" s="18">
        <f>(4753.0/B29*100)</f>
        <v/>
      </c>
      <c r="D29" s="19" t="n">
        <v>632</v>
      </c>
      <c r="E29" s="18" t="n">
        <v>17.30877043</v>
      </c>
      <c r="F29" s="20" t="n">
        <v>1.46135949</v>
      </c>
      <c r="G29" s="18" t="n">
        <v>80.29670577</v>
      </c>
      <c r="H29" s="20" t="n">
        <v>1.48146538</v>
      </c>
      <c r="I29" s="18" t="n">
        <v>0</v>
      </c>
      <c r="J29" s="20" t="n">
        <v>0</v>
      </c>
      <c r="K29" s="18" t="n">
        <v>0</v>
      </c>
      <c r="L29" s="20" t="n">
        <v>0</v>
      </c>
      <c r="M29" s="18" t="n">
        <v>0</v>
      </c>
      <c r="N29" s="20" t="n">
        <v>0</v>
      </c>
      <c r="O29" s="18" t="n">
        <v>0</v>
      </c>
      <c r="P29" s="20" t="n">
        <v>0</v>
      </c>
      <c r="Q29" s="18" t="n">
        <v>2.3945238</v>
      </c>
      <c r="R29" s="20" t="n">
        <v>0.54286974</v>
      </c>
    </row>
    <row r="30" spans="1:18">
      <c r="A30" s="15" t="s">
        <v>452</v>
      </c>
      <c r="B30" s="17" t="n">
        <v>4520</v>
      </c>
      <c r="C30" s="18">
        <f>(3999.0/B30*100)</f>
        <v/>
      </c>
      <c r="D30" s="19" t="n">
        <v>521</v>
      </c>
      <c r="E30" s="18" t="n">
        <v>16.85781564</v>
      </c>
      <c r="F30" s="20" t="n">
        <v>1.79194453</v>
      </c>
      <c r="G30" s="18" t="n">
        <v>76.40102808</v>
      </c>
      <c r="H30" s="20" t="n">
        <v>1.84322508</v>
      </c>
      <c r="I30" s="18" t="n">
        <v>0</v>
      </c>
      <c r="J30" s="20" t="n">
        <v>0</v>
      </c>
      <c r="K30" s="18" t="n">
        <v>0.7187799</v>
      </c>
      <c r="L30" s="20" t="n">
        <v>0.35263265</v>
      </c>
      <c r="M30" s="18" t="n">
        <v>0</v>
      </c>
      <c r="N30" s="20" t="n">
        <v>0</v>
      </c>
      <c r="O30" s="18" t="n">
        <v>0</v>
      </c>
      <c r="P30" s="20" t="n">
        <v>0</v>
      </c>
      <c r="Q30" s="18" t="n">
        <v>6.02237638</v>
      </c>
      <c r="R30" s="20" t="n">
        <v>1.10670746</v>
      </c>
    </row>
    <row r="31" spans="1:18">
      <c r="A31" s="15" t="s">
        <v>453</v>
      </c>
      <c r="B31" s="17" t="n">
        <v>5456</v>
      </c>
      <c r="C31" s="18">
        <f>(4791.0/B31*100)</f>
        <v/>
      </c>
      <c r="D31" s="19" t="n">
        <v>665</v>
      </c>
      <c r="E31" s="18" t="n">
        <v>16.47964809</v>
      </c>
      <c r="F31" s="20" t="n">
        <v>1.51563481</v>
      </c>
      <c r="G31" s="18" t="n">
        <v>77.30779157000001</v>
      </c>
      <c r="H31" s="20" t="n">
        <v>1.67535845</v>
      </c>
      <c r="I31" s="18" t="n">
        <v>0</v>
      </c>
      <c r="J31" s="20" t="n">
        <v>0</v>
      </c>
      <c r="K31" s="18" t="n">
        <v>1.36979693</v>
      </c>
      <c r="L31" s="20" t="n">
        <v>0.45180735</v>
      </c>
      <c r="M31" s="18" t="n">
        <v>0</v>
      </c>
      <c r="N31" s="20" t="n">
        <v>0</v>
      </c>
      <c r="O31" s="18" t="n">
        <v>0</v>
      </c>
      <c r="P31" s="20" t="n">
        <v>0</v>
      </c>
      <c r="Q31" s="18" t="n">
        <v>4.84276342</v>
      </c>
      <c r="R31" s="20" t="n">
        <v>0.92187631</v>
      </c>
    </row>
    <row r="32" spans="1:18">
      <c r="A32" s="15" t="s">
        <v>454</v>
      </c>
      <c r="B32" s="17" t="n">
        <v>4478</v>
      </c>
      <c r="C32" s="18">
        <f>(3726.0/B32*100)</f>
        <v/>
      </c>
      <c r="D32" s="19" t="n">
        <v>752</v>
      </c>
      <c r="E32" s="18" t="n">
        <v>40.48369807</v>
      </c>
      <c r="F32" s="20" t="n">
        <v>1.93154945</v>
      </c>
      <c r="G32" s="18" t="n">
        <v>53.51884118</v>
      </c>
      <c r="H32" s="20" t="n">
        <v>1.99240171</v>
      </c>
      <c r="I32" s="18" t="n">
        <v>0</v>
      </c>
      <c r="J32" s="20" t="n">
        <v>0</v>
      </c>
      <c r="K32" s="18" t="n">
        <v>0.24588277</v>
      </c>
      <c r="L32" s="20" t="n">
        <v>0.01129588</v>
      </c>
      <c r="M32" s="18" t="n">
        <v>0</v>
      </c>
      <c r="N32" s="20" t="n">
        <v>0</v>
      </c>
      <c r="O32" s="18" t="n">
        <v>0</v>
      </c>
      <c r="P32" s="20" t="n">
        <v>0</v>
      </c>
      <c r="Q32" s="18" t="n">
        <v>5.75157799</v>
      </c>
      <c r="R32" s="20" t="n">
        <v>0.88464093</v>
      </c>
    </row>
    <row r="33" spans="1:18">
      <c r="A33" s="15" t="s">
        <v>455</v>
      </c>
      <c r="B33" s="17" t="n">
        <v>7325</v>
      </c>
      <c r="C33" s="18">
        <f>(6463.0/B33*100)</f>
        <v/>
      </c>
      <c r="D33" s="19" t="n">
        <v>862</v>
      </c>
      <c r="E33" s="18" t="n">
        <v>16.8318717</v>
      </c>
      <c r="F33" s="20" t="n">
        <v>1.31017678</v>
      </c>
      <c r="G33" s="18" t="n">
        <v>75.91715055</v>
      </c>
      <c r="H33" s="20" t="n">
        <v>1.79082917</v>
      </c>
      <c r="I33" s="18" t="n">
        <v>0</v>
      </c>
      <c r="J33" s="20" t="n">
        <v>0</v>
      </c>
      <c r="K33" s="18" t="n">
        <v>0.21037639</v>
      </c>
      <c r="L33" s="20" t="n">
        <v>0.15852761</v>
      </c>
      <c r="M33" s="18" t="n">
        <v>0</v>
      </c>
      <c r="N33" s="20" t="n">
        <v>0</v>
      </c>
      <c r="O33" s="18" t="n">
        <v>0</v>
      </c>
      <c r="P33" s="20" t="n">
        <v>0</v>
      </c>
      <c r="Q33" s="18" t="n">
        <v>7.04060137</v>
      </c>
      <c r="R33" s="20" t="n">
        <v>1.32328901</v>
      </c>
    </row>
    <row r="34" spans="1:18">
      <c r="A34" s="15" t="s">
        <v>456</v>
      </c>
      <c r="B34" s="17" t="n">
        <v>6350</v>
      </c>
      <c r="C34" s="18">
        <f>(5637.0/B34*100)</f>
        <v/>
      </c>
      <c r="D34" s="19" t="n">
        <v>713</v>
      </c>
      <c r="E34" s="18" t="n">
        <v>30.15231979</v>
      </c>
      <c r="F34" s="20" t="n">
        <v>1.96959466</v>
      </c>
      <c r="G34" s="18" t="n">
        <v>61.76723653</v>
      </c>
      <c r="H34" s="20" t="n">
        <v>2.15431848</v>
      </c>
      <c r="I34" s="18" t="n">
        <v>0</v>
      </c>
      <c r="J34" s="20" t="n">
        <v>0</v>
      </c>
      <c r="K34" s="18" t="n">
        <v>0.50331753</v>
      </c>
      <c r="L34" s="20" t="n">
        <v>0.27159774</v>
      </c>
      <c r="M34" s="18" t="n">
        <v>0.09134618999999999</v>
      </c>
      <c r="N34" s="20" t="n">
        <v>0.09142068</v>
      </c>
      <c r="O34" s="18" t="n">
        <v>0</v>
      </c>
      <c r="P34" s="20" t="n">
        <v>0</v>
      </c>
      <c r="Q34" s="18" t="n">
        <v>7.48577996</v>
      </c>
      <c r="R34" s="20" t="n">
        <v>1.1435664</v>
      </c>
    </row>
    <row r="35" spans="1:18">
      <c r="A35" s="15" t="s">
        <v>457</v>
      </c>
      <c r="B35" s="17" t="n">
        <v>6406</v>
      </c>
      <c r="C35" s="18">
        <f>(5651.0/B35*100)</f>
        <v/>
      </c>
      <c r="D35" s="19" t="n">
        <v>755</v>
      </c>
      <c r="E35" s="18" t="n">
        <v>26.60792467</v>
      </c>
      <c r="F35" s="20" t="n">
        <v>1.73159699</v>
      </c>
      <c r="G35" s="18" t="n">
        <v>66.92178373</v>
      </c>
      <c r="H35" s="20" t="n">
        <v>2.06897074</v>
      </c>
      <c r="I35" s="18" t="n">
        <v>0</v>
      </c>
      <c r="J35" s="20" t="n">
        <v>0</v>
      </c>
      <c r="K35" s="18" t="n">
        <v>0.75938014</v>
      </c>
      <c r="L35" s="20" t="n">
        <v>0.32604746</v>
      </c>
      <c r="M35" s="18" t="n">
        <v>0.2248385</v>
      </c>
      <c r="N35" s="20" t="n">
        <v>0.22548219</v>
      </c>
      <c r="O35" s="18" t="n">
        <v>0</v>
      </c>
      <c r="P35" s="20" t="n">
        <v>0</v>
      </c>
      <c r="Q35" s="18" t="n">
        <v>5.48607296</v>
      </c>
      <c r="R35" s="20" t="n">
        <v>0.82775043</v>
      </c>
    </row>
    <row r="36" spans="1:18">
      <c r="A36" s="15" t="s">
        <v>458</v>
      </c>
      <c r="B36" s="17" t="n">
        <v>6736</v>
      </c>
      <c r="C36" s="18">
        <f>(5939.0/B36*100)</f>
        <v/>
      </c>
      <c r="D36" s="19" t="n">
        <v>797</v>
      </c>
      <c r="E36" s="18" t="n">
        <v>17.62428334</v>
      </c>
      <c r="F36" s="20" t="n">
        <v>1.54213309</v>
      </c>
      <c r="G36" s="18" t="n">
        <v>76.05961843999999</v>
      </c>
      <c r="H36" s="20" t="n">
        <v>1.78777671</v>
      </c>
      <c r="I36" s="18" t="n">
        <v>0</v>
      </c>
      <c r="J36" s="20" t="n">
        <v>0</v>
      </c>
      <c r="K36" s="18" t="n">
        <v>0.98608217</v>
      </c>
      <c r="L36" s="20" t="n">
        <v>0.38516084</v>
      </c>
      <c r="M36" s="18" t="n">
        <v>0</v>
      </c>
      <c r="N36" s="20" t="n">
        <v>0</v>
      </c>
      <c r="O36" s="18" t="n">
        <v>0</v>
      </c>
      <c r="P36" s="20" t="n">
        <v>0</v>
      </c>
      <c r="Q36" s="18" t="n">
        <v>5.33001605</v>
      </c>
      <c r="R36" s="20" t="n">
        <v>0.9492996</v>
      </c>
    </row>
    <row r="37" spans="1:18">
      <c r="A37" s="15" t="s">
        <v>459</v>
      </c>
      <c r="B37" s="17" t="n">
        <v>5458</v>
      </c>
      <c r="C37" s="18">
        <f>(4792.0/B37*100)</f>
        <v/>
      </c>
      <c r="D37" s="19" t="n">
        <v>666</v>
      </c>
      <c r="E37" s="18" t="n">
        <v>21.96790902</v>
      </c>
      <c r="F37" s="20" t="n">
        <v>1.81574596</v>
      </c>
      <c r="G37" s="18" t="n">
        <v>68.22025699</v>
      </c>
      <c r="H37" s="20" t="n">
        <v>2.0386252</v>
      </c>
      <c r="I37" s="18" t="n">
        <v>0</v>
      </c>
      <c r="J37" s="20" t="n">
        <v>0</v>
      </c>
      <c r="K37" s="18" t="n">
        <v>1.12558273</v>
      </c>
      <c r="L37" s="20" t="n">
        <v>0.4051043</v>
      </c>
      <c r="M37" s="18" t="n">
        <v>0.12116771</v>
      </c>
      <c r="N37" s="20" t="n">
        <v>0.12119729</v>
      </c>
      <c r="O37" s="18" t="n">
        <v>0</v>
      </c>
      <c r="P37" s="20" t="n">
        <v>0</v>
      </c>
      <c r="Q37" s="18" t="n">
        <v>8.565083550000001</v>
      </c>
      <c r="R37" s="20" t="n">
        <v>1.06548833</v>
      </c>
    </row>
    <row r="38" spans="1:18">
      <c r="A38" s="15" t="s">
        <v>460</v>
      </c>
      <c r="B38" s="17" t="n">
        <v>5860</v>
      </c>
      <c r="C38" s="18">
        <f>(4874.0/B38*100)</f>
        <v/>
      </c>
      <c r="D38" s="19" t="n">
        <v>986</v>
      </c>
      <c r="E38" s="18" t="n">
        <v>15.78358718</v>
      </c>
      <c r="F38" s="20" t="n">
        <v>1.30287834</v>
      </c>
      <c r="G38" s="18" t="n">
        <v>76.13629967999999</v>
      </c>
      <c r="H38" s="20" t="n">
        <v>1.52541802</v>
      </c>
      <c r="I38" s="18" t="n">
        <v>0</v>
      </c>
      <c r="J38" s="20" t="n">
        <v>0</v>
      </c>
      <c r="K38" s="18" t="n">
        <v>1.08330405</v>
      </c>
      <c r="L38" s="20" t="n">
        <v>0.41676054</v>
      </c>
      <c r="M38" s="18" t="n">
        <v>0.11087672</v>
      </c>
      <c r="N38" s="20" t="n">
        <v>0.11085299</v>
      </c>
      <c r="O38" s="18" t="n">
        <v>0</v>
      </c>
      <c r="P38" s="20" t="n">
        <v>0</v>
      </c>
      <c r="Q38" s="18" t="n">
        <v>6.88593236</v>
      </c>
      <c r="R38" s="20" t="n">
        <v>0.9845525899999999</v>
      </c>
    </row>
    <row r="39" spans="1:18">
      <c r="A39" s="15" t="s">
        <v>461</v>
      </c>
      <c r="B39" s="17" t="n">
        <v>5895</v>
      </c>
      <c r="C39" s="18">
        <f>(5161.0/B39*100)</f>
        <v/>
      </c>
      <c r="D39" s="19" t="n">
        <v>734</v>
      </c>
      <c r="E39" s="18" t="n">
        <v>59.67690528</v>
      </c>
      <c r="F39" s="20" t="n">
        <v>2.06503652</v>
      </c>
      <c r="G39" s="18" t="n">
        <v>31.25093048</v>
      </c>
      <c r="H39" s="20" t="n">
        <v>2.25657395</v>
      </c>
      <c r="I39" s="18" t="n">
        <v>0</v>
      </c>
      <c r="J39" s="20" t="n">
        <v>0</v>
      </c>
      <c r="K39" s="18" t="n">
        <v>0.198772</v>
      </c>
      <c r="L39" s="20" t="n">
        <v>0.14173966</v>
      </c>
      <c r="M39" s="18" t="n">
        <v>0.0607299</v>
      </c>
      <c r="N39" s="20" t="n">
        <v>0.04356683</v>
      </c>
      <c r="O39" s="18" t="n">
        <v>0</v>
      </c>
      <c r="P39" s="20" t="n">
        <v>0</v>
      </c>
      <c r="Q39" s="18" t="n">
        <v>8.812662339999999</v>
      </c>
      <c r="R39" s="20" t="n">
        <v>1.23776718</v>
      </c>
    </row>
    <row r="40" spans="1:18">
      <c r="A40" s="15" t="s">
        <v>462</v>
      </c>
      <c r="B40" s="17" t="n">
        <v>14157</v>
      </c>
      <c r="C40" s="18">
        <f>(12447.0/B40*100)</f>
        <v/>
      </c>
      <c r="D40" s="19" t="n">
        <v>1710</v>
      </c>
      <c r="E40" s="18" t="n">
        <v>24.33414517</v>
      </c>
      <c r="F40" s="20" t="n">
        <v>1.45839273</v>
      </c>
      <c r="G40" s="18" t="n">
        <v>70.17120418</v>
      </c>
      <c r="H40" s="20" t="n">
        <v>1.55527914</v>
      </c>
      <c r="I40" s="18" t="n">
        <v>0</v>
      </c>
      <c r="J40" s="20" t="n">
        <v>0</v>
      </c>
      <c r="K40" s="18" t="n">
        <v>0.48174829</v>
      </c>
      <c r="L40" s="20" t="n">
        <v>0.25326712</v>
      </c>
      <c r="M40" s="18" t="n">
        <v>0.2476914</v>
      </c>
      <c r="N40" s="20" t="n">
        <v>0.21842955</v>
      </c>
      <c r="O40" s="18" t="n">
        <v>0</v>
      </c>
      <c r="P40" s="20" t="n">
        <v>0</v>
      </c>
      <c r="Q40" s="18" t="n">
        <v>4.76521096</v>
      </c>
      <c r="R40" s="20" t="n">
        <v>0.69902643</v>
      </c>
    </row>
    <row r="41" spans="1:18">
      <c r="A41" s="15" t="s">
        <v>463</v>
      </c>
      <c r="B41" s="17" t="n">
        <v>5712</v>
      </c>
      <c r="C41" s="18">
        <f>(5019.0/B41*100)</f>
        <v/>
      </c>
      <c r="D41" s="19" t="n">
        <v>693</v>
      </c>
      <c r="E41" s="18" t="n">
        <v>27.20116539</v>
      </c>
      <c r="F41" s="20" t="n">
        <v>1.73348391</v>
      </c>
      <c r="G41" s="18" t="n">
        <v>71.41785618</v>
      </c>
      <c r="H41" s="20" t="n">
        <v>1.75519386</v>
      </c>
      <c r="I41" s="18" t="n">
        <v>0</v>
      </c>
      <c r="J41" s="20" t="n">
        <v>0</v>
      </c>
      <c r="K41" s="18" t="n">
        <v>0.30388168</v>
      </c>
      <c r="L41" s="20" t="n">
        <v>0.21491161</v>
      </c>
      <c r="M41" s="18" t="n">
        <v>0</v>
      </c>
      <c r="N41" s="20" t="n">
        <v>0</v>
      </c>
      <c r="O41" s="18" t="n">
        <v>0</v>
      </c>
      <c r="P41" s="20" t="n">
        <v>0</v>
      </c>
      <c r="Q41" s="18" t="n">
        <v>1.07709675</v>
      </c>
      <c r="R41" s="20" t="n">
        <v>0.44105696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(20921.0/B46*100)</f>
        <v/>
      </c>
      <c r="D46" s="19" t="n">
        <v>2220</v>
      </c>
      <c r="E46" s="18" t="n">
        <v>37.99160902</v>
      </c>
      <c r="F46" s="20" t="n">
        <v>1.26913575</v>
      </c>
      <c r="G46" s="18" t="n">
        <v>46.8257449</v>
      </c>
      <c r="H46" s="20" t="n">
        <v>1.34653488</v>
      </c>
      <c r="I46" s="18" t="n">
        <v>0</v>
      </c>
      <c r="J46" s="20" t="n">
        <v>0</v>
      </c>
      <c r="K46" s="18" t="n">
        <v>1.9001381</v>
      </c>
      <c r="L46" s="20" t="n">
        <v>0.42666118</v>
      </c>
      <c r="M46" s="18" t="n">
        <v>0.30102434</v>
      </c>
      <c r="N46" s="20" t="n">
        <v>0.15724068</v>
      </c>
      <c r="O46" s="18" t="n">
        <v>0</v>
      </c>
      <c r="P46" s="20" t="n">
        <v>0</v>
      </c>
      <c r="Q46" s="18" t="n">
        <v>12.98148364</v>
      </c>
      <c r="R46" s="20" t="n">
        <v>0.9552370100000001</v>
      </c>
    </row>
    <row r="47" spans="1:18">
      <c r="A47" s="15" t="s">
        <v>470</v>
      </c>
      <c r="B47" s="17" t="n">
        <v>5928</v>
      </c>
      <c r="C47" s="18">
        <f>(5239.0/B47*100)</f>
        <v/>
      </c>
      <c r="D47" s="19" t="n">
        <v>689</v>
      </c>
      <c r="E47" s="18" t="n">
        <v>23.88923937</v>
      </c>
      <c r="F47" s="20" t="n">
        <v>1.69465682</v>
      </c>
      <c r="G47" s="18" t="n">
        <v>59.57842024</v>
      </c>
      <c r="H47" s="20" t="n">
        <v>1.91970674</v>
      </c>
      <c r="I47" s="18" t="n">
        <v>0</v>
      </c>
      <c r="J47" s="20" t="n">
        <v>0</v>
      </c>
      <c r="K47" s="18" t="n">
        <v>0.56547903</v>
      </c>
      <c r="L47" s="20" t="n">
        <v>0.26410873</v>
      </c>
      <c r="M47" s="18" t="n">
        <v>0</v>
      </c>
      <c r="N47" s="20" t="n">
        <v>0</v>
      </c>
      <c r="O47" s="18" t="n">
        <v>0</v>
      </c>
      <c r="P47" s="20" t="n">
        <v>0</v>
      </c>
      <c r="Q47" s="18" t="n">
        <v>15.96686135</v>
      </c>
      <c r="R47" s="20" t="n">
        <v>1.39023636</v>
      </c>
    </row>
    <row r="48" spans="1:18">
      <c r="A48" s="15" t="s">
        <v>471</v>
      </c>
      <c r="B48" s="17" t="n">
        <v>9841</v>
      </c>
      <c r="C48" s="18">
        <f>(8651.0/B48*100)</f>
        <v/>
      </c>
      <c r="D48" s="19" t="n">
        <v>1190</v>
      </c>
      <c r="E48" s="18" t="n">
        <v>24.97532107</v>
      </c>
      <c r="F48" s="20" t="n">
        <v>1.85248364</v>
      </c>
      <c r="G48" s="18" t="n">
        <v>68.38094633999999</v>
      </c>
      <c r="H48" s="20" t="n">
        <v>2.03934448</v>
      </c>
      <c r="I48" s="18" t="n">
        <v>0</v>
      </c>
      <c r="J48" s="20" t="n">
        <v>0</v>
      </c>
      <c r="K48" s="18" t="n">
        <v>1.49455391</v>
      </c>
      <c r="L48" s="20" t="n">
        <v>0.56810539</v>
      </c>
      <c r="M48" s="18" t="n">
        <v>0</v>
      </c>
      <c r="N48" s="20" t="n">
        <v>0</v>
      </c>
      <c r="O48" s="18" t="n">
        <v>0</v>
      </c>
      <c r="P48" s="20" t="n">
        <v>0</v>
      </c>
      <c r="Q48" s="18" t="n">
        <v>5.14917868</v>
      </c>
      <c r="R48" s="20" t="n">
        <v>1.0436036</v>
      </c>
    </row>
    <row r="49" spans="1:18">
      <c r="A49" s="15" t="s">
        <v>472</v>
      </c>
      <c r="B49" s="17" t="n">
        <v>11795</v>
      </c>
      <c r="C49" s="18">
        <f>(10390.0/B49*100)</f>
        <v/>
      </c>
      <c r="D49" s="19" t="n">
        <v>1405</v>
      </c>
      <c r="E49" s="18" t="n">
        <v>30.10257713</v>
      </c>
      <c r="F49" s="20" t="n">
        <v>1.73456975</v>
      </c>
      <c r="G49" s="18" t="n">
        <v>62.73287027</v>
      </c>
      <c r="H49" s="20" t="n">
        <v>1.74035352</v>
      </c>
      <c r="I49" s="18" t="n">
        <v>0</v>
      </c>
      <c r="J49" s="20" t="n">
        <v>0</v>
      </c>
      <c r="K49" s="18" t="n">
        <v>1.9002952</v>
      </c>
      <c r="L49" s="20" t="n">
        <v>0.47632949</v>
      </c>
      <c r="M49" s="18" t="n">
        <v>0.02321429</v>
      </c>
      <c r="N49" s="20" t="n">
        <v>0.02348185</v>
      </c>
      <c r="O49" s="18" t="n">
        <v>0</v>
      </c>
      <c r="P49" s="20" t="n">
        <v>0</v>
      </c>
      <c r="Q49" s="18" t="n">
        <v>5.24104311</v>
      </c>
      <c r="R49" s="20" t="n">
        <v>0.91466461</v>
      </c>
    </row>
    <row r="50" spans="1:18">
      <c r="A50" s="15" t="s">
        <v>473</v>
      </c>
      <c r="B50" s="17" t="n">
        <v>6866</v>
      </c>
      <c r="C50" s="18">
        <f>(6187.0/B50*100)</f>
        <v/>
      </c>
      <c r="D50" s="19" t="n">
        <v>679</v>
      </c>
      <c r="E50" s="18" t="n">
        <v>33.5638477</v>
      </c>
      <c r="F50" s="20" t="n">
        <v>2.17593407</v>
      </c>
      <c r="G50" s="18" t="n">
        <v>60.77825585</v>
      </c>
      <c r="H50" s="20" t="n">
        <v>2.05101385</v>
      </c>
      <c r="I50" s="18" t="n">
        <v>0</v>
      </c>
      <c r="J50" s="20" t="n">
        <v>0</v>
      </c>
      <c r="K50" s="18" t="n">
        <v>0.7874354099999999</v>
      </c>
      <c r="L50" s="20" t="n">
        <v>0.38034485</v>
      </c>
      <c r="M50" s="18" t="n">
        <v>0</v>
      </c>
      <c r="N50" s="20" t="n">
        <v>0</v>
      </c>
      <c r="O50" s="18" t="n">
        <v>0</v>
      </c>
      <c r="P50" s="20" t="n">
        <v>0</v>
      </c>
      <c r="Q50" s="18" t="n">
        <v>4.87046104</v>
      </c>
      <c r="R50" s="20" t="n">
        <v>0.93495903</v>
      </c>
    </row>
    <row r="51" spans="1:18">
      <c r="A51" s="15" t="s">
        <v>474</v>
      </c>
      <c r="B51" s="17" t="n">
        <v>5809</v>
      </c>
      <c r="C51" s="18">
        <f>(5094.0/B51*100)</f>
        <v/>
      </c>
      <c r="D51" s="19" t="n">
        <v>715</v>
      </c>
      <c r="E51" s="18" t="n">
        <v>20.04703691</v>
      </c>
      <c r="F51" s="20" t="n">
        <v>1.48642253</v>
      </c>
      <c r="G51" s="18" t="n">
        <v>74.78880212</v>
      </c>
      <c r="H51" s="20" t="n">
        <v>1.68411984</v>
      </c>
      <c r="I51" s="18" t="n">
        <v>0</v>
      </c>
      <c r="J51" s="20" t="n">
        <v>0</v>
      </c>
      <c r="K51" s="18" t="n">
        <v>0.12865491</v>
      </c>
      <c r="L51" s="20" t="n">
        <v>0.12834606</v>
      </c>
      <c r="M51" s="18" t="n">
        <v>0</v>
      </c>
      <c r="N51" s="20" t="n">
        <v>0</v>
      </c>
      <c r="O51" s="18" t="n">
        <v>0</v>
      </c>
      <c r="P51" s="20" t="n">
        <v>0</v>
      </c>
      <c r="Q51" s="18" t="n">
        <v>5.03550606</v>
      </c>
      <c r="R51" s="20" t="n">
        <v>0.8510785400000001</v>
      </c>
    </row>
    <row r="52" spans="1:18">
      <c r="A52" s="15" t="s">
        <v>475</v>
      </c>
      <c r="B52" s="17" t="n">
        <v>5571</v>
      </c>
      <c r="C52" s="18">
        <f>(4887.0/B52*100)</f>
        <v/>
      </c>
      <c r="D52" s="19" t="n">
        <v>684</v>
      </c>
      <c r="E52" s="18" t="n">
        <v>37.27719477</v>
      </c>
      <c r="F52" s="20" t="n">
        <v>1.78822371</v>
      </c>
      <c r="G52" s="18" t="n">
        <v>47.10549036</v>
      </c>
      <c r="H52" s="20" t="n">
        <v>1.70106912</v>
      </c>
      <c r="I52" s="18" t="n">
        <v>0</v>
      </c>
      <c r="J52" s="20" t="n">
        <v>0</v>
      </c>
      <c r="K52" s="18" t="n">
        <v>0.75255693</v>
      </c>
      <c r="L52" s="20" t="n">
        <v>0.35507963</v>
      </c>
      <c r="M52" s="18" t="n">
        <v>0.11279935</v>
      </c>
      <c r="N52" s="20" t="n">
        <v>0.11262677</v>
      </c>
      <c r="O52" s="18" t="n">
        <v>0</v>
      </c>
      <c r="P52" s="20" t="n">
        <v>0</v>
      </c>
      <c r="Q52" s="18" t="n">
        <v>14.7519586</v>
      </c>
      <c r="R52" s="20" t="n">
        <v>1.27638067</v>
      </c>
    </row>
    <row r="53" spans="1:18">
      <c r="A53" s="15" t="s">
        <v>476</v>
      </c>
      <c r="B53" s="17" t="n">
        <v>4740</v>
      </c>
      <c r="C53" s="18">
        <f>(3960.0/B53*100)</f>
        <v/>
      </c>
      <c r="D53" s="19" t="n">
        <v>780</v>
      </c>
      <c r="E53" s="18" t="n">
        <v>41.08213351</v>
      </c>
      <c r="F53" s="20" t="n">
        <v>1.64256406</v>
      </c>
      <c r="G53" s="18" t="n">
        <v>29.67701593</v>
      </c>
      <c r="H53" s="20" t="n">
        <v>1.83337361</v>
      </c>
      <c r="I53" s="18" t="n">
        <v>0</v>
      </c>
      <c r="J53" s="20" t="n">
        <v>0</v>
      </c>
      <c r="K53" s="18" t="n">
        <v>14.42090769</v>
      </c>
      <c r="L53" s="20" t="n">
        <v>1.32900757</v>
      </c>
      <c r="M53" s="18" t="n">
        <v>0.95110093</v>
      </c>
      <c r="N53" s="20" t="n">
        <v>0.91926255</v>
      </c>
      <c r="O53" s="18" t="n">
        <v>0</v>
      </c>
      <c r="P53" s="20" t="n">
        <v>0</v>
      </c>
      <c r="Q53" s="18" t="n">
        <v>13.86884194</v>
      </c>
      <c r="R53" s="20" t="n">
        <v>1.26132816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(4699.0/B55*100)</f>
        <v/>
      </c>
      <c r="D55" s="19" t="n">
        <v>660</v>
      </c>
      <c r="E55" s="18" t="n">
        <v>12.88954427</v>
      </c>
      <c r="F55" s="20" t="n">
        <v>1.3769897</v>
      </c>
      <c r="G55" s="18" t="n">
        <v>85.76627845</v>
      </c>
      <c r="H55" s="20" t="n">
        <v>1.51784703</v>
      </c>
      <c r="I55" s="18" t="n">
        <v>0</v>
      </c>
      <c r="J55" s="20" t="n">
        <v>0</v>
      </c>
      <c r="K55" s="18" t="n">
        <v>0.263776</v>
      </c>
      <c r="L55" s="20" t="n">
        <v>0.18690495</v>
      </c>
      <c r="M55" s="18" t="n">
        <v>0</v>
      </c>
      <c r="N55" s="20" t="n">
        <v>0</v>
      </c>
      <c r="O55" s="18" t="n">
        <v>0</v>
      </c>
      <c r="P55" s="20" t="n">
        <v>0</v>
      </c>
      <c r="Q55" s="18" t="n">
        <v>1.08040128</v>
      </c>
      <c r="R55" s="20" t="n">
        <v>0.38919939</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(5753.0/B61*100)</f>
        <v/>
      </c>
      <c r="D61" s="19" t="n">
        <v>772</v>
      </c>
      <c r="E61" s="18" t="n">
        <v>24.57449379</v>
      </c>
      <c r="F61" s="20" t="n">
        <v>1.68105159</v>
      </c>
      <c r="G61" s="18" t="n">
        <v>67.13216857</v>
      </c>
      <c r="H61" s="20" t="n">
        <v>1.58295597</v>
      </c>
      <c r="I61" s="18" t="n">
        <v>0</v>
      </c>
      <c r="J61" s="20" t="n">
        <v>0</v>
      </c>
      <c r="K61" s="18" t="n">
        <v>0.33993718</v>
      </c>
      <c r="L61" s="20" t="n">
        <v>0.20697826</v>
      </c>
      <c r="M61" s="18" t="n">
        <v>0</v>
      </c>
      <c r="N61" s="20" t="n">
        <v>0</v>
      </c>
      <c r="O61" s="18" t="n">
        <v>0</v>
      </c>
      <c r="P61" s="20" t="n">
        <v>0</v>
      </c>
      <c r="Q61" s="18" t="n">
        <v>7.95340046</v>
      </c>
      <c r="R61" s="20" t="n">
        <v>0.9877112300000001</v>
      </c>
    </row>
    <row r="62" spans="1:18">
      <c r="A62" s="15" t="s">
        <v>486</v>
      </c>
      <c r="B62" s="17" t="n">
        <v>4476</v>
      </c>
      <c r="C62" s="18">
        <f>(3936.0/B62*100)</f>
        <v/>
      </c>
      <c r="D62" s="19" t="n">
        <v>540</v>
      </c>
      <c r="E62" s="18" t="n">
        <v>20.94420974</v>
      </c>
      <c r="F62" s="20" t="n">
        <v>1.71488441</v>
      </c>
      <c r="G62" s="18" t="n">
        <v>77.94252132</v>
      </c>
      <c r="H62" s="20" t="n">
        <v>1.76742873</v>
      </c>
      <c r="I62" s="18" t="n">
        <v>0</v>
      </c>
      <c r="J62" s="20" t="n">
        <v>0</v>
      </c>
      <c r="K62" s="18" t="n">
        <v>0.19009563</v>
      </c>
      <c r="L62" s="20" t="n">
        <v>0.18841026</v>
      </c>
      <c r="M62" s="18" t="n">
        <v>0</v>
      </c>
      <c r="N62" s="20" t="n">
        <v>0</v>
      </c>
      <c r="O62" s="18" t="n">
        <v>0</v>
      </c>
      <c r="P62" s="20" t="n">
        <v>0</v>
      </c>
      <c r="Q62" s="18" t="n">
        <v>0.92317331</v>
      </c>
      <c r="R62" s="20" t="n">
        <v>0.40686799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(4980.0/B67*100)</f>
        <v/>
      </c>
      <c r="D67" s="19" t="n">
        <v>685</v>
      </c>
      <c r="E67" s="18" t="n">
        <v>21.26800998</v>
      </c>
      <c r="F67" s="20" t="n">
        <v>1.44932673</v>
      </c>
      <c r="G67" s="18" t="n">
        <v>59.70405449</v>
      </c>
      <c r="H67" s="20" t="n">
        <v>1.70962796</v>
      </c>
      <c r="I67" s="18" t="n">
        <v>0</v>
      </c>
      <c r="J67" s="20" t="n">
        <v>0</v>
      </c>
      <c r="K67" s="18" t="n">
        <v>1.98381324</v>
      </c>
      <c r="L67" s="20" t="n">
        <v>0.55047428</v>
      </c>
      <c r="M67" s="18" t="n">
        <v>0.38359553</v>
      </c>
      <c r="N67" s="20" t="n">
        <v>0.28330071</v>
      </c>
      <c r="O67" s="18" t="n">
        <v>0</v>
      </c>
      <c r="P67" s="20" t="n">
        <v>0</v>
      </c>
      <c r="Q67" s="18" t="n">
        <v>16.66052677</v>
      </c>
      <c r="R67" s="20" t="n">
        <v>1.37110194</v>
      </c>
    </row>
    <row r="68" spans="1:18">
      <c r="A68" s="15" t="s">
        <v>492</v>
      </c>
      <c r="B68" s="17" t="n">
        <v>6971</v>
      </c>
      <c r="C68" s="18">
        <f>(6248.0/B68*100)</f>
        <v/>
      </c>
      <c r="D68" s="19" t="n">
        <v>723</v>
      </c>
      <c r="E68" s="18" t="n">
        <v>39.23743367</v>
      </c>
      <c r="F68" s="20" t="n">
        <v>1.66603492</v>
      </c>
      <c r="G68" s="18" t="n">
        <v>54.90230046</v>
      </c>
      <c r="H68" s="20" t="n">
        <v>1.6804739</v>
      </c>
      <c r="I68" s="18" t="n">
        <v>0</v>
      </c>
      <c r="J68" s="20" t="n">
        <v>0</v>
      </c>
      <c r="K68" s="18" t="n">
        <v>0.21936614</v>
      </c>
      <c r="L68" s="20" t="n">
        <v>0.15469364</v>
      </c>
      <c r="M68" s="18" t="n">
        <v>0.10478552</v>
      </c>
      <c r="N68" s="20" t="n">
        <v>0.10460486</v>
      </c>
      <c r="O68" s="18" t="n">
        <v>0</v>
      </c>
      <c r="P68" s="20" t="n">
        <v>0</v>
      </c>
      <c r="Q68" s="18" t="n">
        <v>5.53611422</v>
      </c>
      <c r="R68" s="20" t="n">
        <v>0.82972899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37.81738</v>
      </c>
      <c r="F70" s="20" t="n">
        <v>0.98641343</v>
      </c>
      <c r="G70" s="18" t="n">
        <v>46.34904988</v>
      </c>
      <c r="H70" s="20" t="n">
        <v>0.99062043</v>
      </c>
      <c r="I70" s="18" t="n">
        <v>0</v>
      </c>
      <c r="J70" s="20" t="n">
        <v>0</v>
      </c>
      <c r="K70" s="18" t="n">
        <v>3.45447871</v>
      </c>
      <c r="L70" s="20" t="n">
        <v>0.41080273</v>
      </c>
      <c r="M70" s="18" t="n">
        <v>0.09481566</v>
      </c>
      <c r="N70" s="20" t="n">
        <v>0.06752117000000001</v>
      </c>
      <c r="O70" s="18" t="n">
        <v>0</v>
      </c>
      <c r="P70" s="20" t="n">
        <v>0</v>
      </c>
      <c r="Q70" s="18" t="n">
        <v>12.28427575</v>
      </c>
      <c r="R70" s="20" t="n">
        <v>0.7284862600000001</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(5354.0/B72*100)</f>
        <v/>
      </c>
      <c r="D72" s="19" t="n">
        <v>682</v>
      </c>
      <c r="E72" s="18" t="n">
        <v>15.84980236</v>
      </c>
      <c r="F72" s="20" t="n">
        <v>1.71932431</v>
      </c>
      <c r="G72" s="18" t="n">
        <v>79.11690835</v>
      </c>
      <c r="H72" s="20" t="n">
        <v>2.07431854</v>
      </c>
      <c r="I72" s="18" t="n">
        <v>0</v>
      </c>
      <c r="J72" s="20" t="n">
        <v>0</v>
      </c>
      <c r="K72" s="18" t="n">
        <v>0.43928251</v>
      </c>
      <c r="L72" s="20" t="n">
        <v>0.25690866</v>
      </c>
      <c r="M72" s="18" t="n">
        <v>0.24173506</v>
      </c>
      <c r="N72" s="20" t="n">
        <v>0.14029653</v>
      </c>
      <c r="O72" s="18" t="n">
        <v>0</v>
      </c>
      <c r="P72" s="20" t="n">
        <v>0</v>
      </c>
      <c r="Q72" s="18" t="n">
        <v>4.35227172</v>
      </c>
      <c r="R72" s="20" t="n">
        <v>1.17259885</v>
      </c>
    </row>
    <row r="73" spans="1:18">
      <c r="A73" s="15" t="s">
        <v>497</v>
      </c>
      <c r="B73" s="17" t="n">
        <v>6115</v>
      </c>
      <c r="C73" s="18">
        <f>(5344.0/B73*100)</f>
        <v/>
      </c>
      <c r="D73" s="19" t="n">
        <v>771</v>
      </c>
      <c r="E73" s="18" t="n">
        <v>19.31115501</v>
      </c>
      <c r="F73" s="20" t="n">
        <v>1.46362444</v>
      </c>
      <c r="G73" s="18" t="n">
        <v>79.65676912000001</v>
      </c>
      <c r="H73" s="20" t="n">
        <v>1.52913071</v>
      </c>
      <c r="I73" s="18" t="n">
        <v>0</v>
      </c>
      <c r="J73" s="20" t="n">
        <v>0</v>
      </c>
      <c r="K73" s="18" t="n">
        <v>0.28047694</v>
      </c>
      <c r="L73" s="20" t="n">
        <v>0.20250256</v>
      </c>
      <c r="M73" s="18" t="n">
        <v>0</v>
      </c>
      <c r="N73" s="20" t="n">
        <v>0</v>
      </c>
      <c r="O73" s="18" t="n">
        <v>0</v>
      </c>
      <c r="P73" s="20" t="n">
        <v>0</v>
      </c>
      <c r="Q73" s="18" t="n">
        <v>0.75159893</v>
      </c>
      <c r="R73" s="20" t="n">
        <v>0.29163225</v>
      </c>
    </row>
    <row r="74" spans="1:18">
      <c r="A74" s="15" t="s">
        <v>498</v>
      </c>
      <c r="B74" s="17" t="n">
        <v>7708</v>
      </c>
      <c r="C74" s="18">
        <f>(6755.0/B74*100)</f>
        <v/>
      </c>
      <c r="D74" s="19" t="n">
        <v>953</v>
      </c>
      <c r="E74" s="18" t="n">
        <v>20.43436747</v>
      </c>
      <c r="F74" s="20" t="n">
        <v>1.43769667</v>
      </c>
      <c r="G74" s="18" t="n">
        <v>75.49511827000001</v>
      </c>
      <c r="H74" s="20" t="n">
        <v>1.40633149</v>
      </c>
      <c r="I74" s="18" t="n">
        <v>0</v>
      </c>
      <c r="J74" s="20" t="n">
        <v>0</v>
      </c>
      <c r="K74" s="18" t="n">
        <v>0.16856545</v>
      </c>
      <c r="L74" s="20" t="n">
        <v>0.11925661</v>
      </c>
      <c r="M74" s="18" t="n">
        <v>0</v>
      </c>
      <c r="N74" s="20" t="n">
        <v>0</v>
      </c>
      <c r="O74" s="18" t="n">
        <v>0</v>
      </c>
      <c r="P74" s="20" t="n">
        <v>0</v>
      </c>
      <c r="Q74" s="18" t="n">
        <v>3.90194881</v>
      </c>
      <c r="R74" s="20" t="n">
        <v>0.62113025</v>
      </c>
    </row>
    <row r="75" spans="1:18">
      <c r="A75" s="15" t="s">
        <v>499</v>
      </c>
      <c r="B75" s="17" t="n">
        <v>8249</v>
      </c>
      <c r="C75" s="18">
        <f>(7282.0/B75*100)</f>
        <v/>
      </c>
      <c r="D75" s="19" t="n">
        <v>967</v>
      </c>
      <c r="E75" s="18" t="n">
        <v>45.74760559</v>
      </c>
      <c r="F75" s="20" t="n">
        <v>2.16474814</v>
      </c>
      <c r="G75" s="18" t="n">
        <v>52.6954942</v>
      </c>
      <c r="H75" s="20" t="n">
        <v>2.19425811</v>
      </c>
      <c r="I75" s="18" t="n">
        <v>0</v>
      </c>
      <c r="J75" s="20" t="n">
        <v>0</v>
      </c>
      <c r="K75" s="18" t="n">
        <v>0.1526469</v>
      </c>
      <c r="L75" s="20" t="n">
        <v>0.15255245</v>
      </c>
      <c r="M75" s="18" t="n">
        <v>0.1466821</v>
      </c>
      <c r="N75" s="20" t="n">
        <v>0.14148529</v>
      </c>
      <c r="O75" s="18" t="n">
        <v>0</v>
      </c>
      <c r="P75" s="20" t="n">
        <v>0</v>
      </c>
      <c r="Q75" s="18" t="n">
        <v>1.25757122</v>
      </c>
      <c r="R75" s="20" t="n">
        <v>0.35094009</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(4781.0/B77*100)</f>
        <v/>
      </c>
      <c r="D77" s="19" t="n">
        <v>594</v>
      </c>
      <c r="E77" s="18" t="n">
        <v>37.2742073</v>
      </c>
      <c r="F77" s="20" t="n">
        <v>2.37872128</v>
      </c>
      <c r="G77" s="18" t="n">
        <v>37.30193482</v>
      </c>
      <c r="H77" s="20" t="n">
        <v>2.06441491</v>
      </c>
      <c r="I77" s="18" t="n">
        <v>0</v>
      </c>
      <c r="J77" s="20" t="n">
        <v>0</v>
      </c>
      <c r="K77" s="18" t="n">
        <v>3.17207824</v>
      </c>
      <c r="L77" s="20" t="n">
        <v>0.8432730899999999</v>
      </c>
      <c r="M77" s="18" t="n">
        <v>0</v>
      </c>
      <c r="N77" s="20" t="n">
        <v>0</v>
      </c>
      <c r="O77" s="18" t="n">
        <v>0</v>
      </c>
      <c r="P77" s="20" t="n">
        <v>0</v>
      </c>
      <c r="Q77" s="18" t="n">
        <v>22.25177964</v>
      </c>
      <c r="R77" s="20" t="n">
        <v>2.05881518</v>
      </c>
    </row>
    <row r="78" spans="1:18">
      <c r="A78" s="15" t="s">
        <v>502</v>
      </c>
      <c r="B78" s="17" t="n">
        <v>14167</v>
      </c>
      <c r="C78" s="18">
        <f>(12409.0/B78*100)</f>
        <v/>
      </c>
      <c r="D78" s="19" t="n">
        <v>1758</v>
      </c>
      <c r="E78" s="18" t="n">
        <v>38.76347992</v>
      </c>
      <c r="F78" s="20" t="n">
        <v>1.54862983</v>
      </c>
      <c r="G78" s="18" t="n">
        <v>54.39115977</v>
      </c>
      <c r="H78" s="20" t="n">
        <v>1.63259154</v>
      </c>
      <c r="I78" s="18" t="n">
        <v>0</v>
      </c>
      <c r="J78" s="20" t="n">
        <v>0</v>
      </c>
      <c r="K78" s="18" t="n">
        <v>1.02794469</v>
      </c>
      <c r="L78" s="20" t="n">
        <v>0.29867934</v>
      </c>
      <c r="M78" s="18" t="n">
        <v>0.04836095</v>
      </c>
      <c r="N78" s="20" t="n">
        <v>0.03471524</v>
      </c>
      <c r="O78" s="18" t="n">
        <v>0</v>
      </c>
      <c r="P78" s="20" t="n">
        <v>0</v>
      </c>
      <c r="Q78" s="18" t="n">
        <v>5.76905466</v>
      </c>
      <c r="R78" s="20" t="n">
        <v>0.6088689900000001</v>
      </c>
    </row>
    <row r="79" spans="1:18">
      <c r="A79" s="15" t="s">
        <v>503</v>
      </c>
      <c r="B79" s="17" t="n">
        <v>6062</v>
      </c>
      <c r="C79" s="18">
        <f>(5339.0/B79*100)</f>
        <v/>
      </c>
      <c r="D79" s="19" t="n">
        <v>723</v>
      </c>
      <c r="E79" s="18" t="n">
        <v>24.52447718</v>
      </c>
      <c r="F79" s="20" t="n">
        <v>1.87451739</v>
      </c>
      <c r="G79" s="18" t="n">
        <v>59.45038338</v>
      </c>
      <c r="H79" s="20" t="n">
        <v>1.73914613</v>
      </c>
      <c r="I79" s="18" t="n">
        <v>0</v>
      </c>
      <c r="J79" s="20" t="n">
        <v>0</v>
      </c>
      <c r="K79" s="18" t="n">
        <v>2.12592895</v>
      </c>
      <c r="L79" s="20" t="n">
        <v>0.49576086</v>
      </c>
      <c r="M79" s="18" t="n">
        <v>0.33636076</v>
      </c>
      <c r="N79" s="20" t="n">
        <v>0.17537325</v>
      </c>
      <c r="O79" s="18" t="n">
        <v>0</v>
      </c>
      <c r="P79" s="20" t="n">
        <v>0</v>
      </c>
      <c r="Q79" s="18" t="n">
        <v>13.56284973</v>
      </c>
      <c r="R79" s="20" t="n">
        <v>1.66227835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(28430.0/B82*100)</f>
        <v/>
      </c>
      <c r="D82" s="19" t="n">
        <v>3900</v>
      </c>
      <c r="E82" s="18" t="n">
        <v>18.68703163</v>
      </c>
      <c r="F82" s="20" t="n">
        <v>0.84067185</v>
      </c>
      <c r="G82" s="18" t="n">
        <v>75.19736143999999</v>
      </c>
      <c r="H82" s="20" t="n">
        <v>0.91293991</v>
      </c>
      <c r="I82" s="18" t="n">
        <v>0</v>
      </c>
      <c r="J82" s="20" t="n">
        <v>0</v>
      </c>
      <c r="K82" s="18" t="n">
        <v>0.64524329</v>
      </c>
      <c r="L82" s="20" t="n">
        <v>0.19868389</v>
      </c>
      <c r="M82" s="18" t="n">
        <v>0.0577262</v>
      </c>
      <c r="N82" s="20" t="n">
        <v>0.05043889</v>
      </c>
      <c r="O82" s="18" t="n">
        <v>0</v>
      </c>
      <c r="P82" s="20" t="n">
        <v>0</v>
      </c>
      <c r="Q82" s="18" t="n">
        <v>5.41263744</v>
      </c>
      <c r="R82" s="20" t="n">
        <v>0.57879671</v>
      </c>
    </row>
    <row r="83" spans="1:18">
      <c r="A83" s="15" t="s">
        <v>507</v>
      </c>
      <c r="B83" s="17" t="n">
        <v>1652</v>
      </c>
      <c r="C83" s="18">
        <f>(1458.0/B83*100)</f>
        <v/>
      </c>
      <c r="D83" s="19" t="n">
        <v>194</v>
      </c>
      <c r="E83" s="18" t="n">
        <v>17.7489938</v>
      </c>
      <c r="F83" s="20" t="n">
        <v>3.07453184</v>
      </c>
      <c r="G83" s="18" t="n">
        <v>80.80867694</v>
      </c>
      <c r="H83" s="20" t="n">
        <v>3.41996613</v>
      </c>
      <c r="I83" s="18" t="n">
        <v>0</v>
      </c>
      <c r="J83" s="20" t="n">
        <v>0</v>
      </c>
      <c r="K83" s="18" t="n">
        <v>0</v>
      </c>
      <c r="L83" s="20" t="n">
        <v>0</v>
      </c>
      <c r="M83" s="18" t="n">
        <v>0</v>
      </c>
      <c r="N83" s="20" t="n">
        <v>0</v>
      </c>
      <c r="O83" s="18" t="n">
        <v>0</v>
      </c>
      <c r="P83" s="20" t="n">
        <v>0</v>
      </c>
      <c r="Q83" s="18" t="n">
        <v>1.44232926</v>
      </c>
      <c r="R83" s="20" t="n">
        <v>0.78873126</v>
      </c>
    </row>
    <row r="84" spans="1:18">
      <c r="A84" s="23" t="s">
        <v>508</v>
      </c>
      <c r="B84" s="24" t="n">
        <v>1887</v>
      </c>
      <c r="C84" s="25">
        <f>(1658.0/B84*100)</f>
        <v/>
      </c>
      <c r="D84" s="19" t="n">
        <v>229</v>
      </c>
      <c r="E84" s="18" t="n">
        <v>24.92216736</v>
      </c>
      <c r="F84" s="20" t="n">
        <v>3.28104798</v>
      </c>
      <c r="G84" s="18" t="n">
        <v>74.64244155999999</v>
      </c>
      <c r="H84" s="20" t="n">
        <v>3.09730473</v>
      </c>
      <c r="I84" s="18" t="n">
        <v>0</v>
      </c>
      <c r="J84" s="20" t="n">
        <v>0</v>
      </c>
      <c r="K84" s="18" t="n">
        <v>0</v>
      </c>
      <c r="L84" s="20" t="n">
        <v>0</v>
      </c>
      <c r="M84" s="18" t="n">
        <v>0</v>
      </c>
      <c r="N84" s="20" t="n">
        <v>0</v>
      </c>
      <c r="O84" s="18" t="n">
        <v>0</v>
      </c>
      <c r="P84" s="20" t="n">
        <v>0</v>
      </c>
      <c r="Q84" s="18" t="n">
        <v>0.43539108</v>
      </c>
      <c r="R84" s="20" t="n">
        <v>0.4414299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(12787.0/B7*100)</f>
        <v/>
      </c>
      <c r="D7" s="19" t="n">
        <v>1743</v>
      </c>
      <c r="E7" s="18" t="n">
        <v>52.70726771</v>
      </c>
      <c r="F7" s="20" t="n">
        <v>1.4193329</v>
      </c>
      <c r="G7" s="18" t="n">
        <v>37.45685256</v>
      </c>
      <c r="H7" s="20" t="n">
        <v>1.35585216</v>
      </c>
      <c r="I7" s="18" t="n">
        <v>0</v>
      </c>
      <c r="J7" s="20" t="n">
        <v>0</v>
      </c>
      <c r="K7" s="18" t="n">
        <v>0.5262273</v>
      </c>
      <c r="L7" s="20" t="n">
        <v>0.22848081</v>
      </c>
      <c r="M7" s="18" t="n">
        <v>0.05298715</v>
      </c>
      <c r="N7" s="20" t="n">
        <v>0.02940906</v>
      </c>
      <c r="O7" s="18" t="n">
        <v>0</v>
      </c>
      <c r="P7" s="20" t="n">
        <v>0</v>
      </c>
      <c r="Q7" s="18" t="n">
        <v>9.256665290000001</v>
      </c>
      <c r="R7" s="20" t="n">
        <v>0.86872671</v>
      </c>
    </row>
    <row r="8" spans="1:18">
      <c r="A8" s="15" t="s">
        <v>430</v>
      </c>
      <c r="B8" s="17" t="n">
        <v>7007</v>
      </c>
      <c r="C8" s="18">
        <f>(6129.0/B8*100)</f>
        <v/>
      </c>
      <c r="D8" s="19" t="n">
        <v>878</v>
      </c>
      <c r="E8" s="18" t="n">
        <v>54.5946092</v>
      </c>
      <c r="F8" s="20" t="n">
        <v>1.61043657</v>
      </c>
      <c r="G8" s="18" t="n">
        <v>28.02604005</v>
      </c>
      <c r="H8" s="20" t="n">
        <v>1.54863703</v>
      </c>
      <c r="I8" s="18" t="n">
        <v>0</v>
      </c>
      <c r="J8" s="20" t="n">
        <v>0</v>
      </c>
      <c r="K8" s="18" t="n">
        <v>0.33727087</v>
      </c>
      <c r="L8" s="20" t="n">
        <v>0.1981861</v>
      </c>
      <c r="M8" s="18" t="n">
        <v>0</v>
      </c>
      <c r="N8" s="20" t="n">
        <v>0</v>
      </c>
      <c r="O8" s="18" t="n">
        <v>0</v>
      </c>
      <c r="P8" s="20" t="n">
        <v>0</v>
      </c>
      <c r="Q8" s="18" t="n">
        <v>17.04207989</v>
      </c>
      <c r="R8" s="20" t="n">
        <v>1.48140339</v>
      </c>
    </row>
    <row r="9" spans="1:18">
      <c r="A9" s="15" t="s">
        <v>431</v>
      </c>
      <c r="B9" s="17" t="n">
        <v>9651</v>
      </c>
      <c r="C9" s="18">
        <f>(8519.0/B9*100)</f>
        <v/>
      </c>
      <c r="D9" s="19" t="n">
        <v>1132</v>
      </c>
      <c r="E9" s="18" t="n">
        <v>46.94409952</v>
      </c>
      <c r="F9" s="20" t="n">
        <v>1.28305905</v>
      </c>
      <c r="G9" s="18" t="n">
        <v>36.70048028</v>
      </c>
      <c r="H9" s="20" t="n">
        <v>1.43182709</v>
      </c>
      <c r="I9" s="18" t="n">
        <v>0</v>
      </c>
      <c r="J9" s="20" t="n">
        <v>0</v>
      </c>
      <c r="K9" s="18" t="n">
        <v>1.09646354</v>
      </c>
      <c r="L9" s="20" t="n">
        <v>0.33599315</v>
      </c>
      <c r="M9" s="18" t="n">
        <v>0.3776079</v>
      </c>
      <c r="N9" s="20" t="n">
        <v>0.1958976</v>
      </c>
      <c r="O9" s="18" t="n">
        <v>0</v>
      </c>
      <c r="P9" s="20" t="n">
        <v>0</v>
      </c>
      <c r="Q9" s="18" t="n">
        <v>14.88134876</v>
      </c>
      <c r="R9" s="20" t="n">
        <v>1.09957683</v>
      </c>
    </row>
    <row r="10" spans="1:18">
      <c r="A10" s="15" t="s">
        <v>432</v>
      </c>
      <c r="B10" s="17" t="n">
        <v>20058</v>
      </c>
      <c r="C10" s="18">
        <f>(17543.0/B10*100)</f>
        <v/>
      </c>
      <c r="D10" s="19" t="n">
        <v>2515</v>
      </c>
      <c r="E10" s="18" t="n">
        <v>58.57736443</v>
      </c>
      <c r="F10" s="20" t="n">
        <v>1.16615137</v>
      </c>
      <c r="G10" s="18" t="n">
        <v>35.59693606</v>
      </c>
      <c r="H10" s="20" t="n">
        <v>1.19714957</v>
      </c>
      <c r="I10" s="18" t="n">
        <v>0</v>
      </c>
      <c r="J10" s="20" t="n">
        <v>0</v>
      </c>
      <c r="K10" s="18" t="n">
        <v>0.39627455</v>
      </c>
      <c r="L10" s="20" t="n">
        <v>0.16645172</v>
      </c>
      <c r="M10" s="18" t="n">
        <v>0.04288379</v>
      </c>
      <c r="N10" s="20" t="n">
        <v>0.04286764</v>
      </c>
      <c r="O10" s="18" t="n">
        <v>0</v>
      </c>
      <c r="P10" s="20" t="n">
        <v>0</v>
      </c>
      <c r="Q10" s="18" t="n">
        <v>5.38654118</v>
      </c>
      <c r="R10" s="20" t="n">
        <v>0.71791518</v>
      </c>
    </row>
    <row r="11" spans="1:18">
      <c r="A11" s="15" t="s">
        <v>433</v>
      </c>
      <c r="B11" s="17" t="n">
        <v>7053</v>
      </c>
      <c r="C11" s="18">
        <f>(6235.0/B11*100)</f>
        <v/>
      </c>
      <c r="D11" s="19" t="n">
        <v>818</v>
      </c>
      <c r="E11" s="18" t="n">
        <v>68.73028753</v>
      </c>
      <c r="F11" s="20" t="n">
        <v>1.89272783</v>
      </c>
      <c r="G11" s="18" t="n">
        <v>18.86245296</v>
      </c>
      <c r="H11" s="20" t="n">
        <v>1.63867908</v>
      </c>
      <c r="I11" s="18" t="n">
        <v>0</v>
      </c>
      <c r="J11" s="20" t="n">
        <v>0</v>
      </c>
      <c r="K11" s="18" t="n">
        <v>1.49699043</v>
      </c>
      <c r="L11" s="20" t="n">
        <v>0.55119312</v>
      </c>
      <c r="M11" s="18" t="n">
        <v>0</v>
      </c>
      <c r="N11" s="20" t="n">
        <v>0</v>
      </c>
      <c r="O11" s="18" t="n">
        <v>0</v>
      </c>
      <c r="P11" s="20" t="n">
        <v>0</v>
      </c>
      <c r="Q11" s="18" t="n">
        <v>10.91026908</v>
      </c>
      <c r="R11" s="20" t="n">
        <v>1.30232039</v>
      </c>
    </row>
    <row r="12" spans="1:18">
      <c r="A12" s="15" t="s">
        <v>434</v>
      </c>
      <c r="B12" s="17" t="n">
        <v>6894</v>
      </c>
      <c r="C12" s="18">
        <f>(6062.0/B12*100)</f>
        <v/>
      </c>
      <c r="D12" s="19" t="n">
        <v>832</v>
      </c>
      <c r="E12" s="18" t="n">
        <v>52.35992418</v>
      </c>
      <c r="F12" s="20" t="n">
        <v>2.23599299</v>
      </c>
      <c r="G12" s="18" t="n">
        <v>30.61389163</v>
      </c>
      <c r="H12" s="20" t="n">
        <v>1.81430477</v>
      </c>
      <c r="I12" s="18" t="n">
        <v>0</v>
      </c>
      <c r="J12" s="20" t="n">
        <v>0</v>
      </c>
      <c r="K12" s="18" t="n">
        <v>0.26331193</v>
      </c>
      <c r="L12" s="20" t="n">
        <v>0.15641072</v>
      </c>
      <c r="M12" s="18" t="n">
        <v>0.09072581</v>
      </c>
      <c r="N12" s="20" t="n">
        <v>0.0904459</v>
      </c>
      <c r="O12" s="18" t="n">
        <v>0</v>
      </c>
      <c r="P12" s="20" t="n">
        <v>0</v>
      </c>
      <c r="Q12" s="18" t="n">
        <v>16.67214645</v>
      </c>
      <c r="R12" s="20" t="n">
        <v>1.39837951</v>
      </c>
    </row>
    <row r="13" spans="1:18">
      <c r="A13" s="15" t="s">
        <v>435</v>
      </c>
      <c r="B13" s="17" t="n">
        <v>7161</v>
      </c>
      <c r="C13" s="18">
        <f>(6326.0/B13*100)</f>
        <v/>
      </c>
      <c r="D13" s="19" t="n">
        <v>835</v>
      </c>
      <c r="E13" s="18" t="n">
        <v>67.8602729</v>
      </c>
      <c r="F13" s="20" t="n">
        <v>1.74162051</v>
      </c>
      <c r="G13" s="18" t="n">
        <v>23.7954668</v>
      </c>
      <c r="H13" s="20" t="n">
        <v>1.67764632</v>
      </c>
      <c r="I13" s="18" t="n">
        <v>0</v>
      </c>
      <c r="J13" s="20" t="n">
        <v>0</v>
      </c>
      <c r="K13" s="18" t="n">
        <v>0.84817443</v>
      </c>
      <c r="L13" s="20" t="n">
        <v>0.33986873</v>
      </c>
      <c r="M13" s="18" t="n">
        <v>0</v>
      </c>
      <c r="N13" s="20" t="n">
        <v>0</v>
      </c>
      <c r="O13" s="18" t="n">
        <v>0</v>
      </c>
      <c r="P13" s="20" t="n">
        <v>0</v>
      </c>
      <c r="Q13" s="18" t="n">
        <v>7.49608586</v>
      </c>
      <c r="R13" s="20" t="n">
        <v>1.03489544</v>
      </c>
    </row>
    <row r="14" spans="1:18">
      <c r="A14" s="15" t="s">
        <v>436</v>
      </c>
      <c r="B14" s="17" t="n">
        <v>5587</v>
      </c>
      <c r="C14" s="18">
        <f>(4926.0/B14*100)</f>
        <v/>
      </c>
      <c r="D14" s="19" t="n">
        <v>661</v>
      </c>
      <c r="E14" s="18" t="n">
        <v>62.93107509</v>
      </c>
      <c r="F14" s="20" t="n">
        <v>2.38626719</v>
      </c>
      <c r="G14" s="18" t="n">
        <v>30.32856242</v>
      </c>
      <c r="H14" s="20" t="n">
        <v>2.3080946</v>
      </c>
      <c r="I14" s="18" t="n">
        <v>0</v>
      </c>
      <c r="J14" s="20" t="n">
        <v>0</v>
      </c>
      <c r="K14" s="18" t="n">
        <v>0.4122651</v>
      </c>
      <c r="L14" s="20" t="n">
        <v>0.24324738</v>
      </c>
      <c r="M14" s="18" t="n">
        <v>0</v>
      </c>
      <c r="N14" s="20" t="n">
        <v>0</v>
      </c>
      <c r="O14" s="18" t="n">
        <v>0</v>
      </c>
      <c r="P14" s="20" t="n">
        <v>0</v>
      </c>
      <c r="Q14" s="18" t="n">
        <v>6.3280974</v>
      </c>
      <c r="R14" s="20" t="n">
        <v>1.14020548</v>
      </c>
    </row>
    <row r="15" spans="1:18">
      <c r="A15" s="15" t="s">
        <v>437</v>
      </c>
      <c r="B15" s="17" t="n">
        <v>5882</v>
      </c>
      <c r="C15" s="18">
        <f>(5156.0/B15*100)</f>
        <v/>
      </c>
      <c r="D15" s="19" t="n">
        <v>726</v>
      </c>
      <c r="E15" s="18" t="n">
        <v>55.84632223</v>
      </c>
      <c r="F15" s="20" t="n">
        <v>1.80376135</v>
      </c>
      <c r="G15" s="18" t="n">
        <v>33.75059316</v>
      </c>
      <c r="H15" s="20" t="n">
        <v>1.87531821</v>
      </c>
      <c r="I15" s="18" t="n">
        <v>0</v>
      </c>
      <c r="J15" s="20" t="n">
        <v>0</v>
      </c>
      <c r="K15" s="18" t="n">
        <v>0.39665163</v>
      </c>
      <c r="L15" s="20" t="n">
        <v>0.22900439</v>
      </c>
      <c r="M15" s="18" t="n">
        <v>0</v>
      </c>
      <c r="N15" s="20" t="n">
        <v>0</v>
      </c>
      <c r="O15" s="18" t="n">
        <v>0</v>
      </c>
      <c r="P15" s="20" t="n">
        <v>0</v>
      </c>
      <c r="Q15" s="18" t="n">
        <v>10.00643299</v>
      </c>
      <c r="R15" s="20" t="n">
        <v>1.0405551</v>
      </c>
    </row>
    <row r="16" spans="1:18">
      <c r="A16" s="15" t="s">
        <v>438</v>
      </c>
      <c r="B16" s="17" t="n">
        <v>6108</v>
      </c>
      <c r="C16" s="18">
        <f>(5378.0/B16*100)</f>
        <v/>
      </c>
      <c r="D16" s="19" t="n">
        <v>730</v>
      </c>
      <c r="E16" s="18" t="n">
        <v>40.01369806</v>
      </c>
      <c r="F16" s="20" t="n">
        <v>1.53352493</v>
      </c>
      <c r="G16" s="18" t="n">
        <v>35.24804495</v>
      </c>
      <c r="H16" s="20" t="n">
        <v>1.68309085</v>
      </c>
      <c r="I16" s="18" t="n">
        <v>0</v>
      </c>
      <c r="J16" s="20" t="n">
        <v>0</v>
      </c>
      <c r="K16" s="18" t="n">
        <v>2.99572099</v>
      </c>
      <c r="L16" s="20" t="n">
        <v>0.5534861</v>
      </c>
      <c r="M16" s="18" t="n">
        <v>0.12717208</v>
      </c>
      <c r="N16" s="20" t="n">
        <v>0.16716044</v>
      </c>
      <c r="O16" s="18" t="n">
        <v>0</v>
      </c>
      <c r="P16" s="20" t="n">
        <v>0</v>
      </c>
      <c r="Q16" s="18" t="n">
        <v>21.61536392</v>
      </c>
      <c r="R16" s="20" t="n">
        <v>1.61633232</v>
      </c>
    </row>
    <row r="17" spans="1:18">
      <c r="A17" s="15" t="s">
        <v>439</v>
      </c>
      <c r="B17" s="17" t="n">
        <v>6504</v>
      </c>
      <c r="C17" s="18">
        <f>(5748.0/B17*100)</f>
        <v/>
      </c>
      <c r="D17" s="19" t="n">
        <v>756</v>
      </c>
      <c r="E17" s="18" t="n">
        <v>57.34034815</v>
      </c>
      <c r="F17" s="20" t="n">
        <v>1.68346112</v>
      </c>
      <c r="G17" s="18" t="n">
        <v>24.46841102</v>
      </c>
      <c r="H17" s="20" t="n">
        <v>1.5521951</v>
      </c>
      <c r="I17" s="18" t="n">
        <v>0</v>
      </c>
      <c r="J17" s="20" t="n">
        <v>0</v>
      </c>
      <c r="K17" s="18" t="n">
        <v>0.87293582</v>
      </c>
      <c r="L17" s="20" t="n">
        <v>0.24532818</v>
      </c>
      <c r="M17" s="18" t="n">
        <v>0</v>
      </c>
      <c r="N17" s="20" t="n">
        <v>0</v>
      </c>
      <c r="O17" s="18" t="n">
        <v>0</v>
      </c>
      <c r="P17" s="20" t="n">
        <v>0</v>
      </c>
      <c r="Q17" s="18" t="n">
        <v>17.31830501</v>
      </c>
      <c r="R17" s="20" t="n">
        <v>1.45243271</v>
      </c>
    </row>
    <row r="18" spans="1:18">
      <c r="A18" s="15" t="s">
        <v>440</v>
      </c>
      <c r="B18" s="17" t="n">
        <v>5532</v>
      </c>
      <c r="C18" s="18">
        <f>(4846.0/B18*100)</f>
        <v/>
      </c>
      <c r="D18" s="19" t="n">
        <v>686</v>
      </c>
      <c r="E18" s="18" t="n">
        <v>44.15816888</v>
      </c>
      <c r="F18" s="20" t="n">
        <v>2.51864076</v>
      </c>
      <c r="G18" s="18" t="n">
        <v>36.10397652</v>
      </c>
      <c r="H18" s="20" t="n">
        <v>2.24763049</v>
      </c>
      <c r="I18" s="18" t="n">
        <v>0</v>
      </c>
      <c r="J18" s="20" t="n">
        <v>0</v>
      </c>
      <c r="K18" s="18" t="n">
        <v>0.80912103</v>
      </c>
      <c r="L18" s="20" t="n">
        <v>0.39779548</v>
      </c>
      <c r="M18" s="18" t="n">
        <v>0</v>
      </c>
      <c r="N18" s="20" t="n">
        <v>0</v>
      </c>
      <c r="O18" s="18" t="n">
        <v>0</v>
      </c>
      <c r="P18" s="20" t="n">
        <v>0</v>
      </c>
      <c r="Q18" s="18" t="n">
        <v>18.92873357</v>
      </c>
      <c r="R18" s="20" t="n">
        <v>1.93873787</v>
      </c>
    </row>
    <row r="19" spans="1:18">
      <c r="A19" s="15" t="s">
        <v>441</v>
      </c>
      <c r="B19" s="17" t="n">
        <v>5658</v>
      </c>
      <c r="C19" s="18">
        <f>(4971.0/B19*100)</f>
        <v/>
      </c>
      <c r="D19" s="19" t="n">
        <v>687</v>
      </c>
      <c r="E19" s="18" t="n">
        <v>54.88358833</v>
      </c>
      <c r="F19" s="20" t="n">
        <v>1.95720567</v>
      </c>
      <c r="G19" s="18" t="n">
        <v>25.73046395</v>
      </c>
      <c r="H19" s="20" t="n">
        <v>1.45410924</v>
      </c>
      <c r="I19" s="18" t="n">
        <v>0</v>
      </c>
      <c r="J19" s="20" t="n">
        <v>0</v>
      </c>
      <c r="K19" s="18" t="n">
        <v>0.55776023</v>
      </c>
      <c r="L19" s="20" t="n">
        <v>0.37564801</v>
      </c>
      <c r="M19" s="18" t="n">
        <v>0.32909692</v>
      </c>
      <c r="N19" s="20" t="n">
        <v>0.23214618</v>
      </c>
      <c r="O19" s="18" t="n">
        <v>0</v>
      </c>
      <c r="P19" s="20" t="n">
        <v>0</v>
      </c>
      <c r="Q19" s="18" t="n">
        <v>18.49909058</v>
      </c>
      <c r="R19" s="20" t="n">
        <v>1.53320347</v>
      </c>
    </row>
    <row r="20" spans="1:18">
      <c r="A20" s="15" t="s">
        <v>442</v>
      </c>
      <c r="B20" s="17" t="n">
        <v>3371</v>
      </c>
      <c r="C20" s="18">
        <f>(2972.0/B20*100)</f>
        <v/>
      </c>
      <c r="D20" s="19" t="n">
        <v>399</v>
      </c>
      <c r="E20" s="18" t="n">
        <v>59.54490345</v>
      </c>
      <c r="F20" s="20" t="n">
        <v>2.72210516</v>
      </c>
      <c r="G20" s="18" t="n">
        <v>29.29123204</v>
      </c>
      <c r="H20" s="20" t="n">
        <v>2.35215115</v>
      </c>
      <c r="I20" s="18" t="n">
        <v>0</v>
      </c>
      <c r="J20" s="20" t="n">
        <v>0</v>
      </c>
      <c r="K20" s="18" t="n">
        <v>0.87819784</v>
      </c>
      <c r="L20" s="20" t="n">
        <v>0.5218197999999999</v>
      </c>
      <c r="M20" s="18" t="n">
        <v>0</v>
      </c>
      <c r="N20" s="20" t="n">
        <v>0</v>
      </c>
      <c r="O20" s="18" t="n">
        <v>0</v>
      </c>
      <c r="P20" s="20" t="n">
        <v>0</v>
      </c>
      <c r="Q20" s="18" t="n">
        <v>10.28566667</v>
      </c>
      <c r="R20" s="20" t="n">
        <v>1.54557081</v>
      </c>
    </row>
    <row r="21" spans="1:18">
      <c r="A21" s="15" t="s">
        <v>443</v>
      </c>
      <c r="B21" s="17" t="n">
        <v>5741</v>
      </c>
      <c r="C21" s="18">
        <f>(4791.0/B21*100)</f>
        <v/>
      </c>
      <c r="D21" s="19" t="n">
        <v>950</v>
      </c>
      <c r="E21" s="18" t="n">
        <v>42.33917656</v>
      </c>
      <c r="F21" s="20" t="n">
        <v>1.61199878</v>
      </c>
      <c r="G21" s="18" t="n">
        <v>51.44456142</v>
      </c>
      <c r="H21" s="20" t="n">
        <v>1.71811713</v>
      </c>
      <c r="I21" s="18" t="n">
        <v>0</v>
      </c>
      <c r="J21" s="20" t="n">
        <v>0</v>
      </c>
      <c r="K21" s="18" t="n">
        <v>0.70388229</v>
      </c>
      <c r="L21" s="20" t="n">
        <v>0.27555484</v>
      </c>
      <c r="M21" s="18" t="n">
        <v>0</v>
      </c>
      <c r="N21" s="20" t="n">
        <v>0</v>
      </c>
      <c r="O21" s="18" t="n">
        <v>0</v>
      </c>
      <c r="P21" s="20" t="n">
        <v>0</v>
      </c>
      <c r="Q21" s="18" t="n">
        <v>5.51237973</v>
      </c>
      <c r="R21" s="20" t="n">
        <v>0.73774461</v>
      </c>
    </row>
    <row r="22" spans="1:18">
      <c r="A22" s="15" t="s">
        <v>444</v>
      </c>
      <c r="B22" s="17" t="n">
        <v>6598</v>
      </c>
      <c r="C22" s="18">
        <f>(5853.0/B22*100)</f>
        <v/>
      </c>
      <c r="D22" s="19" t="n">
        <v>745</v>
      </c>
      <c r="E22" s="18" t="n">
        <v>62.89862156</v>
      </c>
      <c r="F22" s="20" t="n">
        <v>1.5157693</v>
      </c>
      <c r="G22" s="18" t="n">
        <v>20.59406165</v>
      </c>
      <c r="H22" s="20" t="n">
        <v>1.45600727</v>
      </c>
      <c r="I22" s="18" t="n">
        <v>0</v>
      </c>
      <c r="J22" s="20" t="n">
        <v>0</v>
      </c>
      <c r="K22" s="18" t="n">
        <v>1.86588301</v>
      </c>
      <c r="L22" s="20" t="n">
        <v>0.52838411</v>
      </c>
      <c r="M22" s="18" t="n">
        <v>0</v>
      </c>
      <c r="N22" s="20" t="n">
        <v>0</v>
      </c>
      <c r="O22" s="18" t="n">
        <v>0</v>
      </c>
      <c r="P22" s="20" t="n">
        <v>0</v>
      </c>
      <c r="Q22" s="18" t="n">
        <v>14.64143378</v>
      </c>
      <c r="R22" s="20" t="n">
        <v>1.36310993</v>
      </c>
    </row>
    <row r="23" spans="1:18">
      <c r="A23" s="15" t="s">
        <v>445</v>
      </c>
      <c r="B23" s="17" t="n">
        <v>11583</v>
      </c>
      <c r="C23" s="18">
        <f>(10170.0/B23*100)</f>
        <v/>
      </c>
      <c r="D23" s="19" t="n">
        <v>1413</v>
      </c>
      <c r="E23" s="18" t="n">
        <v>54.88079729</v>
      </c>
      <c r="F23" s="20" t="n">
        <v>2.15606511</v>
      </c>
      <c r="G23" s="18" t="n">
        <v>23.43507918</v>
      </c>
      <c r="H23" s="20" t="n">
        <v>2.01868615</v>
      </c>
      <c r="I23" s="18" t="n">
        <v>0</v>
      </c>
      <c r="J23" s="20" t="n">
        <v>0</v>
      </c>
      <c r="K23" s="18" t="n">
        <v>1.14853326</v>
      </c>
      <c r="L23" s="20" t="n">
        <v>0.424255</v>
      </c>
      <c r="M23" s="18" t="n">
        <v>1.07808185</v>
      </c>
      <c r="N23" s="20" t="n">
        <v>0.82379509</v>
      </c>
      <c r="O23" s="18" t="n">
        <v>0</v>
      </c>
      <c r="P23" s="20" t="n">
        <v>0</v>
      </c>
      <c r="Q23" s="18" t="n">
        <v>19.45750841</v>
      </c>
      <c r="R23" s="20" t="n">
        <v>1.693468</v>
      </c>
    </row>
    <row r="24" spans="1:18">
      <c r="A24" s="15" t="s">
        <v>446</v>
      </c>
      <c r="B24" s="17" t="n">
        <v>6647</v>
      </c>
      <c r="C24" s="18">
        <f>(5856.0/B24*100)</f>
        <v/>
      </c>
      <c r="D24" s="19" t="n">
        <v>791</v>
      </c>
      <c r="E24" s="18" t="n">
        <v>32.97108156</v>
      </c>
      <c r="F24" s="20" t="n">
        <v>1.71900584</v>
      </c>
      <c r="G24" s="18" t="n">
        <v>46.04954193</v>
      </c>
      <c r="H24" s="20" t="n">
        <v>1.61206348</v>
      </c>
      <c r="I24" s="18" t="n">
        <v>0</v>
      </c>
      <c r="J24" s="20" t="n">
        <v>0</v>
      </c>
      <c r="K24" s="18" t="n">
        <v>0.5579075</v>
      </c>
      <c r="L24" s="20" t="n">
        <v>0.27805446</v>
      </c>
      <c r="M24" s="18" t="n">
        <v>0</v>
      </c>
      <c r="N24" s="20" t="n">
        <v>0</v>
      </c>
      <c r="O24" s="18" t="n">
        <v>0</v>
      </c>
      <c r="P24" s="20" t="n">
        <v>0</v>
      </c>
      <c r="Q24" s="18" t="n">
        <v>20.42146901</v>
      </c>
      <c r="R24" s="20" t="n">
        <v>1.5181455</v>
      </c>
    </row>
    <row r="25" spans="1:18">
      <c r="A25" s="15" t="s">
        <v>447</v>
      </c>
      <c r="B25" s="17" t="n">
        <v>5581</v>
      </c>
      <c r="C25" s="18">
        <f>(4892.0/B25*100)</f>
        <v/>
      </c>
      <c r="D25" s="19" t="n">
        <v>689</v>
      </c>
      <c r="E25" s="18" t="n">
        <v>59.77607714</v>
      </c>
      <c r="F25" s="20" t="n">
        <v>2.12234379</v>
      </c>
      <c r="G25" s="18" t="n">
        <v>24.74719155</v>
      </c>
      <c r="H25" s="20" t="n">
        <v>1.89000571</v>
      </c>
      <c r="I25" s="18" t="n">
        <v>0</v>
      </c>
      <c r="J25" s="20" t="n">
        <v>0</v>
      </c>
      <c r="K25" s="18" t="n">
        <v>0.697186</v>
      </c>
      <c r="L25" s="20" t="n">
        <v>0.31248594</v>
      </c>
      <c r="M25" s="18" t="n">
        <v>0</v>
      </c>
      <c r="N25" s="20" t="n">
        <v>0</v>
      </c>
      <c r="O25" s="18" t="n">
        <v>0</v>
      </c>
      <c r="P25" s="20" t="n">
        <v>0</v>
      </c>
      <c r="Q25" s="18" t="n">
        <v>14.77954531</v>
      </c>
      <c r="R25" s="20" t="n">
        <v>1.51855585</v>
      </c>
    </row>
    <row r="26" spans="1:18">
      <c r="A26" s="15" t="s">
        <v>448</v>
      </c>
      <c r="B26" s="17" t="n">
        <v>4869</v>
      </c>
      <c r="C26" s="18">
        <f>(4265.0/B26*100)</f>
        <v/>
      </c>
      <c r="D26" s="19" t="n">
        <v>604</v>
      </c>
      <c r="E26" s="18" t="n">
        <v>65.66844512</v>
      </c>
      <c r="F26" s="20" t="n">
        <v>1.85444329</v>
      </c>
      <c r="G26" s="18" t="n">
        <v>25.24582442</v>
      </c>
      <c r="H26" s="20" t="n">
        <v>1.72815472</v>
      </c>
      <c r="I26" s="18" t="n">
        <v>0</v>
      </c>
      <c r="J26" s="20" t="n">
        <v>0</v>
      </c>
      <c r="K26" s="18" t="n">
        <v>0.10866329</v>
      </c>
      <c r="L26" s="20" t="n">
        <v>0.11116072</v>
      </c>
      <c r="M26" s="18" t="n">
        <v>0.24375682</v>
      </c>
      <c r="N26" s="20" t="n">
        <v>0.17251596</v>
      </c>
      <c r="O26" s="18" t="n">
        <v>0</v>
      </c>
      <c r="P26" s="20" t="n">
        <v>0</v>
      </c>
      <c r="Q26" s="18" t="n">
        <v>8.73331035</v>
      </c>
      <c r="R26" s="20" t="n">
        <v>1.12770281</v>
      </c>
    </row>
    <row r="27" spans="1:18">
      <c r="A27" s="15" t="s">
        <v>449</v>
      </c>
      <c r="B27" s="17" t="n">
        <v>5299</v>
      </c>
      <c r="C27" s="18">
        <f>(4646.0/B27*100)</f>
        <v/>
      </c>
      <c r="D27" s="19" t="n">
        <v>653</v>
      </c>
      <c r="E27" s="18" t="n">
        <v>50.28399235</v>
      </c>
      <c r="F27" s="20" t="n">
        <v>2.04498808</v>
      </c>
      <c r="G27" s="18" t="n">
        <v>32.64650949</v>
      </c>
      <c r="H27" s="20" t="n">
        <v>1.89159956</v>
      </c>
      <c r="I27" s="18" t="n">
        <v>0</v>
      </c>
      <c r="J27" s="20" t="n">
        <v>0</v>
      </c>
      <c r="K27" s="18" t="n">
        <v>0.6163255</v>
      </c>
      <c r="L27" s="20" t="n">
        <v>0.30699941</v>
      </c>
      <c r="M27" s="18" t="n">
        <v>0</v>
      </c>
      <c r="N27" s="20" t="n">
        <v>0</v>
      </c>
      <c r="O27" s="18" t="n">
        <v>0</v>
      </c>
      <c r="P27" s="20" t="n">
        <v>0</v>
      </c>
      <c r="Q27" s="18" t="n">
        <v>16.45317267</v>
      </c>
      <c r="R27" s="20" t="n">
        <v>1.31902816</v>
      </c>
    </row>
    <row r="28" spans="1:18">
      <c r="A28" s="15" t="s">
        <v>450</v>
      </c>
      <c r="B28" s="17" t="n">
        <v>7568</v>
      </c>
      <c r="C28" s="18">
        <f>(6711.0/B28*100)</f>
        <v/>
      </c>
      <c r="D28" s="19" t="n">
        <v>857</v>
      </c>
      <c r="E28" s="18" t="n">
        <v>81.49325746</v>
      </c>
      <c r="F28" s="20" t="n">
        <v>1.38380531</v>
      </c>
      <c r="G28" s="18" t="n">
        <v>13.7489434</v>
      </c>
      <c r="H28" s="20" t="n">
        <v>1.21411338</v>
      </c>
      <c r="I28" s="18" t="n">
        <v>0</v>
      </c>
      <c r="J28" s="20" t="n">
        <v>0</v>
      </c>
      <c r="K28" s="18" t="n">
        <v>0.76326433</v>
      </c>
      <c r="L28" s="20" t="n">
        <v>0.35182119</v>
      </c>
      <c r="M28" s="18" t="n">
        <v>0.09451073</v>
      </c>
      <c r="N28" s="20" t="n">
        <v>0.0943049</v>
      </c>
      <c r="O28" s="18" t="n">
        <v>0</v>
      </c>
      <c r="P28" s="20" t="n">
        <v>0</v>
      </c>
      <c r="Q28" s="18" t="n">
        <v>3.90002408</v>
      </c>
      <c r="R28" s="20" t="n">
        <v>0.78983062</v>
      </c>
    </row>
    <row r="29" spans="1:18">
      <c r="A29" s="15" t="s">
        <v>451</v>
      </c>
      <c r="B29" s="17" t="n">
        <v>5385</v>
      </c>
      <c r="C29" s="18">
        <f>(4754.0/B29*100)</f>
        <v/>
      </c>
      <c r="D29" s="19" t="n">
        <v>631</v>
      </c>
      <c r="E29" s="18" t="n">
        <v>66.27230561</v>
      </c>
      <c r="F29" s="20" t="n">
        <v>1.77201751</v>
      </c>
      <c r="G29" s="18" t="n">
        <v>28.3966662</v>
      </c>
      <c r="H29" s="20" t="n">
        <v>1.59591134</v>
      </c>
      <c r="I29" s="18" t="n">
        <v>0</v>
      </c>
      <c r="J29" s="20" t="n">
        <v>0</v>
      </c>
      <c r="K29" s="18" t="n">
        <v>0</v>
      </c>
      <c r="L29" s="20" t="n">
        <v>0</v>
      </c>
      <c r="M29" s="18" t="n">
        <v>0</v>
      </c>
      <c r="N29" s="20" t="n">
        <v>0</v>
      </c>
      <c r="O29" s="18" t="n">
        <v>0</v>
      </c>
      <c r="P29" s="20" t="n">
        <v>0</v>
      </c>
      <c r="Q29" s="18" t="n">
        <v>5.33102818</v>
      </c>
      <c r="R29" s="20" t="n">
        <v>0.88673731</v>
      </c>
    </row>
    <row r="30" spans="1:18">
      <c r="A30" s="15" t="s">
        <v>452</v>
      </c>
      <c r="B30" s="17" t="n">
        <v>4520</v>
      </c>
      <c r="C30" s="18">
        <f>(3999.0/B30*100)</f>
        <v/>
      </c>
      <c r="D30" s="19" t="n">
        <v>521</v>
      </c>
      <c r="E30" s="18" t="n">
        <v>47.50083865</v>
      </c>
      <c r="F30" s="20" t="n">
        <v>2.16471815</v>
      </c>
      <c r="G30" s="18" t="n">
        <v>41.96979334</v>
      </c>
      <c r="H30" s="20" t="n">
        <v>2.23002111</v>
      </c>
      <c r="I30" s="18" t="n">
        <v>0</v>
      </c>
      <c r="J30" s="20" t="n">
        <v>0</v>
      </c>
      <c r="K30" s="18" t="n">
        <v>0.89260561</v>
      </c>
      <c r="L30" s="20" t="n">
        <v>0.39304313</v>
      </c>
      <c r="M30" s="18" t="n">
        <v>0</v>
      </c>
      <c r="N30" s="20" t="n">
        <v>0</v>
      </c>
      <c r="O30" s="18" t="n">
        <v>0</v>
      </c>
      <c r="P30" s="20" t="n">
        <v>0</v>
      </c>
      <c r="Q30" s="18" t="n">
        <v>9.636762389999999</v>
      </c>
      <c r="R30" s="20" t="n">
        <v>1.28308806</v>
      </c>
    </row>
    <row r="31" spans="1:18">
      <c r="A31" s="15" t="s">
        <v>453</v>
      </c>
      <c r="B31" s="17" t="n">
        <v>5456</v>
      </c>
      <c r="C31" s="18">
        <f>(4791.0/B31*100)</f>
        <v/>
      </c>
      <c r="D31" s="19" t="n">
        <v>665</v>
      </c>
      <c r="E31" s="18" t="n">
        <v>48.67824887</v>
      </c>
      <c r="F31" s="20" t="n">
        <v>2.35253658</v>
      </c>
      <c r="G31" s="18" t="n">
        <v>39.16972697</v>
      </c>
      <c r="H31" s="20" t="n">
        <v>1.8317122</v>
      </c>
      <c r="I31" s="18" t="n">
        <v>0</v>
      </c>
      <c r="J31" s="20" t="n">
        <v>0</v>
      </c>
      <c r="K31" s="18" t="n">
        <v>2.13296395</v>
      </c>
      <c r="L31" s="20" t="n">
        <v>0.62071318</v>
      </c>
      <c r="M31" s="18" t="n">
        <v>0</v>
      </c>
      <c r="N31" s="20" t="n">
        <v>0</v>
      </c>
      <c r="O31" s="18" t="n">
        <v>0</v>
      </c>
      <c r="P31" s="20" t="n">
        <v>0</v>
      </c>
      <c r="Q31" s="18" t="n">
        <v>10.01906022</v>
      </c>
      <c r="R31" s="20" t="n">
        <v>1.23577313</v>
      </c>
    </row>
    <row r="32" spans="1:18">
      <c r="A32" s="15" t="s">
        <v>454</v>
      </c>
      <c r="B32" s="17" t="n">
        <v>4478</v>
      </c>
      <c r="C32" s="18">
        <f>(3726.0/B32*100)</f>
        <v/>
      </c>
      <c r="D32" s="19" t="n">
        <v>752</v>
      </c>
      <c r="E32" s="18" t="n">
        <v>55.04287548</v>
      </c>
      <c r="F32" s="20" t="n">
        <v>1.65046908</v>
      </c>
      <c r="G32" s="18" t="n">
        <v>32.14705763</v>
      </c>
      <c r="H32" s="20" t="n">
        <v>1.58576472</v>
      </c>
      <c r="I32" s="18" t="n">
        <v>0</v>
      </c>
      <c r="J32" s="20" t="n">
        <v>0</v>
      </c>
      <c r="K32" s="18" t="n">
        <v>0.36081225</v>
      </c>
      <c r="L32" s="20" t="n">
        <v>0.11697938</v>
      </c>
      <c r="M32" s="18" t="n">
        <v>0</v>
      </c>
      <c r="N32" s="20" t="n">
        <v>0</v>
      </c>
      <c r="O32" s="18" t="n">
        <v>0</v>
      </c>
      <c r="P32" s="20" t="n">
        <v>0</v>
      </c>
      <c r="Q32" s="18" t="n">
        <v>12.44925465</v>
      </c>
      <c r="R32" s="20" t="n">
        <v>1.30587898</v>
      </c>
    </row>
    <row r="33" spans="1:18">
      <c r="A33" s="15" t="s">
        <v>455</v>
      </c>
      <c r="B33" s="17" t="n">
        <v>7325</v>
      </c>
      <c r="C33" s="18">
        <f>(6463.0/B33*100)</f>
        <v/>
      </c>
      <c r="D33" s="19" t="n">
        <v>862</v>
      </c>
      <c r="E33" s="18" t="n">
        <v>47.25575295</v>
      </c>
      <c r="F33" s="20" t="n">
        <v>1.85665742</v>
      </c>
      <c r="G33" s="18" t="n">
        <v>38.66541728</v>
      </c>
      <c r="H33" s="20" t="n">
        <v>1.99877126</v>
      </c>
      <c r="I33" s="18" t="n">
        <v>0</v>
      </c>
      <c r="J33" s="20" t="n">
        <v>0</v>
      </c>
      <c r="K33" s="18" t="n">
        <v>0.21037639</v>
      </c>
      <c r="L33" s="20" t="n">
        <v>0.15852761</v>
      </c>
      <c r="M33" s="18" t="n">
        <v>0</v>
      </c>
      <c r="N33" s="20" t="n">
        <v>0</v>
      </c>
      <c r="O33" s="18" t="n">
        <v>0</v>
      </c>
      <c r="P33" s="20" t="n">
        <v>0</v>
      </c>
      <c r="Q33" s="18" t="n">
        <v>13.86845338</v>
      </c>
      <c r="R33" s="20" t="n">
        <v>1.45545647</v>
      </c>
    </row>
    <row r="34" spans="1:18">
      <c r="A34" s="15" t="s">
        <v>456</v>
      </c>
      <c r="B34" s="17" t="n">
        <v>6350</v>
      </c>
      <c r="C34" s="18">
        <f>(5637.0/B34*100)</f>
        <v/>
      </c>
      <c r="D34" s="19" t="n">
        <v>713</v>
      </c>
      <c r="E34" s="18" t="n">
        <v>57.18239202</v>
      </c>
      <c r="F34" s="20" t="n">
        <v>1.91418402</v>
      </c>
      <c r="G34" s="18" t="n">
        <v>22.76484536</v>
      </c>
      <c r="H34" s="20" t="n">
        <v>1.69117373</v>
      </c>
      <c r="I34" s="18" t="n">
        <v>0</v>
      </c>
      <c r="J34" s="20" t="n">
        <v>0</v>
      </c>
      <c r="K34" s="18" t="n">
        <v>0.7123117</v>
      </c>
      <c r="L34" s="20" t="n">
        <v>0.34289517</v>
      </c>
      <c r="M34" s="18" t="n">
        <v>0.09134618999999999</v>
      </c>
      <c r="N34" s="20" t="n">
        <v>0.09142068</v>
      </c>
      <c r="O34" s="18" t="n">
        <v>0</v>
      </c>
      <c r="P34" s="20" t="n">
        <v>0</v>
      </c>
      <c r="Q34" s="18" t="n">
        <v>19.24910473</v>
      </c>
      <c r="R34" s="20" t="n">
        <v>1.33767068</v>
      </c>
    </row>
    <row r="35" spans="1:18">
      <c r="A35" s="15" t="s">
        <v>457</v>
      </c>
      <c r="B35" s="17" t="n">
        <v>6406</v>
      </c>
      <c r="C35" s="18">
        <f>(5651.0/B35*100)</f>
        <v/>
      </c>
      <c r="D35" s="19" t="n">
        <v>755</v>
      </c>
      <c r="E35" s="18" t="n">
        <v>55.53458671</v>
      </c>
      <c r="F35" s="20" t="n">
        <v>1.85326639</v>
      </c>
      <c r="G35" s="18" t="n">
        <v>31.77967973</v>
      </c>
      <c r="H35" s="20" t="n">
        <v>1.8828691</v>
      </c>
      <c r="I35" s="18" t="n">
        <v>0</v>
      </c>
      <c r="J35" s="20" t="n">
        <v>0</v>
      </c>
      <c r="K35" s="18" t="n">
        <v>0.87734526</v>
      </c>
      <c r="L35" s="20" t="n">
        <v>0.34819649</v>
      </c>
      <c r="M35" s="18" t="n">
        <v>0.2248385</v>
      </c>
      <c r="N35" s="20" t="n">
        <v>0.22548219</v>
      </c>
      <c r="O35" s="18" t="n">
        <v>0</v>
      </c>
      <c r="P35" s="20" t="n">
        <v>0</v>
      </c>
      <c r="Q35" s="18" t="n">
        <v>11.58354979</v>
      </c>
      <c r="R35" s="20" t="n">
        <v>1.29529151</v>
      </c>
    </row>
    <row r="36" spans="1:18">
      <c r="A36" s="15" t="s">
        <v>458</v>
      </c>
      <c r="B36" s="17" t="n">
        <v>6736</v>
      </c>
      <c r="C36" s="18">
        <f>(5939.0/B36*100)</f>
        <v/>
      </c>
      <c r="D36" s="19" t="n">
        <v>797</v>
      </c>
      <c r="E36" s="18" t="n">
        <v>46.48706703</v>
      </c>
      <c r="F36" s="20" t="n">
        <v>1.81162348</v>
      </c>
      <c r="G36" s="18" t="n">
        <v>40.69866086</v>
      </c>
      <c r="H36" s="20" t="n">
        <v>2.09768647</v>
      </c>
      <c r="I36" s="18" t="n">
        <v>0</v>
      </c>
      <c r="J36" s="20" t="n">
        <v>0</v>
      </c>
      <c r="K36" s="18" t="n">
        <v>1.12798934</v>
      </c>
      <c r="L36" s="20" t="n">
        <v>0.37114042</v>
      </c>
      <c r="M36" s="18" t="n">
        <v>0</v>
      </c>
      <c r="N36" s="20" t="n">
        <v>0</v>
      </c>
      <c r="O36" s="18" t="n">
        <v>0</v>
      </c>
      <c r="P36" s="20" t="n">
        <v>0</v>
      </c>
      <c r="Q36" s="18" t="n">
        <v>11.68628277</v>
      </c>
      <c r="R36" s="20" t="n">
        <v>1.12775096</v>
      </c>
    </row>
    <row r="37" spans="1:18">
      <c r="A37" s="15" t="s">
        <v>459</v>
      </c>
      <c r="B37" s="17" t="n">
        <v>5458</v>
      </c>
      <c r="C37" s="18">
        <f>(4792.0/B37*100)</f>
        <v/>
      </c>
      <c r="D37" s="19" t="n">
        <v>666</v>
      </c>
      <c r="E37" s="18" t="n">
        <v>55.70032082</v>
      </c>
      <c r="F37" s="20" t="n">
        <v>1.75506604</v>
      </c>
      <c r="G37" s="18" t="n">
        <v>28.65415507</v>
      </c>
      <c r="H37" s="20" t="n">
        <v>1.69613743</v>
      </c>
      <c r="I37" s="18" t="n">
        <v>0</v>
      </c>
      <c r="J37" s="20" t="n">
        <v>0</v>
      </c>
      <c r="K37" s="18" t="n">
        <v>1.55828615</v>
      </c>
      <c r="L37" s="20" t="n">
        <v>0.4785696</v>
      </c>
      <c r="M37" s="18" t="n">
        <v>0.12116771</v>
      </c>
      <c r="N37" s="20" t="n">
        <v>0.12119729</v>
      </c>
      <c r="O37" s="18" t="n">
        <v>0</v>
      </c>
      <c r="P37" s="20" t="n">
        <v>0</v>
      </c>
      <c r="Q37" s="18" t="n">
        <v>13.96607024</v>
      </c>
      <c r="R37" s="20" t="n">
        <v>1.2463231</v>
      </c>
    </row>
    <row r="38" spans="1:18">
      <c r="A38" s="15" t="s">
        <v>460</v>
      </c>
      <c r="B38" s="17" t="n">
        <v>5860</v>
      </c>
      <c r="C38" s="18">
        <f>(4874.0/B38*100)</f>
        <v/>
      </c>
      <c r="D38" s="19" t="n">
        <v>986</v>
      </c>
      <c r="E38" s="18" t="n">
        <v>63.10101815</v>
      </c>
      <c r="F38" s="20" t="n">
        <v>1.58088532</v>
      </c>
      <c r="G38" s="18" t="n">
        <v>21.18597209</v>
      </c>
      <c r="H38" s="20" t="n">
        <v>1.18975049</v>
      </c>
      <c r="I38" s="18" t="n">
        <v>0</v>
      </c>
      <c r="J38" s="20" t="n">
        <v>0</v>
      </c>
      <c r="K38" s="18" t="n">
        <v>1.08330405</v>
      </c>
      <c r="L38" s="20" t="n">
        <v>0.41676054</v>
      </c>
      <c r="M38" s="18" t="n">
        <v>0.11087672</v>
      </c>
      <c r="N38" s="20" t="n">
        <v>0.11085299</v>
      </c>
      <c r="O38" s="18" t="n">
        <v>0</v>
      </c>
      <c r="P38" s="20" t="n">
        <v>0</v>
      </c>
      <c r="Q38" s="18" t="n">
        <v>14.51882899</v>
      </c>
      <c r="R38" s="20" t="n">
        <v>1.33679213</v>
      </c>
    </row>
    <row r="39" spans="1:18">
      <c r="A39" s="15" t="s">
        <v>461</v>
      </c>
      <c r="B39" s="17" t="n">
        <v>5895</v>
      </c>
      <c r="C39" s="18">
        <f>(5161.0/B39*100)</f>
        <v/>
      </c>
      <c r="D39" s="19" t="n">
        <v>734</v>
      </c>
      <c r="E39" s="18" t="n">
        <v>69.26974405</v>
      </c>
      <c r="F39" s="20" t="n">
        <v>1.69428915</v>
      </c>
      <c r="G39" s="18" t="n">
        <v>15.74421047</v>
      </c>
      <c r="H39" s="20" t="n">
        <v>1.47427231</v>
      </c>
      <c r="I39" s="18" t="n">
        <v>0</v>
      </c>
      <c r="J39" s="20" t="n">
        <v>0</v>
      </c>
      <c r="K39" s="18" t="n">
        <v>0.33996057</v>
      </c>
      <c r="L39" s="20" t="n">
        <v>0.17528734</v>
      </c>
      <c r="M39" s="18" t="n">
        <v>0.0607299</v>
      </c>
      <c r="N39" s="20" t="n">
        <v>0.04356683</v>
      </c>
      <c r="O39" s="18" t="n">
        <v>0</v>
      </c>
      <c r="P39" s="20" t="n">
        <v>0</v>
      </c>
      <c r="Q39" s="18" t="n">
        <v>14.58535502</v>
      </c>
      <c r="R39" s="20" t="n">
        <v>1.14119345</v>
      </c>
    </row>
    <row r="40" spans="1:18">
      <c r="A40" s="15" t="s">
        <v>462</v>
      </c>
      <c r="B40" s="17" t="n">
        <v>14157</v>
      </c>
      <c r="C40" s="18">
        <f>(12447.0/B40*100)</f>
        <v/>
      </c>
      <c r="D40" s="19" t="n">
        <v>1710</v>
      </c>
      <c r="E40" s="18" t="n">
        <v>53.84515125</v>
      </c>
      <c r="F40" s="20" t="n">
        <v>2.13313752</v>
      </c>
      <c r="G40" s="18" t="n">
        <v>34.01240429</v>
      </c>
      <c r="H40" s="20" t="n">
        <v>1.97076707</v>
      </c>
      <c r="I40" s="18" t="n">
        <v>0</v>
      </c>
      <c r="J40" s="20" t="n">
        <v>0</v>
      </c>
      <c r="K40" s="18" t="n">
        <v>0.86739734</v>
      </c>
      <c r="L40" s="20" t="n">
        <v>0.38541542</v>
      </c>
      <c r="M40" s="18" t="n">
        <v>0.2476914</v>
      </c>
      <c r="N40" s="20" t="n">
        <v>0.21842955</v>
      </c>
      <c r="O40" s="18" t="n">
        <v>0</v>
      </c>
      <c r="P40" s="20" t="n">
        <v>0</v>
      </c>
      <c r="Q40" s="18" t="n">
        <v>11.02735571</v>
      </c>
      <c r="R40" s="20" t="n">
        <v>1.20509332</v>
      </c>
    </row>
    <row r="41" spans="1:18">
      <c r="A41" s="15" t="s">
        <v>463</v>
      </c>
      <c r="B41" s="17" t="n">
        <v>5712</v>
      </c>
      <c r="C41" s="18">
        <f>(5019.0/B41*100)</f>
        <v/>
      </c>
      <c r="D41" s="19" t="n">
        <v>693</v>
      </c>
      <c r="E41" s="18" t="n">
        <v>51.61412335</v>
      </c>
      <c r="F41" s="20" t="n">
        <v>1.82309248</v>
      </c>
      <c r="G41" s="18" t="n">
        <v>44.54061078</v>
      </c>
      <c r="H41" s="20" t="n">
        <v>1.72641871</v>
      </c>
      <c r="I41" s="18" t="n">
        <v>0</v>
      </c>
      <c r="J41" s="20" t="n">
        <v>0</v>
      </c>
      <c r="K41" s="18" t="n">
        <v>0.47004073</v>
      </c>
      <c r="L41" s="20" t="n">
        <v>0.27408076</v>
      </c>
      <c r="M41" s="18" t="n">
        <v>0</v>
      </c>
      <c r="N41" s="20" t="n">
        <v>0</v>
      </c>
      <c r="O41" s="18" t="n">
        <v>0</v>
      </c>
      <c r="P41" s="20" t="n">
        <v>0</v>
      </c>
      <c r="Q41" s="18" t="n">
        <v>3.37522515</v>
      </c>
      <c r="R41" s="20" t="n">
        <v>0.75368267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(20921.0/B46*100)</f>
        <v/>
      </c>
      <c r="D46" s="19" t="n">
        <v>2220</v>
      </c>
      <c r="E46" s="18" t="n">
        <v>59.57743641</v>
      </c>
      <c r="F46" s="20" t="n">
        <v>1.56270141</v>
      </c>
      <c r="G46" s="18" t="n">
        <v>21.94455923</v>
      </c>
      <c r="H46" s="20" t="n">
        <v>1.06883354</v>
      </c>
      <c r="I46" s="18" t="n">
        <v>0</v>
      </c>
      <c r="J46" s="20" t="n">
        <v>0</v>
      </c>
      <c r="K46" s="18" t="n">
        <v>2.01098439</v>
      </c>
      <c r="L46" s="20" t="n">
        <v>0.4435022</v>
      </c>
      <c r="M46" s="18" t="n">
        <v>0.30102434</v>
      </c>
      <c r="N46" s="20" t="n">
        <v>0.15724068</v>
      </c>
      <c r="O46" s="18" t="n">
        <v>0</v>
      </c>
      <c r="P46" s="20" t="n">
        <v>0</v>
      </c>
      <c r="Q46" s="18" t="n">
        <v>16.16599563</v>
      </c>
      <c r="R46" s="20" t="n">
        <v>1.02354372</v>
      </c>
    </row>
    <row r="47" spans="1:18">
      <c r="A47" s="15" t="s">
        <v>470</v>
      </c>
      <c r="B47" s="17" t="n">
        <v>5928</v>
      </c>
      <c r="C47" s="18">
        <f>(5239.0/B47*100)</f>
        <v/>
      </c>
      <c r="D47" s="19" t="n">
        <v>689</v>
      </c>
      <c r="E47" s="18" t="n">
        <v>37.62547146</v>
      </c>
      <c r="F47" s="20" t="n">
        <v>1.77432763</v>
      </c>
      <c r="G47" s="18" t="n">
        <v>32.69620787</v>
      </c>
      <c r="H47" s="20" t="n">
        <v>1.90935377</v>
      </c>
      <c r="I47" s="18" t="n">
        <v>0</v>
      </c>
      <c r="J47" s="20" t="n">
        <v>0</v>
      </c>
      <c r="K47" s="18" t="n">
        <v>0.71668465</v>
      </c>
      <c r="L47" s="20" t="n">
        <v>0.30609524</v>
      </c>
      <c r="M47" s="18" t="n">
        <v>0</v>
      </c>
      <c r="N47" s="20" t="n">
        <v>0</v>
      </c>
      <c r="O47" s="18" t="n">
        <v>0</v>
      </c>
      <c r="P47" s="20" t="n">
        <v>0</v>
      </c>
      <c r="Q47" s="18" t="n">
        <v>28.96163603</v>
      </c>
      <c r="R47" s="20" t="n">
        <v>1.82262615</v>
      </c>
    </row>
    <row r="48" spans="1:18">
      <c r="A48" s="15" t="s">
        <v>471</v>
      </c>
      <c r="B48" s="17" t="n">
        <v>9841</v>
      </c>
      <c r="C48" s="18">
        <f>(8651.0/B48*100)</f>
        <v/>
      </c>
      <c r="D48" s="19" t="n">
        <v>1190</v>
      </c>
      <c r="E48" s="18" t="n">
        <v>34.59848109</v>
      </c>
      <c r="F48" s="20" t="n">
        <v>2.25958308</v>
      </c>
      <c r="G48" s="18" t="n">
        <v>55.24719202</v>
      </c>
      <c r="H48" s="20" t="n">
        <v>2.39170843</v>
      </c>
      <c r="I48" s="18" t="n">
        <v>0</v>
      </c>
      <c r="J48" s="20" t="n">
        <v>0</v>
      </c>
      <c r="K48" s="18" t="n">
        <v>1.63952483</v>
      </c>
      <c r="L48" s="20" t="n">
        <v>0.6185082200000001</v>
      </c>
      <c r="M48" s="18" t="n">
        <v>0</v>
      </c>
      <c r="N48" s="20" t="n">
        <v>0</v>
      </c>
      <c r="O48" s="18" t="n">
        <v>0</v>
      </c>
      <c r="P48" s="20" t="n">
        <v>0</v>
      </c>
      <c r="Q48" s="18" t="n">
        <v>8.514802059999999</v>
      </c>
      <c r="R48" s="20" t="n">
        <v>1.40220811</v>
      </c>
    </row>
    <row r="49" spans="1:18">
      <c r="A49" s="15" t="s">
        <v>472</v>
      </c>
      <c r="B49" s="17" t="n">
        <v>11795</v>
      </c>
      <c r="C49" s="18">
        <f>(10390.0/B49*100)</f>
        <v/>
      </c>
      <c r="D49" s="19" t="n">
        <v>1405</v>
      </c>
      <c r="E49" s="18" t="n">
        <v>59.90660464</v>
      </c>
      <c r="F49" s="20" t="n">
        <v>1.75887155</v>
      </c>
      <c r="G49" s="18" t="n">
        <v>29.99279124</v>
      </c>
      <c r="H49" s="20" t="n">
        <v>1.68013247</v>
      </c>
      <c r="I49" s="18" t="n">
        <v>0</v>
      </c>
      <c r="J49" s="20" t="n">
        <v>0</v>
      </c>
      <c r="K49" s="18" t="n">
        <v>2.089725</v>
      </c>
      <c r="L49" s="20" t="n">
        <v>0.49857196</v>
      </c>
      <c r="M49" s="18" t="n">
        <v>0.02321429</v>
      </c>
      <c r="N49" s="20" t="n">
        <v>0.02348185</v>
      </c>
      <c r="O49" s="18" t="n">
        <v>0</v>
      </c>
      <c r="P49" s="20" t="n">
        <v>0</v>
      </c>
      <c r="Q49" s="18" t="n">
        <v>7.98766483</v>
      </c>
      <c r="R49" s="20" t="n">
        <v>1.09304539</v>
      </c>
    </row>
    <row r="50" spans="1:18">
      <c r="A50" s="15" t="s">
        <v>473</v>
      </c>
      <c r="B50" s="17" t="n">
        <v>6866</v>
      </c>
      <c r="C50" s="18">
        <f>(6187.0/B50*100)</f>
        <v/>
      </c>
      <c r="D50" s="19" t="n">
        <v>679</v>
      </c>
      <c r="E50" s="18" t="n">
        <v>68.23478922</v>
      </c>
      <c r="F50" s="20" t="n">
        <v>1.97597617</v>
      </c>
      <c r="G50" s="18" t="n">
        <v>25.16011767</v>
      </c>
      <c r="H50" s="20" t="n">
        <v>1.70064083</v>
      </c>
      <c r="I50" s="18" t="n">
        <v>0</v>
      </c>
      <c r="J50" s="20" t="n">
        <v>0</v>
      </c>
      <c r="K50" s="18" t="n">
        <v>0.7874354099999999</v>
      </c>
      <c r="L50" s="20" t="n">
        <v>0.38034485</v>
      </c>
      <c r="M50" s="18" t="n">
        <v>0</v>
      </c>
      <c r="N50" s="20" t="n">
        <v>0</v>
      </c>
      <c r="O50" s="18" t="n">
        <v>0</v>
      </c>
      <c r="P50" s="20" t="n">
        <v>0</v>
      </c>
      <c r="Q50" s="18" t="n">
        <v>5.8176577</v>
      </c>
      <c r="R50" s="20" t="n">
        <v>1.05851094</v>
      </c>
    </row>
    <row r="51" spans="1:18">
      <c r="A51" s="15" t="s">
        <v>474</v>
      </c>
      <c r="B51" s="17" t="n">
        <v>5809</v>
      </c>
      <c r="C51" s="18">
        <f>(5094.0/B51*100)</f>
        <v/>
      </c>
      <c r="D51" s="19" t="n">
        <v>715</v>
      </c>
      <c r="E51" s="18" t="n">
        <v>48.32549214</v>
      </c>
      <c r="F51" s="20" t="n">
        <v>1.67051634</v>
      </c>
      <c r="G51" s="18" t="n">
        <v>35.79405126</v>
      </c>
      <c r="H51" s="20" t="n">
        <v>1.60286601</v>
      </c>
      <c r="I51" s="18" t="n">
        <v>0</v>
      </c>
      <c r="J51" s="20" t="n">
        <v>0</v>
      </c>
      <c r="K51" s="18" t="n">
        <v>0.12865491</v>
      </c>
      <c r="L51" s="20" t="n">
        <v>0.12834606</v>
      </c>
      <c r="M51" s="18" t="n">
        <v>0</v>
      </c>
      <c r="N51" s="20" t="n">
        <v>0</v>
      </c>
      <c r="O51" s="18" t="n">
        <v>0</v>
      </c>
      <c r="P51" s="20" t="n">
        <v>0</v>
      </c>
      <c r="Q51" s="18" t="n">
        <v>15.75180169</v>
      </c>
      <c r="R51" s="20" t="n">
        <v>1.4258309</v>
      </c>
    </row>
    <row r="52" spans="1:18">
      <c r="A52" s="15" t="s">
        <v>475</v>
      </c>
      <c r="B52" s="17" t="n">
        <v>5571</v>
      </c>
      <c r="C52" s="18">
        <f>(4887.0/B52*100)</f>
        <v/>
      </c>
      <c r="D52" s="19" t="n">
        <v>684</v>
      </c>
      <c r="E52" s="18" t="n">
        <v>50.05796159</v>
      </c>
      <c r="F52" s="20" t="n">
        <v>2.00750833</v>
      </c>
      <c r="G52" s="18" t="n">
        <v>25.76800887</v>
      </c>
      <c r="H52" s="20" t="n">
        <v>1.54351239</v>
      </c>
      <c r="I52" s="18" t="n">
        <v>0</v>
      </c>
      <c r="J52" s="20" t="n">
        <v>0</v>
      </c>
      <c r="K52" s="18" t="n">
        <v>0.91091045</v>
      </c>
      <c r="L52" s="20" t="n">
        <v>0.38588725</v>
      </c>
      <c r="M52" s="18" t="n">
        <v>0.11279935</v>
      </c>
      <c r="N52" s="20" t="n">
        <v>0.11262677</v>
      </c>
      <c r="O52" s="18" t="n">
        <v>0</v>
      </c>
      <c r="P52" s="20" t="n">
        <v>0</v>
      </c>
      <c r="Q52" s="18" t="n">
        <v>23.15031974</v>
      </c>
      <c r="R52" s="20" t="n">
        <v>1.46956654</v>
      </c>
    </row>
    <row r="53" spans="1:18">
      <c r="A53" s="15" t="s">
        <v>476</v>
      </c>
      <c r="B53" s="17" t="n">
        <v>4740</v>
      </c>
      <c r="C53" s="18">
        <f>(3960.0/B53*100)</f>
        <v/>
      </c>
      <c r="D53" s="19" t="n">
        <v>780</v>
      </c>
      <c r="E53" s="18" t="n">
        <v>50.78310038</v>
      </c>
      <c r="F53" s="20" t="n">
        <v>1.98113405</v>
      </c>
      <c r="G53" s="18" t="n">
        <v>17.13656202</v>
      </c>
      <c r="H53" s="20" t="n">
        <v>1.452503</v>
      </c>
      <c r="I53" s="18" t="n">
        <v>0</v>
      </c>
      <c r="J53" s="20" t="n">
        <v>0</v>
      </c>
      <c r="K53" s="18" t="n">
        <v>15.43681535</v>
      </c>
      <c r="L53" s="20" t="n">
        <v>1.37611311</v>
      </c>
      <c r="M53" s="18" t="n">
        <v>0.95110093</v>
      </c>
      <c r="N53" s="20" t="n">
        <v>0.91926255</v>
      </c>
      <c r="O53" s="18" t="n">
        <v>0</v>
      </c>
      <c r="P53" s="20" t="n">
        <v>0</v>
      </c>
      <c r="Q53" s="18" t="n">
        <v>15.69242133</v>
      </c>
      <c r="R53" s="20" t="n">
        <v>1.36568517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(4699.0/B55*100)</f>
        <v/>
      </c>
      <c r="D55" s="19" t="n">
        <v>660</v>
      </c>
      <c r="E55" s="18" t="n">
        <v>28.16183479</v>
      </c>
      <c r="F55" s="20" t="n">
        <v>1.84225002</v>
      </c>
      <c r="G55" s="18" t="n">
        <v>66.88035231000001</v>
      </c>
      <c r="H55" s="20" t="n">
        <v>2.08126278</v>
      </c>
      <c r="I55" s="18" t="n">
        <v>0</v>
      </c>
      <c r="J55" s="20" t="n">
        <v>0</v>
      </c>
      <c r="K55" s="18" t="n">
        <v>0.40065646</v>
      </c>
      <c r="L55" s="20" t="n">
        <v>0.2310715</v>
      </c>
      <c r="M55" s="18" t="n">
        <v>0</v>
      </c>
      <c r="N55" s="20" t="n">
        <v>0</v>
      </c>
      <c r="O55" s="18" t="n">
        <v>0</v>
      </c>
      <c r="P55" s="20" t="n">
        <v>0</v>
      </c>
      <c r="Q55" s="18" t="n">
        <v>4.55715643</v>
      </c>
      <c r="R55" s="20" t="n">
        <v>0.96847125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(5753.0/B61*100)</f>
        <v/>
      </c>
      <c r="D61" s="19" t="n">
        <v>772</v>
      </c>
      <c r="E61" s="18" t="n">
        <v>51.31314358</v>
      </c>
      <c r="F61" s="20" t="n">
        <v>2.07684532</v>
      </c>
      <c r="G61" s="18" t="n">
        <v>33.54907664</v>
      </c>
      <c r="H61" s="20" t="n">
        <v>1.95767984</v>
      </c>
      <c r="I61" s="18" t="n">
        <v>0</v>
      </c>
      <c r="J61" s="20" t="n">
        <v>0</v>
      </c>
      <c r="K61" s="18" t="n">
        <v>0.33993718</v>
      </c>
      <c r="L61" s="20" t="n">
        <v>0.20697826</v>
      </c>
      <c r="M61" s="18" t="n">
        <v>0</v>
      </c>
      <c r="N61" s="20" t="n">
        <v>0</v>
      </c>
      <c r="O61" s="18" t="n">
        <v>0</v>
      </c>
      <c r="P61" s="20" t="n">
        <v>0</v>
      </c>
      <c r="Q61" s="18" t="n">
        <v>14.7978426</v>
      </c>
      <c r="R61" s="20" t="n">
        <v>1.54235082</v>
      </c>
    </row>
    <row r="62" spans="1:18">
      <c r="A62" s="15" t="s">
        <v>486</v>
      </c>
      <c r="B62" s="17" t="n">
        <v>4476</v>
      </c>
      <c r="C62" s="18">
        <f>(3936.0/B62*100)</f>
        <v/>
      </c>
      <c r="D62" s="19" t="n">
        <v>540</v>
      </c>
      <c r="E62" s="18" t="n">
        <v>63.34369039</v>
      </c>
      <c r="F62" s="20" t="n">
        <v>2.16069816</v>
      </c>
      <c r="G62" s="18" t="n">
        <v>33.31736095</v>
      </c>
      <c r="H62" s="20" t="n">
        <v>2.18000997</v>
      </c>
      <c r="I62" s="18" t="n">
        <v>0</v>
      </c>
      <c r="J62" s="20" t="n">
        <v>0</v>
      </c>
      <c r="K62" s="18" t="n">
        <v>0.19009563</v>
      </c>
      <c r="L62" s="20" t="n">
        <v>0.18841026</v>
      </c>
      <c r="M62" s="18" t="n">
        <v>0</v>
      </c>
      <c r="N62" s="20" t="n">
        <v>0</v>
      </c>
      <c r="O62" s="18" t="n">
        <v>0</v>
      </c>
      <c r="P62" s="20" t="n">
        <v>0</v>
      </c>
      <c r="Q62" s="18" t="n">
        <v>3.14885303</v>
      </c>
      <c r="R62" s="20" t="n">
        <v>0.77644243</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(4980.0/B67*100)</f>
        <v/>
      </c>
      <c r="D67" s="19" t="n">
        <v>685</v>
      </c>
      <c r="E67" s="18" t="n">
        <v>44.96897975</v>
      </c>
      <c r="F67" s="20" t="n">
        <v>1.90550863</v>
      </c>
      <c r="G67" s="18" t="n">
        <v>18.69597427</v>
      </c>
      <c r="H67" s="20" t="n">
        <v>1.57741202</v>
      </c>
      <c r="I67" s="18" t="n">
        <v>0</v>
      </c>
      <c r="J67" s="20" t="n">
        <v>0</v>
      </c>
      <c r="K67" s="18" t="n">
        <v>2.26420008</v>
      </c>
      <c r="L67" s="20" t="n">
        <v>0.58758561</v>
      </c>
      <c r="M67" s="18" t="n">
        <v>0.38359553</v>
      </c>
      <c r="N67" s="20" t="n">
        <v>0.28330071</v>
      </c>
      <c r="O67" s="18" t="n">
        <v>0</v>
      </c>
      <c r="P67" s="20" t="n">
        <v>0</v>
      </c>
      <c r="Q67" s="18" t="n">
        <v>33.68725038</v>
      </c>
      <c r="R67" s="20" t="n">
        <v>1.47544904</v>
      </c>
    </row>
    <row r="68" spans="1:18">
      <c r="A68" s="15" t="s">
        <v>492</v>
      </c>
      <c r="B68" s="17" t="n">
        <v>6971</v>
      </c>
      <c r="C68" s="18">
        <f>(6248.0/B68*100)</f>
        <v/>
      </c>
      <c r="D68" s="19" t="n">
        <v>723</v>
      </c>
      <c r="E68" s="18" t="n">
        <v>78.07883913000001</v>
      </c>
      <c r="F68" s="20" t="n">
        <v>1.52918413</v>
      </c>
      <c r="G68" s="18" t="n">
        <v>13.94606124</v>
      </c>
      <c r="H68" s="20" t="n">
        <v>1.31369488</v>
      </c>
      <c r="I68" s="18" t="n">
        <v>0</v>
      </c>
      <c r="J68" s="20" t="n">
        <v>0</v>
      </c>
      <c r="K68" s="18" t="n">
        <v>0.21936614</v>
      </c>
      <c r="L68" s="20" t="n">
        <v>0.15469364</v>
      </c>
      <c r="M68" s="18" t="n">
        <v>0.10478552</v>
      </c>
      <c r="N68" s="20" t="n">
        <v>0.10460486</v>
      </c>
      <c r="O68" s="18" t="n">
        <v>0</v>
      </c>
      <c r="P68" s="20" t="n">
        <v>0</v>
      </c>
      <c r="Q68" s="18" t="n">
        <v>7.65094797</v>
      </c>
      <c r="R68" s="20" t="n">
        <v>0.90629966</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(10062.0/B70*100)</f>
        <v/>
      </c>
      <c r="D70" s="19" t="n">
        <v>2021</v>
      </c>
      <c r="E70" s="18" t="n">
        <v>62.92112917</v>
      </c>
      <c r="F70" s="20" t="n">
        <v>0.8963886</v>
      </c>
      <c r="G70" s="18" t="n">
        <v>16.9320393</v>
      </c>
      <c r="H70" s="20" t="n">
        <v>0.82370656</v>
      </c>
      <c r="I70" s="18" t="n">
        <v>0</v>
      </c>
      <c r="J70" s="20" t="n">
        <v>0</v>
      </c>
      <c r="K70" s="18" t="n">
        <v>4.28101317</v>
      </c>
      <c r="L70" s="20" t="n">
        <v>0.44553138</v>
      </c>
      <c r="M70" s="18" t="n">
        <v>0.0948615</v>
      </c>
      <c r="N70" s="20" t="n">
        <v>0.06755374</v>
      </c>
      <c r="O70" s="18" t="n">
        <v>0</v>
      </c>
      <c r="P70" s="20" t="n">
        <v>0</v>
      </c>
      <c r="Q70" s="18" t="n">
        <v>15.77095687</v>
      </c>
      <c r="R70" s="20" t="n">
        <v>0.7590881</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(5354.0/B72*100)</f>
        <v/>
      </c>
      <c r="D72" s="19" t="n">
        <v>682</v>
      </c>
      <c r="E72" s="18" t="n">
        <v>50.35846057</v>
      </c>
      <c r="F72" s="20" t="n">
        <v>1.95846375</v>
      </c>
      <c r="G72" s="18" t="n">
        <v>31.94267871</v>
      </c>
      <c r="H72" s="20" t="n">
        <v>1.9306653</v>
      </c>
      <c r="I72" s="18" t="n">
        <v>0</v>
      </c>
      <c r="J72" s="20" t="n">
        <v>0</v>
      </c>
      <c r="K72" s="18" t="n">
        <v>0.5570967</v>
      </c>
      <c r="L72" s="20" t="n">
        <v>0.27887003</v>
      </c>
      <c r="M72" s="18" t="n">
        <v>0.34351559</v>
      </c>
      <c r="N72" s="20" t="n">
        <v>0.16237</v>
      </c>
      <c r="O72" s="18" t="n">
        <v>0</v>
      </c>
      <c r="P72" s="20" t="n">
        <v>0</v>
      </c>
      <c r="Q72" s="18" t="n">
        <v>16.79824843</v>
      </c>
      <c r="R72" s="20" t="n">
        <v>1.72242012</v>
      </c>
    </row>
    <row r="73" spans="1:18">
      <c r="A73" s="15" t="s">
        <v>497</v>
      </c>
      <c r="B73" s="17" t="n">
        <v>6115</v>
      </c>
      <c r="C73" s="18">
        <f>(5344.0/B73*100)</f>
        <v/>
      </c>
      <c r="D73" s="19" t="n">
        <v>771</v>
      </c>
      <c r="E73" s="18" t="n">
        <v>43.56045576</v>
      </c>
      <c r="F73" s="20" t="n">
        <v>1.74312581</v>
      </c>
      <c r="G73" s="18" t="n">
        <v>53.11247706</v>
      </c>
      <c r="H73" s="20" t="n">
        <v>1.72987657</v>
      </c>
      <c r="I73" s="18" t="n">
        <v>0</v>
      </c>
      <c r="J73" s="20" t="n">
        <v>0</v>
      </c>
      <c r="K73" s="18" t="n">
        <v>0.28047694</v>
      </c>
      <c r="L73" s="20" t="n">
        <v>0.20250256</v>
      </c>
      <c r="M73" s="18" t="n">
        <v>0</v>
      </c>
      <c r="N73" s="20" t="n">
        <v>0</v>
      </c>
      <c r="O73" s="18" t="n">
        <v>0</v>
      </c>
      <c r="P73" s="20" t="n">
        <v>0</v>
      </c>
      <c r="Q73" s="18" t="n">
        <v>3.04659024</v>
      </c>
      <c r="R73" s="20" t="n">
        <v>0.76730284</v>
      </c>
    </row>
    <row r="74" spans="1:18">
      <c r="A74" s="15" t="s">
        <v>498</v>
      </c>
      <c r="B74" s="17" t="n">
        <v>7708</v>
      </c>
      <c r="C74" s="18">
        <f>(6755.0/B74*100)</f>
        <v/>
      </c>
      <c r="D74" s="19" t="n">
        <v>953</v>
      </c>
      <c r="E74" s="18" t="n">
        <v>31.95019991</v>
      </c>
      <c r="F74" s="20" t="n">
        <v>1.39467895</v>
      </c>
      <c r="G74" s="18" t="n">
        <v>60.0815135</v>
      </c>
      <c r="H74" s="20" t="n">
        <v>1.51767257</v>
      </c>
      <c r="I74" s="18" t="n">
        <v>0</v>
      </c>
      <c r="J74" s="20" t="n">
        <v>0</v>
      </c>
      <c r="K74" s="18" t="n">
        <v>0.16856545</v>
      </c>
      <c r="L74" s="20" t="n">
        <v>0.11925661</v>
      </c>
      <c r="M74" s="18" t="n">
        <v>0</v>
      </c>
      <c r="N74" s="20" t="n">
        <v>0</v>
      </c>
      <c r="O74" s="18" t="n">
        <v>0</v>
      </c>
      <c r="P74" s="20" t="n">
        <v>0</v>
      </c>
      <c r="Q74" s="18" t="n">
        <v>7.79972114</v>
      </c>
      <c r="R74" s="20" t="n">
        <v>0.9801766200000001</v>
      </c>
    </row>
    <row r="75" spans="1:18">
      <c r="A75" s="15" t="s">
        <v>499</v>
      </c>
      <c r="B75" s="17" t="n">
        <v>8249</v>
      </c>
      <c r="C75" s="18">
        <f>(7282.0/B75*100)</f>
        <v/>
      </c>
      <c r="D75" s="19" t="n">
        <v>967</v>
      </c>
      <c r="E75" s="18" t="n">
        <v>79.26641699</v>
      </c>
      <c r="F75" s="20" t="n">
        <v>1.79932694</v>
      </c>
      <c r="G75" s="18" t="n">
        <v>17.47141538</v>
      </c>
      <c r="H75" s="20" t="n">
        <v>1.68706049</v>
      </c>
      <c r="I75" s="18" t="n">
        <v>0</v>
      </c>
      <c r="J75" s="20" t="n">
        <v>0</v>
      </c>
      <c r="K75" s="18" t="n">
        <v>0.30046742</v>
      </c>
      <c r="L75" s="20" t="n">
        <v>0.21584071</v>
      </c>
      <c r="M75" s="18" t="n">
        <v>0.1466821</v>
      </c>
      <c r="N75" s="20" t="n">
        <v>0.14148529</v>
      </c>
      <c r="O75" s="18" t="n">
        <v>0</v>
      </c>
      <c r="P75" s="20" t="n">
        <v>0</v>
      </c>
      <c r="Q75" s="18" t="n">
        <v>2.81501811</v>
      </c>
      <c r="R75" s="20" t="n">
        <v>0.72215355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(4782.0/B77*100)</f>
        <v/>
      </c>
      <c r="D77" s="19" t="n">
        <v>593</v>
      </c>
      <c r="E77" s="18" t="n">
        <v>56.74447661</v>
      </c>
      <c r="F77" s="20" t="n">
        <v>2.35701548</v>
      </c>
      <c r="G77" s="18" t="n">
        <v>14.95402833</v>
      </c>
      <c r="H77" s="20" t="n">
        <v>1.65220514</v>
      </c>
      <c r="I77" s="18" t="n">
        <v>0</v>
      </c>
      <c r="J77" s="20" t="n">
        <v>0</v>
      </c>
      <c r="K77" s="18" t="n">
        <v>3.3212971</v>
      </c>
      <c r="L77" s="20" t="n">
        <v>0.85208811</v>
      </c>
      <c r="M77" s="18" t="n">
        <v>0</v>
      </c>
      <c r="N77" s="20" t="n">
        <v>0</v>
      </c>
      <c r="O77" s="18" t="n">
        <v>0</v>
      </c>
      <c r="P77" s="20" t="n">
        <v>0</v>
      </c>
      <c r="Q77" s="18" t="n">
        <v>24.98019797</v>
      </c>
      <c r="R77" s="20" t="n">
        <v>2.24665562</v>
      </c>
    </row>
    <row r="78" spans="1:18">
      <c r="A78" s="15" t="s">
        <v>502</v>
      </c>
      <c r="B78" s="17" t="n">
        <v>14167</v>
      </c>
      <c r="C78" s="18">
        <f>(12409.0/B78*100)</f>
        <v/>
      </c>
      <c r="D78" s="19" t="n">
        <v>1758</v>
      </c>
      <c r="E78" s="18" t="n">
        <v>67.93515120000001</v>
      </c>
      <c r="F78" s="20" t="n">
        <v>1.28138955</v>
      </c>
      <c r="G78" s="18" t="n">
        <v>21.78629612</v>
      </c>
      <c r="H78" s="20" t="n">
        <v>1.08034835</v>
      </c>
      <c r="I78" s="18" t="n">
        <v>0</v>
      </c>
      <c r="J78" s="20" t="n">
        <v>0</v>
      </c>
      <c r="K78" s="18" t="n">
        <v>1.19454008</v>
      </c>
      <c r="L78" s="20" t="n">
        <v>0.32481453</v>
      </c>
      <c r="M78" s="18" t="n">
        <v>0.04836095</v>
      </c>
      <c r="N78" s="20" t="n">
        <v>0.03471524</v>
      </c>
      <c r="O78" s="18" t="n">
        <v>0</v>
      </c>
      <c r="P78" s="20" t="n">
        <v>0</v>
      </c>
      <c r="Q78" s="18" t="n">
        <v>9.03565165</v>
      </c>
      <c r="R78" s="20" t="n">
        <v>0.7863685500000001</v>
      </c>
    </row>
    <row r="79" spans="1:18">
      <c r="A79" s="15" t="s">
        <v>503</v>
      </c>
      <c r="B79" s="17" t="n">
        <v>6062</v>
      </c>
      <c r="C79" s="18">
        <f>(5340.0/B79*100)</f>
        <v/>
      </c>
      <c r="D79" s="19" t="n">
        <v>722</v>
      </c>
      <c r="E79" s="18" t="n">
        <v>50.28674198</v>
      </c>
      <c r="F79" s="20" t="n">
        <v>2.30628935</v>
      </c>
      <c r="G79" s="18" t="n">
        <v>24.63732421</v>
      </c>
      <c r="H79" s="20" t="n">
        <v>1.88552159</v>
      </c>
      <c r="I79" s="18" t="n">
        <v>0</v>
      </c>
      <c r="J79" s="20" t="n">
        <v>0</v>
      </c>
      <c r="K79" s="18" t="n">
        <v>2.4539941</v>
      </c>
      <c r="L79" s="20" t="n">
        <v>0.53731237</v>
      </c>
      <c r="M79" s="18" t="n">
        <v>0.33662226</v>
      </c>
      <c r="N79" s="20" t="n">
        <v>0.17550852</v>
      </c>
      <c r="O79" s="18" t="n">
        <v>0</v>
      </c>
      <c r="P79" s="20" t="n">
        <v>0</v>
      </c>
      <c r="Q79" s="18" t="n">
        <v>22.28531745</v>
      </c>
      <c r="R79" s="20" t="n">
        <v>1.71259137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(28431.0/B82*100)</f>
        <v/>
      </c>
      <c r="D82" s="19" t="n">
        <v>3899</v>
      </c>
      <c r="E82" s="18" t="n">
        <v>46.13213523</v>
      </c>
      <c r="F82" s="20" t="n">
        <v>1.10745353</v>
      </c>
      <c r="G82" s="18" t="n">
        <v>41.98345223</v>
      </c>
      <c r="H82" s="20" t="n">
        <v>1.25473016</v>
      </c>
      <c r="I82" s="18" t="n">
        <v>0</v>
      </c>
      <c r="J82" s="20" t="n">
        <v>0</v>
      </c>
      <c r="K82" s="18" t="n">
        <v>0.70865716</v>
      </c>
      <c r="L82" s="20" t="n">
        <v>0.20057934</v>
      </c>
      <c r="M82" s="18" t="n">
        <v>0.05291101</v>
      </c>
      <c r="N82" s="20" t="n">
        <v>0.05020539</v>
      </c>
      <c r="O82" s="18" t="n">
        <v>0</v>
      </c>
      <c r="P82" s="20" t="n">
        <v>0</v>
      </c>
      <c r="Q82" s="18" t="n">
        <v>11.12284438</v>
      </c>
      <c r="R82" s="20" t="n">
        <v>0.72118271</v>
      </c>
    </row>
    <row r="83" spans="1:18">
      <c r="A83" s="15" t="s">
        <v>507</v>
      </c>
      <c r="B83" s="17" t="n">
        <v>1652</v>
      </c>
      <c r="C83" s="18">
        <f>(1458.0/B83*100)</f>
        <v/>
      </c>
      <c r="D83" s="19" t="n">
        <v>194</v>
      </c>
      <c r="E83" s="18" t="n">
        <v>42.14926005</v>
      </c>
      <c r="F83" s="20" t="n">
        <v>3.60542016</v>
      </c>
      <c r="G83" s="18" t="n">
        <v>57.36836066</v>
      </c>
      <c r="H83" s="20" t="n">
        <v>3.52807194</v>
      </c>
      <c r="I83" s="18" t="n">
        <v>0</v>
      </c>
      <c r="J83" s="20" t="n">
        <v>0</v>
      </c>
      <c r="K83" s="18" t="n">
        <v>0</v>
      </c>
      <c r="L83" s="20" t="n">
        <v>0</v>
      </c>
      <c r="M83" s="18" t="n">
        <v>0</v>
      </c>
      <c r="N83" s="20" t="n">
        <v>0</v>
      </c>
      <c r="O83" s="18" t="n">
        <v>0</v>
      </c>
      <c r="P83" s="20" t="n">
        <v>0</v>
      </c>
      <c r="Q83" s="18" t="n">
        <v>0.48237928</v>
      </c>
      <c r="R83" s="20" t="n">
        <v>0.4822098</v>
      </c>
    </row>
    <row r="84" spans="1:18">
      <c r="A84" s="23" t="s">
        <v>508</v>
      </c>
      <c r="B84" s="24" t="n">
        <v>1887</v>
      </c>
      <c r="C84" s="25">
        <f>(1658.0/B84*100)</f>
        <v/>
      </c>
      <c r="D84" s="19" t="n">
        <v>229</v>
      </c>
      <c r="E84" s="18" t="n">
        <v>41.78749218</v>
      </c>
      <c r="F84" s="20" t="n">
        <v>2.74324719</v>
      </c>
      <c r="G84" s="18" t="n">
        <v>55.01187309</v>
      </c>
      <c r="H84" s="20" t="n">
        <v>2.71605337</v>
      </c>
      <c r="I84" s="18" t="n">
        <v>0</v>
      </c>
      <c r="J84" s="20" t="n">
        <v>0</v>
      </c>
      <c r="K84" s="18" t="n">
        <v>0</v>
      </c>
      <c r="L84" s="20" t="n">
        <v>0</v>
      </c>
      <c r="M84" s="18" t="n">
        <v>0</v>
      </c>
      <c r="N84" s="20" t="n">
        <v>0</v>
      </c>
      <c r="O84" s="18" t="n">
        <v>0</v>
      </c>
      <c r="P84" s="20" t="n">
        <v>0</v>
      </c>
      <c r="Q84" s="18" t="n">
        <v>3.20063473</v>
      </c>
      <c r="R84" s="20" t="n">
        <v>1.04885624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(12829.0/B7*100)</f>
        <v/>
      </c>
      <c r="D7" s="19" t="n">
        <v>1701</v>
      </c>
      <c r="E7" s="18" t="n">
        <v>46.1621832</v>
      </c>
      <c r="F7" s="20" t="n">
        <v>1.15827019</v>
      </c>
      <c r="G7" s="18" t="n">
        <v>47.71243918</v>
      </c>
      <c r="H7" s="20" t="n">
        <v>1.19597751</v>
      </c>
      <c r="I7" s="18" t="n">
        <v>0</v>
      </c>
      <c r="J7" s="20" t="n">
        <v>0</v>
      </c>
      <c r="K7" s="18" t="n">
        <v>0.62955104</v>
      </c>
      <c r="L7" s="20" t="n">
        <v>0.2418239</v>
      </c>
      <c r="M7" s="18" t="n">
        <v>0.03764896</v>
      </c>
      <c r="N7" s="20" t="n">
        <v>0.0249416</v>
      </c>
      <c r="O7" s="18" t="n">
        <v>0</v>
      </c>
      <c r="P7" s="20" t="n">
        <v>0</v>
      </c>
      <c r="Q7" s="18" t="n">
        <v>5.45817761</v>
      </c>
      <c r="R7" s="20" t="n">
        <v>0.62274421</v>
      </c>
    </row>
    <row r="8" spans="1:18">
      <c r="A8" s="15" t="s">
        <v>430</v>
      </c>
      <c r="B8" s="17" t="n">
        <v>7007</v>
      </c>
      <c r="C8" s="18">
        <f>(6129.0/B8*100)</f>
        <v/>
      </c>
      <c r="D8" s="19" t="n">
        <v>878</v>
      </c>
      <c r="E8" s="18" t="n">
        <v>57.80600706</v>
      </c>
      <c r="F8" s="20" t="n">
        <v>2.12861818</v>
      </c>
      <c r="G8" s="18" t="n">
        <v>31.68961894</v>
      </c>
      <c r="H8" s="20" t="n">
        <v>2.0178588</v>
      </c>
      <c r="I8" s="18" t="n">
        <v>0</v>
      </c>
      <c r="J8" s="20" t="n">
        <v>0</v>
      </c>
      <c r="K8" s="18" t="n">
        <v>0.59302638</v>
      </c>
      <c r="L8" s="20" t="n">
        <v>0.2670622</v>
      </c>
      <c r="M8" s="18" t="n">
        <v>0</v>
      </c>
      <c r="N8" s="20" t="n">
        <v>0</v>
      </c>
      <c r="O8" s="18" t="n">
        <v>0</v>
      </c>
      <c r="P8" s="20" t="n">
        <v>0</v>
      </c>
      <c r="Q8" s="18" t="n">
        <v>9.911347620000001</v>
      </c>
      <c r="R8" s="20" t="n">
        <v>1.21161263</v>
      </c>
    </row>
    <row r="9" spans="1:18">
      <c r="A9" s="15" t="s">
        <v>431</v>
      </c>
      <c r="B9" s="17" t="n">
        <v>9651</v>
      </c>
      <c r="C9" s="18">
        <f>(8293.0/B9*100)</f>
        <v/>
      </c>
      <c r="D9" s="19" t="n">
        <v>1358</v>
      </c>
      <c r="E9" s="18" t="n">
        <v>53.95283743</v>
      </c>
      <c r="F9" s="20" t="n">
        <v>1.26144876</v>
      </c>
      <c r="G9" s="18" t="n">
        <v>32.7861802</v>
      </c>
      <c r="H9" s="20" t="n">
        <v>1.39922752</v>
      </c>
      <c r="I9" s="18" t="n">
        <v>0</v>
      </c>
      <c r="J9" s="20" t="n">
        <v>0</v>
      </c>
      <c r="K9" s="18" t="n">
        <v>1.67694963</v>
      </c>
      <c r="L9" s="20" t="n">
        <v>0.35899172</v>
      </c>
      <c r="M9" s="18" t="n">
        <v>0.27856476</v>
      </c>
      <c r="N9" s="20" t="n">
        <v>0.14118207</v>
      </c>
      <c r="O9" s="18" t="n">
        <v>0</v>
      </c>
      <c r="P9" s="20" t="n">
        <v>0</v>
      </c>
      <c r="Q9" s="18" t="n">
        <v>11.30546798</v>
      </c>
      <c r="R9" s="20" t="n">
        <v>1.15099934</v>
      </c>
    </row>
    <row r="10" spans="1:18">
      <c r="A10" s="15" t="s">
        <v>432</v>
      </c>
      <c r="B10" s="17" t="n">
        <v>20058</v>
      </c>
      <c r="C10" s="18">
        <f>(17561.0/B10*100)</f>
        <v/>
      </c>
      <c r="D10" s="19" t="n">
        <v>2497</v>
      </c>
      <c r="E10" s="18" t="n">
        <v>44.00122956</v>
      </c>
      <c r="F10" s="20" t="n">
        <v>1.486072</v>
      </c>
      <c r="G10" s="18" t="n">
        <v>51.67043288</v>
      </c>
      <c r="H10" s="20" t="n">
        <v>1.53990888</v>
      </c>
      <c r="I10" s="18" t="n">
        <v>0</v>
      </c>
      <c r="J10" s="20" t="n">
        <v>0</v>
      </c>
      <c r="K10" s="18" t="n">
        <v>0.70262974</v>
      </c>
      <c r="L10" s="20" t="n">
        <v>0.23019038</v>
      </c>
      <c r="M10" s="18" t="n">
        <v>0.04315143</v>
      </c>
      <c r="N10" s="20" t="n">
        <v>0.04313567</v>
      </c>
      <c r="O10" s="18" t="n">
        <v>0</v>
      </c>
      <c r="P10" s="20" t="n">
        <v>0</v>
      </c>
      <c r="Q10" s="18" t="n">
        <v>3.5825564</v>
      </c>
      <c r="R10" s="20" t="n">
        <v>0.54220957</v>
      </c>
    </row>
    <row r="11" spans="1:18">
      <c r="A11" s="15" t="s">
        <v>433</v>
      </c>
      <c r="B11" s="17" t="n">
        <v>7053</v>
      </c>
      <c r="C11" s="18">
        <f>(6263.0/B11*100)</f>
        <v/>
      </c>
      <c r="D11" s="19" t="n">
        <v>790</v>
      </c>
      <c r="E11" s="18" t="n">
        <v>56.95060527</v>
      </c>
      <c r="F11" s="20" t="n">
        <v>1.91365573</v>
      </c>
      <c r="G11" s="18" t="n">
        <v>31.6141762</v>
      </c>
      <c r="H11" s="20" t="n">
        <v>1.86156987</v>
      </c>
      <c r="I11" s="18" t="n">
        <v>0</v>
      </c>
      <c r="J11" s="20" t="n">
        <v>0</v>
      </c>
      <c r="K11" s="18" t="n">
        <v>2.34637941</v>
      </c>
      <c r="L11" s="20" t="n">
        <v>0.63454591</v>
      </c>
      <c r="M11" s="18" t="n">
        <v>0.46365881</v>
      </c>
      <c r="N11" s="20" t="n">
        <v>0.30442684</v>
      </c>
      <c r="O11" s="18" t="n">
        <v>0</v>
      </c>
      <c r="P11" s="20" t="n">
        <v>0</v>
      </c>
      <c r="Q11" s="18" t="n">
        <v>8.625180309999999</v>
      </c>
      <c r="R11" s="20" t="n">
        <v>1.21237269</v>
      </c>
    </row>
    <row r="12" spans="1:18">
      <c r="A12" s="15" t="s">
        <v>434</v>
      </c>
      <c r="B12" s="17" t="n">
        <v>6894</v>
      </c>
      <c r="C12" s="18">
        <f>(5991.0/B12*100)</f>
        <v/>
      </c>
      <c r="D12" s="19" t="n">
        <v>903</v>
      </c>
      <c r="E12" s="18" t="n">
        <v>59.57894696</v>
      </c>
      <c r="F12" s="20" t="n">
        <v>1.65010697</v>
      </c>
      <c r="G12" s="18" t="n">
        <v>27.55600421</v>
      </c>
      <c r="H12" s="20" t="n">
        <v>1.46892759</v>
      </c>
      <c r="I12" s="18" t="n">
        <v>0</v>
      </c>
      <c r="J12" s="20" t="n">
        <v>0</v>
      </c>
      <c r="K12" s="18" t="n">
        <v>0.40212585</v>
      </c>
      <c r="L12" s="20" t="n">
        <v>0.23276736</v>
      </c>
      <c r="M12" s="18" t="n">
        <v>0.37187216</v>
      </c>
      <c r="N12" s="20" t="n">
        <v>0.22732947</v>
      </c>
      <c r="O12" s="18" t="n">
        <v>0</v>
      </c>
      <c r="P12" s="20" t="n">
        <v>0</v>
      </c>
      <c r="Q12" s="18" t="n">
        <v>12.09105082</v>
      </c>
      <c r="R12" s="20" t="n">
        <v>1.26157438</v>
      </c>
    </row>
    <row r="13" spans="1:18">
      <c r="A13" s="15" t="s">
        <v>435</v>
      </c>
      <c r="B13" s="17" t="n">
        <v>7161</v>
      </c>
      <c r="C13" s="18">
        <f>(5996.0/B13*100)</f>
        <v/>
      </c>
      <c r="D13" s="19" t="n">
        <v>1165</v>
      </c>
      <c r="E13" s="18" t="n">
        <v>50.76707181</v>
      </c>
      <c r="F13" s="20" t="n">
        <v>1.54252303</v>
      </c>
      <c r="G13" s="18" t="n">
        <v>42.50850687</v>
      </c>
      <c r="H13" s="20" t="n">
        <v>1.63975406</v>
      </c>
      <c r="I13" s="18" t="n">
        <v>0</v>
      </c>
      <c r="J13" s="20" t="n">
        <v>0</v>
      </c>
      <c r="K13" s="18" t="n">
        <v>0.87262236</v>
      </c>
      <c r="L13" s="20" t="n">
        <v>0.27650317</v>
      </c>
      <c r="M13" s="18" t="n">
        <v>0</v>
      </c>
      <c r="N13" s="20" t="n">
        <v>0</v>
      </c>
      <c r="O13" s="18" t="n">
        <v>0</v>
      </c>
      <c r="P13" s="20" t="n">
        <v>0</v>
      </c>
      <c r="Q13" s="18" t="n">
        <v>5.85179896</v>
      </c>
      <c r="R13" s="20" t="n">
        <v>0.7830677700000001</v>
      </c>
    </row>
    <row r="14" spans="1:18">
      <c r="A14" s="15" t="s">
        <v>436</v>
      </c>
      <c r="B14" s="17" t="n">
        <v>5587</v>
      </c>
      <c r="C14" s="18">
        <f>(4938.0/B14*100)</f>
        <v/>
      </c>
      <c r="D14" s="19" t="n">
        <v>649</v>
      </c>
      <c r="E14" s="18" t="n">
        <v>74.96043911</v>
      </c>
      <c r="F14" s="20" t="n">
        <v>1.70147658</v>
      </c>
      <c r="G14" s="18" t="n">
        <v>20.34461438</v>
      </c>
      <c r="H14" s="20" t="n">
        <v>1.59422344</v>
      </c>
      <c r="I14" s="18" t="n">
        <v>0</v>
      </c>
      <c r="J14" s="20" t="n">
        <v>0</v>
      </c>
      <c r="K14" s="18" t="n">
        <v>0.41951436</v>
      </c>
      <c r="L14" s="20" t="n">
        <v>0.24765383</v>
      </c>
      <c r="M14" s="18" t="n">
        <v>0.12391951</v>
      </c>
      <c r="N14" s="20" t="n">
        <v>0.12397103</v>
      </c>
      <c r="O14" s="18" t="n">
        <v>0</v>
      </c>
      <c r="P14" s="20" t="n">
        <v>0</v>
      </c>
      <c r="Q14" s="18" t="n">
        <v>4.15151263</v>
      </c>
      <c r="R14" s="20" t="n">
        <v>0.77119836</v>
      </c>
    </row>
    <row r="15" spans="1:18">
      <c r="A15" s="15" t="s">
        <v>437</v>
      </c>
      <c r="B15" s="17" t="n">
        <v>5882</v>
      </c>
      <c r="C15" s="18">
        <f>(5132.0/B15*100)</f>
        <v/>
      </c>
      <c r="D15" s="19" t="n">
        <v>750</v>
      </c>
      <c r="E15" s="18" t="n">
        <v>57.48999212</v>
      </c>
      <c r="F15" s="20" t="n">
        <v>1.96864198</v>
      </c>
      <c r="G15" s="18" t="n">
        <v>35.7528484</v>
      </c>
      <c r="H15" s="20" t="n">
        <v>2.10773098</v>
      </c>
      <c r="I15" s="18" t="n">
        <v>0</v>
      </c>
      <c r="J15" s="20" t="n">
        <v>0</v>
      </c>
      <c r="K15" s="18" t="n">
        <v>0.76867698</v>
      </c>
      <c r="L15" s="20" t="n">
        <v>0.36934979</v>
      </c>
      <c r="M15" s="18" t="n">
        <v>0</v>
      </c>
      <c r="N15" s="20" t="n">
        <v>0</v>
      </c>
      <c r="O15" s="18" t="n">
        <v>0</v>
      </c>
      <c r="P15" s="20" t="n">
        <v>0</v>
      </c>
      <c r="Q15" s="18" t="n">
        <v>5.98848249</v>
      </c>
      <c r="R15" s="20" t="n">
        <v>1.143018</v>
      </c>
    </row>
    <row r="16" spans="1:18">
      <c r="A16" s="15" t="s">
        <v>438</v>
      </c>
      <c r="B16" s="17" t="n">
        <v>6108</v>
      </c>
      <c r="C16" s="18">
        <f>(5397.0/B16*100)</f>
        <v/>
      </c>
      <c r="D16" s="19" t="n">
        <v>711</v>
      </c>
      <c r="E16" s="18" t="n">
        <v>43.79762846</v>
      </c>
      <c r="F16" s="20" t="n">
        <v>2.04443041</v>
      </c>
      <c r="G16" s="18" t="n">
        <v>40.79941316</v>
      </c>
      <c r="H16" s="20" t="n">
        <v>1.91870338</v>
      </c>
      <c r="I16" s="18" t="n">
        <v>0</v>
      </c>
      <c r="J16" s="20" t="n">
        <v>0</v>
      </c>
      <c r="K16" s="18" t="n">
        <v>3.19290286</v>
      </c>
      <c r="L16" s="20" t="n">
        <v>0.57664191</v>
      </c>
      <c r="M16" s="18" t="n">
        <v>0.13038224</v>
      </c>
      <c r="N16" s="20" t="n">
        <v>0.17136286</v>
      </c>
      <c r="O16" s="18" t="n">
        <v>0</v>
      </c>
      <c r="P16" s="20" t="n">
        <v>0</v>
      </c>
      <c r="Q16" s="18" t="n">
        <v>12.07967328</v>
      </c>
      <c r="R16" s="20" t="n">
        <v>1.34465873</v>
      </c>
    </row>
    <row r="17" spans="1:18">
      <c r="A17" s="15" t="s">
        <v>439</v>
      </c>
      <c r="B17" s="17" t="n">
        <v>6504</v>
      </c>
      <c r="C17" s="18">
        <f>(5627.0/B17*100)</f>
        <v/>
      </c>
      <c r="D17" s="19" t="n">
        <v>877</v>
      </c>
      <c r="E17" s="18" t="n">
        <v>57.11039211</v>
      </c>
      <c r="F17" s="20" t="n">
        <v>1.69629297</v>
      </c>
      <c r="G17" s="18" t="n">
        <v>25.77372963</v>
      </c>
      <c r="H17" s="20" t="n">
        <v>1.49167909</v>
      </c>
      <c r="I17" s="18" t="n">
        <v>0</v>
      </c>
      <c r="J17" s="20" t="n">
        <v>0</v>
      </c>
      <c r="K17" s="18" t="n">
        <v>2.99141606</v>
      </c>
      <c r="L17" s="20" t="n">
        <v>0.8404145200000001</v>
      </c>
      <c r="M17" s="18" t="n">
        <v>0</v>
      </c>
      <c r="N17" s="20" t="n">
        <v>0</v>
      </c>
      <c r="O17" s="18" t="n">
        <v>0</v>
      </c>
      <c r="P17" s="20" t="n">
        <v>0</v>
      </c>
      <c r="Q17" s="18" t="n">
        <v>14.1244622</v>
      </c>
      <c r="R17" s="20" t="n">
        <v>1.092887</v>
      </c>
    </row>
    <row r="18" spans="1:18">
      <c r="A18" s="15" t="s">
        <v>440</v>
      </c>
      <c r="B18" s="17" t="n">
        <v>5532</v>
      </c>
      <c r="C18" s="18">
        <f>(4855.0/B18*100)</f>
        <v/>
      </c>
      <c r="D18" s="19" t="n">
        <v>677</v>
      </c>
      <c r="E18" s="18" t="n">
        <v>52.20260893</v>
      </c>
      <c r="F18" s="20" t="n">
        <v>1.98767917</v>
      </c>
      <c r="G18" s="18" t="n">
        <v>36.4657026</v>
      </c>
      <c r="H18" s="20" t="n">
        <v>2.20021792</v>
      </c>
      <c r="I18" s="18" t="n">
        <v>0</v>
      </c>
      <c r="J18" s="20" t="n">
        <v>0</v>
      </c>
      <c r="K18" s="18" t="n">
        <v>1.17161689</v>
      </c>
      <c r="L18" s="20" t="n">
        <v>0.45168645</v>
      </c>
      <c r="M18" s="18" t="n">
        <v>0</v>
      </c>
      <c r="N18" s="20" t="n">
        <v>0</v>
      </c>
      <c r="O18" s="18" t="n">
        <v>0</v>
      </c>
      <c r="P18" s="20" t="n">
        <v>0</v>
      </c>
      <c r="Q18" s="18" t="n">
        <v>10.16007158</v>
      </c>
      <c r="R18" s="20" t="n">
        <v>1.59358708</v>
      </c>
    </row>
    <row r="19" spans="1:18">
      <c r="A19" s="15" t="s">
        <v>441</v>
      </c>
      <c r="B19" s="17" t="n">
        <v>5658</v>
      </c>
      <c r="C19" s="18">
        <f>(4990.0/B19*100)</f>
        <v/>
      </c>
      <c r="D19" s="19" t="n">
        <v>668</v>
      </c>
      <c r="E19" s="18" t="n">
        <v>52.37882246</v>
      </c>
      <c r="F19" s="20" t="n">
        <v>2.31198302</v>
      </c>
      <c r="G19" s="18" t="n">
        <v>32.22229832</v>
      </c>
      <c r="H19" s="20" t="n">
        <v>2.23782485</v>
      </c>
      <c r="I19" s="18" t="n">
        <v>0</v>
      </c>
      <c r="J19" s="20" t="n">
        <v>0</v>
      </c>
      <c r="K19" s="18" t="n">
        <v>0.57390595</v>
      </c>
      <c r="L19" s="20" t="n">
        <v>0.38660207</v>
      </c>
      <c r="M19" s="18" t="n">
        <v>0.15919867</v>
      </c>
      <c r="N19" s="20" t="n">
        <v>0.14305145</v>
      </c>
      <c r="O19" s="18" t="n">
        <v>0</v>
      </c>
      <c r="P19" s="20" t="n">
        <v>0</v>
      </c>
      <c r="Q19" s="18" t="n">
        <v>14.6657746</v>
      </c>
      <c r="R19" s="20" t="n">
        <v>1.26934044</v>
      </c>
    </row>
    <row r="20" spans="1:18">
      <c r="A20" s="15" t="s">
        <v>442</v>
      </c>
      <c r="B20" s="17" t="n">
        <v>3371</v>
      </c>
      <c r="C20" s="18">
        <f>(2974.0/B20*100)</f>
        <v/>
      </c>
      <c r="D20" s="19" t="n">
        <v>397</v>
      </c>
      <c r="E20" s="18" t="n">
        <v>56.54859327</v>
      </c>
      <c r="F20" s="20" t="n">
        <v>2.20413348</v>
      </c>
      <c r="G20" s="18" t="n">
        <v>37.71630824</v>
      </c>
      <c r="H20" s="20" t="n">
        <v>2.13908576</v>
      </c>
      <c r="I20" s="18" t="n">
        <v>0</v>
      </c>
      <c r="J20" s="20" t="n">
        <v>0</v>
      </c>
      <c r="K20" s="18" t="n">
        <v>0.88244526</v>
      </c>
      <c r="L20" s="20" t="n">
        <v>0.5243084099999999</v>
      </c>
      <c r="M20" s="18" t="n">
        <v>0</v>
      </c>
      <c r="N20" s="20" t="n">
        <v>0</v>
      </c>
      <c r="O20" s="18" t="n">
        <v>0</v>
      </c>
      <c r="P20" s="20" t="n">
        <v>0</v>
      </c>
      <c r="Q20" s="18" t="n">
        <v>4.85265322</v>
      </c>
      <c r="R20" s="20" t="n">
        <v>1.14097488</v>
      </c>
    </row>
    <row r="21" spans="1:18">
      <c r="A21" s="15" t="s">
        <v>443</v>
      </c>
      <c r="B21" s="17" t="n">
        <v>5741</v>
      </c>
      <c r="C21" s="18">
        <f>(4798.0/B21*100)</f>
        <v/>
      </c>
      <c r="D21" s="19" t="n">
        <v>943</v>
      </c>
      <c r="E21" s="18" t="n">
        <v>43.41473566</v>
      </c>
      <c r="F21" s="20" t="n">
        <v>1.5698525</v>
      </c>
      <c r="G21" s="18" t="n">
        <v>52.64554589</v>
      </c>
      <c r="H21" s="20" t="n">
        <v>1.75463418</v>
      </c>
      <c r="I21" s="18" t="n">
        <v>0</v>
      </c>
      <c r="J21" s="20" t="n">
        <v>0</v>
      </c>
      <c r="K21" s="18" t="n">
        <v>0.70910103</v>
      </c>
      <c r="L21" s="20" t="n">
        <v>0.27775631</v>
      </c>
      <c r="M21" s="18" t="n">
        <v>0</v>
      </c>
      <c r="N21" s="20" t="n">
        <v>0</v>
      </c>
      <c r="O21" s="18" t="n">
        <v>0</v>
      </c>
      <c r="P21" s="20" t="n">
        <v>0</v>
      </c>
      <c r="Q21" s="18" t="n">
        <v>3.23061741</v>
      </c>
      <c r="R21" s="20" t="n">
        <v>0.55470875</v>
      </c>
    </row>
    <row r="22" spans="1:18">
      <c r="A22" s="15" t="s">
        <v>444</v>
      </c>
      <c r="B22" s="17" t="n">
        <v>6598</v>
      </c>
      <c r="C22" s="18">
        <f>(5750.0/B22*100)</f>
        <v/>
      </c>
      <c r="D22" s="19" t="n">
        <v>848</v>
      </c>
      <c r="E22" s="18" t="n">
        <v>65.84581418</v>
      </c>
      <c r="F22" s="20" t="n">
        <v>1.97044034</v>
      </c>
      <c r="G22" s="18" t="n">
        <v>26.25116879</v>
      </c>
      <c r="H22" s="20" t="n">
        <v>1.73392434</v>
      </c>
      <c r="I22" s="18" t="n">
        <v>0</v>
      </c>
      <c r="J22" s="20" t="n">
        <v>0</v>
      </c>
      <c r="K22" s="18" t="n">
        <v>1.60312998</v>
      </c>
      <c r="L22" s="20" t="n">
        <v>0.46150507</v>
      </c>
      <c r="M22" s="18" t="n">
        <v>0</v>
      </c>
      <c r="N22" s="20" t="n">
        <v>0</v>
      </c>
      <c r="O22" s="18" t="n">
        <v>0</v>
      </c>
      <c r="P22" s="20" t="n">
        <v>0</v>
      </c>
      <c r="Q22" s="18" t="n">
        <v>6.29988704</v>
      </c>
      <c r="R22" s="20" t="n">
        <v>0.77326129</v>
      </c>
    </row>
    <row r="23" spans="1:18">
      <c r="A23" s="15" t="s">
        <v>445</v>
      </c>
      <c r="B23" s="17" t="n">
        <v>11583</v>
      </c>
      <c r="C23" s="18">
        <f>(10190.0/B23*100)</f>
        <v/>
      </c>
      <c r="D23" s="19" t="n">
        <v>1393</v>
      </c>
      <c r="E23" s="18" t="n">
        <v>54.62303368</v>
      </c>
      <c r="F23" s="20" t="n">
        <v>2.1739359</v>
      </c>
      <c r="G23" s="18" t="n">
        <v>33.77192659</v>
      </c>
      <c r="H23" s="20" t="n">
        <v>1.76296476</v>
      </c>
      <c r="I23" s="18" t="n">
        <v>0</v>
      </c>
      <c r="J23" s="20" t="n">
        <v>0</v>
      </c>
      <c r="K23" s="18" t="n">
        <v>1.3930213</v>
      </c>
      <c r="L23" s="20" t="n">
        <v>0.46025624</v>
      </c>
      <c r="M23" s="18" t="n">
        <v>0.95153421</v>
      </c>
      <c r="N23" s="20" t="n">
        <v>0.82257506</v>
      </c>
      <c r="O23" s="18" t="n">
        <v>0</v>
      </c>
      <c r="P23" s="20" t="n">
        <v>0</v>
      </c>
      <c r="Q23" s="18" t="n">
        <v>9.26048422</v>
      </c>
      <c r="R23" s="20" t="n">
        <v>1.30983274</v>
      </c>
    </row>
    <row r="24" spans="1:18">
      <c r="A24" s="15" t="s">
        <v>446</v>
      </c>
      <c r="B24" s="17" t="n">
        <v>6647</v>
      </c>
      <c r="C24" s="18">
        <f>(5865.0/B24*100)</f>
        <v/>
      </c>
      <c r="D24" s="19" t="n">
        <v>782</v>
      </c>
      <c r="E24" s="18" t="n">
        <v>36.71720567</v>
      </c>
      <c r="F24" s="20" t="n">
        <v>1.87325189</v>
      </c>
      <c r="G24" s="18" t="n">
        <v>53.72233593</v>
      </c>
      <c r="H24" s="20" t="n">
        <v>2.2493013</v>
      </c>
      <c r="I24" s="18" t="n">
        <v>0</v>
      </c>
      <c r="J24" s="20" t="n">
        <v>0</v>
      </c>
      <c r="K24" s="18" t="n">
        <v>0.93382549</v>
      </c>
      <c r="L24" s="20" t="n">
        <v>0.36028758</v>
      </c>
      <c r="M24" s="18" t="n">
        <v>0</v>
      </c>
      <c r="N24" s="20" t="n">
        <v>0</v>
      </c>
      <c r="O24" s="18" t="n">
        <v>0</v>
      </c>
      <c r="P24" s="20" t="n">
        <v>0</v>
      </c>
      <c r="Q24" s="18" t="n">
        <v>8.62663291</v>
      </c>
      <c r="R24" s="20" t="n">
        <v>1.59631047</v>
      </c>
    </row>
    <row r="25" spans="1:18">
      <c r="A25" s="15" t="s">
        <v>447</v>
      </c>
      <c r="B25" s="17" t="n">
        <v>5581</v>
      </c>
      <c r="C25" s="18">
        <f>(4892.0/B25*100)</f>
        <v/>
      </c>
      <c r="D25" s="19" t="n">
        <v>689</v>
      </c>
      <c r="E25" s="18" t="n">
        <v>63.87219605</v>
      </c>
      <c r="F25" s="20" t="n">
        <v>2.0184033</v>
      </c>
      <c r="G25" s="18" t="n">
        <v>29.22140631</v>
      </c>
      <c r="H25" s="20" t="n">
        <v>2.00193233</v>
      </c>
      <c r="I25" s="18" t="n">
        <v>0</v>
      </c>
      <c r="J25" s="20" t="n">
        <v>0</v>
      </c>
      <c r="K25" s="18" t="n">
        <v>0.697186</v>
      </c>
      <c r="L25" s="20" t="n">
        <v>0.31248594</v>
      </c>
      <c r="M25" s="18" t="n">
        <v>0</v>
      </c>
      <c r="N25" s="20" t="n">
        <v>0</v>
      </c>
      <c r="O25" s="18" t="n">
        <v>0</v>
      </c>
      <c r="P25" s="20" t="n">
        <v>0</v>
      </c>
      <c r="Q25" s="18" t="n">
        <v>6.20921165</v>
      </c>
      <c r="R25" s="20" t="n">
        <v>0.94617664</v>
      </c>
    </row>
    <row r="26" spans="1:18">
      <c r="A26" s="15" t="s">
        <v>448</v>
      </c>
      <c r="B26" s="17" t="n">
        <v>4869</v>
      </c>
      <c r="C26" s="18">
        <f>(4273.0/B26*100)</f>
        <v/>
      </c>
      <c r="D26" s="19" t="n">
        <v>596</v>
      </c>
      <c r="E26" s="18" t="n">
        <v>77.61580216</v>
      </c>
      <c r="F26" s="20" t="n">
        <v>1.83844441</v>
      </c>
      <c r="G26" s="18" t="n">
        <v>16.371859</v>
      </c>
      <c r="H26" s="20" t="n">
        <v>1.61977783</v>
      </c>
      <c r="I26" s="18" t="n">
        <v>0</v>
      </c>
      <c r="J26" s="20" t="n">
        <v>0</v>
      </c>
      <c r="K26" s="18" t="n">
        <v>0.11027663</v>
      </c>
      <c r="L26" s="20" t="n">
        <v>0.11280627</v>
      </c>
      <c r="M26" s="18" t="n">
        <v>0.13092137</v>
      </c>
      <c r="N26" s="20" t="n">
        <v>0.12954773</v>
      </c>
      <c r="O26" s="18" t="n">
        <v>0</v>
      </c>
      <c r="P26" s="20" t="n">
        <v>0</v>
      </c>
      <c r="Q26" s="18" t="n">
        <v>5.77114085</v>
      </c>
      <c r="R26" s="20" t="n">
        <v>1.00493084</v>
      </c>
    </row>
    <row r="27" spans="1:18">
      <c r="A27" s="15" t="s">
        <v>449</v>
      </c>
      <c r="B27" s="17" t="n">
        <v>5299</v>
      </c>
      <c r="C27" s="18">
        <f>(4663.0/B27*100)</f>
        <v/>
      </c>
      <c r="D27" s="19" t="n">
        <v>636</v>
      </c>
      <c r="E27" s="18" t="n">
        <v>58.74716355</v>
      </c>
      <c r="F27" s="20" t="n">
        <v>1.86323099</v>
      </c>
      <c r="G27" s="18" t="n">
        <v>28.87467748</v>
      </c>
      <c r="H27" s="20" t="n">
        <v>1.73708907</v>
      </c>
      <c r="I27" s="18" t="n">
        <v>0</v>
      </c>
      <c r="J27" s="20" t="n">
        <v>0</v>
      </c>
      <c r="K27" s="18" t="n">
        <v>0.96927364</v>
      </c>
      <c r="L27" s="20" t="n">
        <v>0.39333071</v>
      </c>
      <c r="M27" s="18" t="n">
        <v>0</v>
      </c>
      <c r="N27" s="20" t="n">
        <v>0</v>
      </c>
      <c r="O27" s="18" t="n">
        <v>0</v>
      </c>
      <c r="P27" s="20" t="n">
        <v>0</v>
      </c>
      <c r="Q27" s="18" t="n">
        <v>11.40888532</v>
      </c>
      <c r="R27" s="20" t="n">
        <v>1.2124034</v>
      </c>
    </row>
    <row r="28" spans="1:18">
      <c r="A28" s="15" t="s">
        <v>450</v>
      </c>
      <c r="B28" s="17" t="n">
        <v>7568</v>
      </c>
      <c r="C28" s="18">
        <f>(6742.0/B28*100)</f>
        <v/>
      </c>
      <c r="D28" s="19" t="n">
        <v>826</v>
      </c>
      <c r="E28" s="18" t="n">
        <v>79.02475296999999</v>
      </c>
      <c r="F28" s="20" t="n">
        <v>1.52192207</v>
      </c>
      <c r="G28" s="18" t="n">
        <v>17.43712948</v>
      </c>
      <c r="H28" s="20" t="n">
        <v>1.45473672</v>
      </c>
      <c r="I28" s="18" t="n">
        <v>0</v>
      </c>
      <c r="J28" s="20" t="n">
        <v>0</v>
      </c>
      <c r="K28" s="18" t="n">
        <v>1.01144032</v>
      </c>
      <c r="L28" s="20" t="n">
        <v>0.43081396</v>
      </c>
      <c r="M28" s="18" t="n">
        <v>0</v>
      </c>
      <c r="N28" s="20" t="n">
        <v>0</v>
      </c>
      <c r="O28" s="18" t="n">
        <v>0</v>
      </c>
      <c r="P28" s="20" t="n">
        <v>0</v>
      </c>
      <c r="Q28" s="18" t="n">
        <v>2.52667723</v>
      </c>
      <c r="R28" s="20" t="n">
        <v>0.56597354</v>
      </c>
    </row>
    <row r="29" spans="1:18">
      <c r="A29" s="15" t="s">
        <v>451</v>
      </c>
      <c r="B29" s="17" t="n">
        <v>5385</v>
      </c>
      <c r="C29" s="18">
        <f>(4634.0/B29*100)</f>
        <v/>
      </c>
      <c r="D29" s="19" t="n">
        <v>751</v>
      </c>
      <c r="E29" s="18" t="n">
        <v>53.27462746</v>
      </c>
      <c r="F29" s="20" t="n">
        <v>2.09864263</v>
      </c>
      <c r="G29" s="18" t="n">
        <v>43.74608419</v>
      </c>
      <c r="H29" s="20" t="n">
        <v>2.42084918</v>
      </c>
      <c r="I29" s="18" t="n">
        <v>0</v>
      </c>
      <c r="J29" s="20" t="n">
        <v>0</v>
      </c>
      <c r="K29" s="18" t="n">
        <v>0.36548577</v>
      </c>
      <c r="L29" s="20" t="n">
        <v>0.24827552</v>
      </c>
      <c r="M29" s="18" t="n">
        <v>0</v>
      </c>
      <c r="N29" s="20" t="n">
        <v>0</v>
      </c>
      <c r="O29" s="18" t="n">
        <v>0</v>
      </c>
      <c r="P29" s="20" t="n">
        <v>0</v>
      </c>
      <c r="Q29" s="18" t="n">
        <v>2.61380257</v>
      </c>
      <c r="R29" s="20" t="n">
        <v>0.69133</v>
      </c>
    </row>
    <row r="30" spans="1:18">
      <c r="A30" s="15" t="s">
        <v>452</v>
      </c>
      <c r="B30" s="17" t="n">
        <v>4520</v>
      </c>
      <c r="C30" s="18">
        <f>(4011.0/B30*100)</f>
        <v/>
      </c>
      <c r="D30" s="19" t="n">
        <v>509</v>
      </c>
      <c r="E30" s="18" t="n">
        <v>42.08313279</v>
      </c>
      <c r="F30" s="20" t="n">
        <v>2.25321646</v>
      </c>
      <c r="G30" s="18" t="n">
        <v>50.64002214</v>
      </c>
      <c r="H30" s="20" t="n">
        <v>2.17616055</v>
      </c>
      <c r="I30" s="18" t="n">
        <v>0</v>
      </c>
      <c r="J30" s="20" t="n">
        <v>0</v>
      </c>
      <c r="K30" s="18" t="n">
        <v>1.08443398</v>
      </c>
      <c r="L30" s="20" t="n">
        <v>0.43785372</v>
      </c>
      <c r="M30" s="18" t="n">
        <v>0</v>
      </c>
      <c r="N30" s="20" t="n">
        <v>0</v>
      </c>
      <c r="O30" s="18" t="n">
        <v>0</v>
      </c>
      <c r="P30" s="20" t="n">
        <v>0</v>
      </c>
      <c r="Q30" s="18" t="n">
        <v>6.19241109</v>
      </c>
      <c r="R30" s="20" t="n">
        <v>1.1456865</v>
      </c>
    </row>
    <row r="31" spans="1:18">
      <c r="A31" s="15" t="s">
        <v>453</v>
      </c>
      <c r="B31" s="17" t="n">
        <v>5456</v>
      </c>
      <c r="C31" s="18">
        <f>(4796.0/B31*100)</f>
        <v/>
      </c>
      <c r="D31" s="19" t="n">
        <v>660</v>
      </c>
      <c r="E31" s="18" t="n">
        <v>41.51233589</v>
      </c>
      <c r="F31" s="20" t="n">
        <v>2.03008843</v>
      </c>
      <c r="G31" s="18" t="n">
        <v>52.02718024</v>
      </c>
      <c r="H31" s="20" t="n">
        <v>2.17487284</v>
      </c>
      <c r="I31" s="18" t="n">
        <v>0</v>
      </c>
      <c r="J31" s="20" t="n">
        <v>0</v>
      </c>
      <c r="K31" s="18" t="n">
        <v>2.42165743</v>
      </c>
      <c r="L31" s="20" t="n">
        <v>0.65751026</v>
      </c>
      <c r="M31" s="18" t="n">
        <v>0</v>
      </c>
      <c r="N31" s="20" t="n">
        <v>0</v>
      </c>
      <c r="O31" s="18" t="n">
        <v>0</v>
      </c>
      <c r="P31" s="20" t="n">
        <v>0</v>
      </c>
      <c r="Q31" s="18" t="n">
        <v>4.03882645</v>
      </c>
      <c r="R31" s="20" t="n">
        <v>0.78448406</v>
      </c>
    </row>
    <row r="32" spans="1:18">
      <c r="A32" s="15" t="s">
        <v>454</v>
      </c>
      <c r="B32" s="17" t="n">
        <v>4478</v>
      </c>
      <c r="C32" s="18">
        <f>(3731.0/B32*100)</f>
        <v/>
      </c>
      <c r="D32" s="19" t="n">
        <v>747</v>
      </c>
      <c r="E32" s="18" t="n">
        <v>61.05053578</v>
      </c>
      <c r="F32" s="20" t="n">
        <v>1.86298581</v>
      </c>
      <c r="G32" s="18" t="n">
        <v>31.91163147</v>
      </c>
      <c r="H32" s="20" t="n">
        <v>1.74581809</v>
      </c>
      <c r="I32" s="18" t="n">
        <v>0</v>
      </c>
      <c r="J32" s="20" t="n">
        <v>0</v>
      </c>
      <c r="K32" s="18" t="n">
        <v>0.36349921</v>
      </c>
      <c r="L32" s="20" t="n">
        <v>0.11786905</v>
      </c>
      <c r="M32" s="18" t="n">
        <v>0</v>
      </c>
      <c r="N32" s="20" t="n">
        <v>0</v>
      </c>
      <c r="O32" s="18" t="n">
        <v>0</v>
      </c>
      <c r="P32" s="20" t="n">
        <v>0</v>
      </c>
      <c r="Q32" s="18" t="n">
        <v>6.67433354</v>
      </c>
      <c r="R32" s="20" t="n">
        <v>0.87336169</v>
      </c>
    </row>
    <row r="33" spans="1:18">
      <c r="A33" s="15" t="s">
        <v>455</v>
      </c>
      <c r="B33" s="17" t="n">
        <v>7325</v>
      </c>
      <c r="C33" s="18">
        <f>(6492.0/B33*100)</f>
        <v/>
      </c>
      <c r="D33" s="19" t="n">
        <v>833</v>
      </c>
      <c r="E33" s="18" t="n">
        <v>58.06522372</v>
      </c>
      <c r="F33" s="20" t="n">
        <v>1.9090504</v>
      </c>
      <c r="G33" s="18" t="n">
        <v>33.60009319</v>
      </c>
      <c r="H33" s="20" t="n">
        <v>1.7880283</v>
      </c>
      <c r="I33" s="18" t="n">
        <v>0</v>
      </c>
      <c r="J33" s="20" t="n">
        <v>0</v>
      </c>
      <c r="K33" s="18" t="n">
        <v>0.27497332</v>
      </c>
      <c r="L33" s="20" t="n">
        <v>0.17147094</v>
      </c>
      <c r="M33" s="18" t="n">
        <v>0</v>
      </c>
      <c r="N33" s="20" t="n">
        <v>0</v>
      </c>
      <c r="O33" s="18" t="n">
        <v>0</v>
      </c>
      <c r="P33" s="20" t="n">
        <v>0</v>
      </c>
      <c r="Q33" s="18" t="n">
        <v>8.05970978</v>
      </c>
      <c r="R33" s="20" t="n">
        <v>1.07280154</v>
      </c>
    </row>
    <row r="34" spans="1:18">
      <c r="A34" s="15" t="s">
        <v>456</v>
      </c>
      <c r="B34" s="17" t="n">
        <v>6350</v>
      </c>
      <c r="C34" s="18">
        <f>(5512.0/B34*100)</f>
        <v/>
      </c>
      <c r="D34" s="19" t="n">
        <v>838</v>
      </c>
      <c r="E34" s="18" t="n">
        <v>68.90736518999999</v>
      </c>
      <c r="F34" s="20" t="n">
        <v>1.89009583</v>
      </c>
      <c r="G34" s="18" t="n">
        <v>19.83134542</v>
      </c>
      <c r="H34" s="20" t="n">
        <v>1.68542045</v>
      </c>
      <c r="I34" s="18" t="n">
        <v>0</v>
      </c>
      <c r="J34" s="20" t="n">
        <v>0</v>
      </c>
      <c r="K34" s="18" t="n">
        <v>0.84421773</v>
      </c>
      <c r="L34" s="20" t="n">
        <v>0.34487981</v>
      </c>
      <c r="M34" s="18" t="n">
        <v>0</v>
      </c>
      <c r="N34" s="20" t="n">
        <v>0</v>
      </c>
      <c r="O34" s="18" t="n">
        <v>0</v>
      </c>
      <c r="P34" s="20" t="n">
        <v>0</v>
      </c>
      <c r="Q34" s="18" t="n">
        <v>10.41707166</v>
      </c>
      <c r="R34" s="20" t="n">
        <v>1.30002619</v>
      </c>
    </row>
    <row r="35" spans="1:18">
      <c r="A35" s="15" t="s">
        <v>457</v>
      </c>
      <c r="B35" s="17" t="n">
        <v>6406</v>
      </c>
      <c r="C35" s="18">
        <f>(5515.0/B35*100)</f>
        <v/>
      </c>
      <c r="D35" s="19" t="n">
        <v>891</v>
      </c>
      <c r="E35" s="18" t="n">
        <v>56.38202583</v>
      </c>
      <c r="F35" s="20" t="n">
        <v>2.41106872</v>
      </c>
      <c r="G35" s="18" t="n">
        <v>37.81195633</v>
      </c>
      <c r="H35" s="20" t="n">
        <v>2.38433426</v>
      </c>
      <c r="I35" s="18" t="n">
        <v>0</v>
      </c>
      <c r="J35" s="20" t="n">
        <v>0</v>
      </c>
      <c r="K35" s="18" t="n">
        <v>0.96038052</v>
      </c>
      <c r="L35" s="20" t="n">
        <v>0.33201738</v>
      </c>
      <c r="M35" s="18" t="n">
        <v>0.20700998</v>
      </c>
      <c r="N35" s="20" t="n">
        <v>0.20761437</v>
      </c>
      <c r="O35" s="18" t="n">
        <v>0</v>
      </c>
      <c r="P35" s="20" t="n">
        <v>0</v>
      </c>
      <c r="Q35" s="18" t="n">
        <v>4.63862735</v>
      </c>
      <c r="R35" s="20" t="n">
        <v>0.79556761</v>
      </c>
    </row>
    <row r="36" spans="1:18">
      <c r="A36" s="15" t="s">
        <v>458</v>
      </c>
      <c r="B36" s="17" t="n">
        <v>6736</v>
      </c>
      <c r="C36" s="18">
        <f>(5952.0/B36*100)</f>
        <v/>
      </c>
      <c r="D36" s="19" t="n">
        <v>784</v>
      </c>
      <c r="E36" s="18" t="n">
        <v>57.68868711</v>
      </c>
      <c r="F36" s="20" t="n">
        <v>1.85952518</v>
      </c>
      <c r="G36" s="18" t="n">
        <v>34.71397518</v>
      </c>
      <c r="H36" s="20" t="n">
        <v>1.71160139</v>
      </c>
      <c r="I36" s="18" t="n">
        <v>0</v>
      </c>
      <c r="J36" s="20" t="n">
        <v>0</v>
      </c>
      <c r="K36" s="18" t="n">
        <v>1.40031947</v>
      </c>
      <c r="L36" s="20" t="n">
        <v>0.41971118</v>
      </c>
      <c r="M36" s="18" t="n">
        <v>0</v>
      </c>
      <c r="N36" s="20" t="n">
        <v>0</v>
      </c>
      <c r="O36" s="18" t="n">
        <v>0</v>
      </c>
      <c r="P36" s="20" t="n">
        <v>0</v>
      </c>
      <c r="Q36" s="18" t="n">
        <v>6.19701824</v>
      </c>
      <c r="R36" s="20" t="n">
        <v>0.93411329</v>
      </c>
    </row>
    <row r="37" spans="1:18">
      <c r="A37" s="15" t="s">
        <v>459</v>
      </c>
      <c r="B37" s="17" t="n">
        <v>5458</v>
      </c>
      <c r="C37" s="18">
        <f>(4812.0/B37*100)</f>
        <v/>
      </c>
      <c r="D37" s="19" t="n">
        <v>646</v>
      </c>
      <c r="E37" s="18" t="n">
        <v>55.72669401</v>
      </c>
      <c r="F37" s="20" t="n">
        <v>2.25189616</v>
      </c>
      <c r="G37" s="18" t="n">
        <v>34.77293638</v>
      </c>
      <c r="H37" s="20" t="n">
        <v>2.05817811</v>
      </c>
      <c r="I37" s="18" t="n">
        <v>0</v>
      </c>
      <c r="J37" s="20" t="n">
        <v>0</v>
      </c>
      <c r="K37" s="18" t="n">
        <v>1.92857124</v>
      </c>
      <c r="L37" s="20" t="n">
        <v>0.57582272</v>
      </c>
      <c r="M37" s="18" t="n">
        <v>0.12511001</v>
      </c>
      <c r="N37" s="20" t="n">
        <v>0.1251528</v>
      </c>
      <c r="O37" s="18" t="n">
        <v>0</v>
      </c>
      <c r="P37" s="20" t="n">
        <v>0</v>
      </c>
      <c r="Q37" s="18" t="n">
        <v>7.44668836</v>
      </c>
      <c r="R37" s="20" t="n">
        <v>1.08029481</v>
      </c>
    </row>
    <row r="38" spans="1:18">
      <c r="A38" s="15" t="s">
        <v>460</v>
      </c>
      <c r="B38" s="17" t="n">
        <v>5860</v>
      </c>
      <c r="C38" s="18">
        <f>(4900.0/B38*100)</f>
        <v/>
      </c>
      <c r="D38" s="19" t="n">
        <v>960</v>
      </c>
      <c r="E38" s="18" t="n">
        <v>55.5165027</v>
      </c>
      <c r="F38" s="20" t="n">
        <v>1.67103457</v>
      </c>
      <c r="G38" s="18" t="n">
        <v>34.42663476</v>
      </c>
      <c r="H38" s="20" t="n">
        <v>1.45156734</v>
      </c>
      <c r="I38" s="18" t="n">
        <v>0</v>
      </c>
      <c r="J38" s="20" t="n">
        <v>0</v>
      </c>
      <c r="K38" s="18" t="n">
        <v>1.50127158</v>
      </c>
      <c r="L38" s="20" t="n">
        <v>0.48040338</v>
      </c>
      <c r="M38" s="18" t="n">
        <v>0.11400592</v>
      </c>
      <c r="N38" s="20" t="n">
        <v>0.11397503</v>
      </c>
      <c r="O38" s="18" t="n">
        <v>0</v>
      </c>
      <c r="P38" s="20" t="n">
        <v>0</v>
      </c>
      <c r="Q38" s="18" t="n">
        <v>8.44158505</v>
      </c>
      <c r="R38" s="20" t="n">
        <v>0.94262399</v>
      </c>
    </row>
    <row r="39" spans="1:18">
      <c r="A39" s="15" t="s">
        <v>461</v>
      </c>
      <c r="B39" s="17" t="n">
        <v>5895</v>
      </c>
      <c r="C39" s="18">
        <f>(5162.0/B39*100)</f>
        <v/>
      </c>
      <c r="D39" s="19" t="n">
        <v>733</v>
      </c>
      <c r="E39" s="18" t="n">
        <v>67.05523456</v>
      </c>
      <c r="F39" s="20" t="n">
        <v>1.84974625</v>
      </c>
      <c r="G39" s="18" t="n">
        <v>23.43416562</v>
      </c>
      <c r="H39" s="20" t="n">
        <v>1.72345503</v>
      </c>
      <c r="I39" s="18" t="n">
        <v>0</v>
      </c>
      <c r="J39" s="20" t="n">
        <v>0</v>
      </c>
      <c r="K39" s="18" t="n">
        <v>0.76785238</v>
      </c>
      <c r="L39" s="20" t="n">
        <v>0.37220152</v>
      </c>
      <c r="M39" s="18" t="n">
        <v>0</v>
      </c>
      <c r="N39" s="20" t="n">
        <v>0</v>
      </c>
      <c r="O39" s="18" t="n">
        <v>0</v>
      </c>
      <c r="P39" s="20" t="n">
        <v>0</v>
      </c>
      <c r="Q39" s="18" t="n">
        <v>8.74274745</v>
      </c>
      <c r="R39" s="20" t="n">
        <v>1.15885835</v>
      </c>
    </row>
    <row r="40" spans="1:18">
      <c r="A40" s="15" t="s">
        <v>462</v>
      </c>
      <c r="B40" s="17" t="n">
        <v>14157</v>
      </c>
      <c r="C40" s="18">
        <f>(12457.0/B40*100)</f>
        <v/>
      </c>
      <c r="D40" s="19" t="n">
        <v>1700</v>
      </c>
      <c r="E40" s="18" t="n">
        <v>40.23317831</v>
      </c>
      <c r="F40" s="20" t="n">
        <v>1.86896671</v>
      </c>
      <c r="G40" s="18" t="n">
        <v>52.90501133</v>
      </c>
      <c r="H40" s="20" t="n">
        <v>1.79733174</v>
      </c>
      <c r="I40" s="18" t="n">
        <v>0</v>
      </c>
      <c r="J40" s="20" t="n">
        <v>0</v>
      </c>
      <c r="K40" s="18" t="n">
        <v>0.95632726</v>
      </c>
      <c r="L40" s="20" t="n">
        <v>0.39470011</v>
      </c>
      <c r="M40" s="18" t="n">
        <v>0.24959289</v>
      </c>
      <c r="N40" s="20" t="n">
        <v>0.22006316</v>
      </c>
      <c r="O40" s="18" t="n">
        <v>0</v>
      </c>
      <c r="P40" s="20" t="n">
        <v>0</v>
      </c>
      <c r="Q40" s="18" t="n">
        <v>5.65589021</v>
      </c>
      <c r="R40" s="20" t="n">
        <v>0.73331809</v>
      </c>
    </row>
    <row r="41" spans="1:18">
      <c r="A41" s="15" t="s">
        <v>463</v>
      </c>
      <c r="B41" s="17" t="n">
        <v>5712</v>
      </c>
      <c r="C41" s="18">
        <f>(4995.0/B41*100)</f>
        <v/>
      </c>
      <c r="D41" s="19" t="n">
        <v>717</v>
      </c>
      <c r="E41" s="18" t="n">
        <v>56.66438259</v>
      </c>
      <c r="F41" s="20" t="n">
        <v>2.08708338</v>
      </c>
      <c r="G41" s="18" t="n">
        <v>40.59709679</v>
      </c>
      <c r="H41" s="20" t="n">
        <v>2.10764355</v>
      </c>
      <c r="I41" s="18" t="n">
        <v>0</v>
      </c>
      <c r="J41" s="20" t="n">
        <v>0</v>
      </c>
      <c r="K41" s="18" t="n">
        <v>0.86840995</v>
      </c>
      <c r="L41" s="20" t="n">
        <v>0.41729416</v>
      </c>
      <c r="M41" s="18" t="n">
        <v>0</v>
      </c>
      <c r="N41" s="20" t="n">
        <v>0</v>
      </c>
      <c r="O41" s="18" t="n">
        <v>0</v>
      </c>
      <c r="P41" s="20" t="n">
        <v>0</v>
      </c>
      <c r="Q41" s="18" t="n">
        <v>1.87011067</v>
      </c>
      <c r="R41" s="20" t="n">
        <v>0.55090266</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(21170.0/B46*100)</f>
        <v/>
      </c>
      <c r="D46" s="19" t="n">
        <v>1971</v>
      </c>
      <c r="E46" s="18" t="n">
        <v>60.77173647</v>
      </c>
      <c r="F46" s="20" t="n">
        <v>1.4376042</v>
      </c>
      <c r="G46" s="18" t="n">
        <v>27.53875765</v>
      </c>
      <c r="H46" s="20" t="n">
        <v>1.20814411</v>
      </c>
      <c r="I46" s="18" t="n">
        <v>0</v>
      </c>
      <c r="J46" s="20" t="n">
        <v>0</v>
      </c>
      <c r="K46" s="18" t="n">
        <v>2.51226887</v>
      </c>
      <c r="L46" s="20" t="n">
        <v>0.52785503</v>
      </c>
      <c r="M46" s="18" t="n">
        <v>0.29525563</v>
      </c>
      <c r="N46" s="20" t="n">
        <v>0.1735148</v>
      </c>
      <c r="O46" s="18" t="n">
        <v>0</v>
      </c>
      <c r="P46" s="20" t="n">
        <v>0</v>
      </c>
      <c r="Q46" s="18" t="n">
        <v>8.881981379999999</v>
      </c>
      <c r="R46" s="20" t="n">
        <v>0.82250532</v>
      </c>
    </row>
    <row r="47" spans="1:18">
      <c r="A47" s="15" t="s">
        <v>470</v>
      </c>
      <c r="B47" s="17" t="n">
        <v>5928</v>
      </c>
      <c r="C47" s="18">
        <f>(5252.0/B47*100)</f>
        <v/>
      </c>
      <c r="D47" s="19" t="n">
        <v>676</v>
      </c>
      <c r="E47" s="18" t="n">
        <v>54.87220734</v>
      </c>
      <c r="F47" s="20" t="n">
        <v>2.20159893</v>
      </c>
      <c r="G47" s="18" t="n">
        <v>26.06184048</v>
      </c>
      <c r="H47" s="20" t="n">
        <v>1.91537709</v>
      </c>
      <c r="I47" s="18" t="n">
        <v>0</v>
      </c>
      <c r="J47" s="20" t="n">
        <v>0</v>
      </c>
      <c r="K47" s="18" t="n">
        <v>0.88266237</v>
      </c>
      <c r="L47" s="20" t="n">
        <v>0.37323379</v>
      </c>
      <c r="M47" s="18" t="n">
        <v>0</v>
      </c>
      <c r="N47" s="20" t="n">
        <v>0</v>
      </c>
      <c r="O47" s="18" t="n">
        <v>0</v>
      </c>
      <c r="P47" s="20" t="n">
        <v>0</v>
      </c>
      <c r="Q47" s="18" t="n">
        <v>18.18328981</v>
      </c>
      <c r="R47" s="20" t="n">
        <v>1.51683474</v>
      </c>
    </row>
    <row r="48" spans="1:18">
      <c r="A48" s="15" t="s">
        <v>471</v>
      </c>
      <c r="B48" s="17" t="n">
        <v>9841</v>
      </c>
      <c r="C48" s="18">
        <f>(8659.0/B48*100)</f>
        <v/>
      </c>
      <c r="D48" s="19" t="n">
        <v>1182</v>
      </c>
      <c r="E48" s="18" t="n">
        <v>64.46159831999999</v>
      </c>
      <c r="F48" s="20" t="n">
        <v>2.23218001</v>
      </c>
      <c r="G48" s="18" t="n">
        <v>25.54328436</v>
      </c>
      <c r="H48" s="20" t="n">
        <v>1.91279113</v>
      </c>
      <c r="I48" s="18" t="n">
        <v>0</v>
      </c>
      <c r="J48" s="20" t="n">
        <v>0</v>
      </c>
      <c r="K48" s="18" t="n">
        <v>1.67213054</v>
      </c>
      <c r="L48" s="20" t="n">
        <v>0.62283941</v>
      </c>
      <c r="M48" s="18" t="n">
        <v>0</v>
      </c>
      <c r="N48" s="20" t="n">
        <v>0</v>
      </c>
      <c r="O48" s="18" t="n">
        <v>0</v>
      </c>
      <c r="P48" s="20" t="n">
        <v>0</v>
      </c>
      <c r="Q48" s="18" t="n">
        <v>8.322986780000001</v>
      </c>
      <c r="R48" s="20" t="n">
        <v>1.33293127</v>
      </c>
    </row>
    <row r="49" spans="1:18">
      <c r="A49" s="15" t="s">
        <v>472</v>
      </c>
      <c r="B49" s="17" t="n">
        <v>11795</v>
      </c>
      <c r="C49" s="18">
        <f>(10434.0/B49*100)</f>
        <v/>
      </c>
      <c r="D49" s="19" t="n">
        <v>1361</v>
      </c>
      <c r="E49" s="18" t="n">
        <v>73.07091708999999</v>
      </c>
      <c r="F49" s="20" t="n">
        <v>1.54392088</v>
      </c>
      <c r="G49" s="18" t="n">
        <v>18.45576052</v>
      </c>
      <c r="H49" s="20" t="n">
        <v>1.50920654</v>
      </c>
      <c r="I49" s="18" t="n">
        <v>0</v>
      </c>
      <c r="J49" s="20" t="n">
        <v>0</v>
      </c>
      <c r="K49" s="18" t="n">
        <v>2.96733055</v>
      </c>
      <c r="L49" s="20" t="n">
        <v>0.5858863</v>
      </c>
      <c r="M49" s="18" t="n">
        <v>0</v>
      </c>
      <c r="N49" s="20" t="n">
        <v>0</v>
      </c>
      <c r="O49" s="18" t="n">
        <v>0</v>
      </c>
      <c r="P49" s="20" t="n">
        <v>0</v>
      </c>
      <c r="Q49" s="18" t="n">
        <v>5.50599184</v>
      </c>
      <c r="R49" s="20" t="n">
        <v>0.77516456</v>
      </c>
    </row>
    <row r="50" spans="1:18">
      <c r="A50" s="15" t="s">
        <v>473</v>
      </c>
      <c r="B50" s="17" t="n">
        <v>6866</v>
      </c>
      <c r="C50" s="18">
        <f>(5522.0/B50*100)</f>
        <v/>
      </c>
      <c r="D50" s="19" t="n">
        <v>1344</v>
      </c>
      <c r="E50" s="18" t="n">
        <v>79.35361367</v>
      </c>
      <c r="F50" s="20" t="n">
        <v>1.27353695</v>
      </c>
      <c r="G50" s="18" t="n">
        <v>16.22333503</v>
      </c>
      <c r="H50" s="20" t="n">
        <v>1.09044717</v>
      </c>
      <c r="I50" s="18" t="n">
        <v>0</v>
      </c>
      <c r="J50" s="20" t="n">
        <v>0</v>
      </c>
      <c r="K50" s="18" t="n">
        <v>0.65575421</v>
      </c>
      <c r="L50" s="20" t="n">
        <v>0.24319547</v>
      </c>
      <c r="M50" s="18" t="n">
        <v>0</v>
      </c>
      <c r="N50" s="20" t="n">
        <v>0</v>
      </c>
      <c r="O50" s="18" t="n">
        <v>0</v>
      </c>
      <c r="P50" s="20" t="n">
        <v>0</v>
      </c>
      <c r="Q50" s="18" t="n">
        <v>3.7672971</v>
      </c>
      <c r="R50" s="20" t="n">
        <v>0.5707252900000001</v>
      </c>
    </row>
    <row r="51" spans="1:18">
      <c r="A51" s="15" t="s">
        <v>474</v>
      </c>
      <c r="B51" s="17" t="n">
        <v>5809</v>
      </c>
      <c r="C51" s="18">
        <f>(5101.0/B51*100)</f>
        <v/>
      </c>
      <c r="D51" s="19" t="n">
        <v>708</v>
      </c>
      <c r="E51" s="18" t="n">
        <v>60.41353753</v>
      </c>
      <c r="F51" s="20" t="n">
        <v>1.95043126</v>
      </c>
      <c r="G51" s="18" t="n">
        <v>29.77565768</v>
      </c>
      <c r="H51" s="20" t="n">
        <v>1.84028666</v>
      </c>
      <c r="I51" s="18" t="n">
        <v>0</v>
      </c>
      <c r="J51" s="20" t="n">
        <v>0</v>
      </c>
      <c r="K51" s="18" t="n">
        <v>0.21767485</v>
      </c>
      <c r="L51" s="20" t="n">
        <v>0.1562745</v>
      </c>
      <c r="M51" s="18" t="n">
        <v>0</v>
      </c>
      <c r="N51" s="20" t="n">
        <v>0</v>
      </c>
      <c r="O51" s="18" t="n">
        <v>0</v>
      </c>
      <c r="P51" s="20" t="n">
        <v>0</v>
      </c>
      <c r="Q51" s="18" t="n">
        <v>9.593129940000001</v>
      </c>
      <c r="R51" s="20" t="n">
        <v>1.25102994</v>
      </c>
    </row>
    <row r="52" spans="1:18">
      <c r="A52" s="15" t="s">
        <v>475</v>
      </c>
      <c r="B52" s="17" t="n">
        <v>5571</v>
      </c>
      <c r="C52" s="18">
        <f>(4897.0/B52*100)</f>
        <v/>
      </c>
      <c r="D52" s="19" t="n">
        <v>674</v>
      </c>
      <c r="E52" s="18" t="n">
        <v>51.97292173</v>
      </c>
      <c r="F52" s="20" t="n">
        <v>2.03566607</v>
      </c>
      <c r="G52" s="18" t="n">
        <v>34.85811163</v>
      </c>
      <c r="H52" s="20" t="n">
        <v>1.90543267</v>
      </c>
      <c r="I52" s="18" t="n">
        <v>0</v>
      </c>
      <c r="J52" s="20" t="n">
        <v>0</v>
      </c>
      <c r="K52" s="18" t="n">
        <v>1.26079089</v>
      </c>
      <c r="L52" s="20" t="n">
        <v>0.46193937</v>
      </c>
      <c r="M52" s="18" t="n">
        <v>0.11477638</v>
      </c>
      <c r="N52" s="20" t="n">
        <v>0.11460297</v>
      </c>
      <c r="O52" s="18" t="n">
        <v>0</v>
      </c>
      <c r="P52" s="20" t="n">
        <v>0</v>
      </c>
      <c r="Q52" s="18" t="n">
        <v>11.79339938</v>
      </c>
      <c r="R52" s="20" t="n">
        <v>1.22974074</v>
      </c>
    </row>
    <row r="53" spans="1:18">
      <c r="A53" s="15" t="s">
        <v>476</v>
      </c>
      <c r="B53" s="17" t="n">
        <v>4740</v>
      </c>
      <c r="C53" s="18">
        <f>(3965.0/B53*100)</f>
        <v/>
      </c>
      <c r="D53" s="19" t="n">
        <v>775</v>
      </c>
      <c r="E53" s="18" t="n">
        <v>51.60411813</v>
      </c>
      <c r="F53" s="20" t="n">
        <v>1.83273399</v>
      </c>
      <c r="G53" s="18" t="n">
        <v>17.35993688</v>
      </c>
      <c r="H53" s="20" t="n">
        <v>1.40082976</v>
      </c>
      <c r="I53" s="18" t="n">
        <v>0</v>
      </c>
      <c r="J53" s="20" t="n">
        <v>0</v>
      </c>
      <c r="K53" s="18" t="n">
        <v>18.21229133</v>
      </c>
      <c r="L53" s="20" t="n">
        <v>1.43271248</v>
      </c>
      <c r="M53" s="18" t="n">
        <v>0.95816722</v>
      </c>
      <c r="N53" s="20" t="n">
        <v>0.92615805</v>
      </c>
      <c r="O53" s="18" t="n">
        <v>0</v>
      </c>
      <c r="P53" s="20" t="n">
        <v>0</v>
      </c>
      <c r="Q53" s="18" t="n">
        <v>11.86548644</v>
      </c>
      <c r="R53" s="20" t="n">
        <v>1.10369369</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(4705.0/B55*100)</f>
        <v/>
      </c>
      <c r="D55" s="19" t="n">
        <v>654</v>
      </c>
      <c r="E55" s="18" t="n">
        <v>60.8503036</v>
      </c>
      <c r="F55" s="20" t="n">
        <v>2.00740814</v>
      </c>
      <c r="G55" s="18" t="n">
        <v>35.54285394</v>
      </c>
      <c r="H55" s="20" t="n">
        <v>1.9920949</v>
      </c>
      <c r="I55" s="18" t="n">
        <v>0</v>
      </c>
      <c r="J55" s="20" t="n">
        <v>0</v>
      </c>
      <c r="K55" s="18" t="n">
        <v>0.59902928</v>
      </c>
      <c r="L55" s="20" t="n">
        <v>0.30441939</v>
      </c>
      <c r="M55" s="18" t="n">
        <v>0</v>
      </c>
      <c r="N55" s="20" t="n">
        <v>0</v>
      </c>
      <c r="O55" s="18" t="n">
        <v>0</v>
      </c>
      <c r="P55" s="20" t="n">
        <v>0</v>
      </c>
      <c r="Q55" s="18" t="n">
        <v>3.00781318</v>
      </c>
      <c r="R55" s="20" t="n">
        <v>0.58935607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(5758.0/B61*100)</f>
        <v/>
      </c>
      <c r="D61" s="19" t="n">
        <v>767</v>
      </c>
      <c r="E61" s="18" t="n">
        <v>69.33730688</v>
      </c>
      <c r="F61" s="20" t="n">
        <v>1.87403859</v>
      </c>
      <c r="G61" s="18" t="n">
        <v>21.6738845</v>
      </c>
      <c r="H61" s="20" t="n">
        <v>1.4895023</v>
      </c>
      <c r="I61" s="18" t="n">
        <v>0</v>
      </c>
      <c r="J61" s="20" t="n">
        <v>0</v>
      </c>
      <c r="K61" s="18" t="n">
        <v>0.5074494899999999</v>
      </c>
      <c r="L61" s="20" t="n">
        <v>0.27011569</v>
      </c>
      <c r="M61" s="18" t="n">
        <v>0</v>
      </c>
      <c r="N61" s="20" t="n">
        <v>0</v>
      </c>
      <c r="O61" s="18" t="n">
        <v>0</v>
      </c>
      <c r="P61" s="20" t="n">
        <v>0</v>
      </c>
      <c r="Q61" s="18" t="n">
        <v>8.48135912</v>
      </c>
      <c r="R61" s="20" t="n">
        <v>1.06893669</v>
      </c>
    </row>
    <row r="62" spans="1:18">
      <c r="A62" s="15" t="s">
        <v>486</v>
      </c>
      <c r="B62" s="17" t="n">
        <v>4476</v>
      </c>
      <c r="C62" s="18">
        <f>(3958.0/B62*100)</f>
        <v/>
      </c>
      <c r="D62" s="19" t="n">
        <v>518</v>
      </c>
      <c r="E62" s="18" t="n">
        <v>69.67011100000001</v>
      </c>
      <c r="F62" s="20" t="n">
        <v>1.83831713</v>
      </c>
      <c r="G62" s="18" t="n">
        <v>28.20288563</v>
      </c>
      <c r="H62" s="20" t="n">
        <v>1.72558003</v>
      </c>
      <c r="I62" s="18" t="n">
        <v>0</v>
      </c>
      <c r="J62" s="20" t="n">
        <v>0</v>
      </c>
      <c r="K62" s="18" t="n">
        <v>0.19824262</v>
      </c>
      <c r="L62" s="20" t="n">
        <v>0.19636188</v>
      </c>
      <c r="M62" s="18" t="n">
        <v>0</v>
      </c>
      <c r="N62" s="20" t="n">
        <v>0</v>
      </c>
      <c r="O62" s="18" t="n">
        <v>0</v>
      </c>
      <c r="P62" s="20" t="n">
        <v>0</v>
      </c>
      <c r="Q62" s="18" t="n">
        <v>1.92876074</v>
      </c>
      <c r="R62" s="20" t="n">
        <v>0.60740555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(4996.0/B67*100)</f>
        <v/>
      </c>
      <c r="D67" s="19" t="n">
        <v>669</v>
      </c>
      <c r="E67" s="18" t="n">
        <v>50.68852564</v>
      </c>
      <c r="F67" s="20" t="n">
        <v>2.01570303</v>
      </c>
      <c r="G67" s="18" t="n">
        <v>19.24840515</v>
      </c>
      <c r="H67" s="20" t="n">
        <v>1.67560587</v>
      </c>
      <c r="I67" s="18" t="n">
        <v>0</v>
      </c>
      <c r="J67" s="20" t="n">
        <v>0</v>
      </c>
      <c r="K67" s="18" t="n">
        <v>2.60867977</v>
      </c>
      <c r="L67" s="20" t="n">
        <v>0.67382966</v>
      </c>
      <c r="M67" s="18" t="n">
        <v>0.13989655</v>
      </c>
      <c r="N67" s="20" t="n">
        <v>0.13934968</v>
      </c>
      <c r="O67" s="18" t="n">
        <v>0</v>
      </c>
      <c r="P67" s="20" t="n">
        <v>0</v>
      </c>
      <c r="Q67" s="18" t="n">
        <v>27.31449289</v>
      </c>
      <c r="R67" s="20" t="n">
        <v>1.7831994</v>
      </c>
    </row>
    <row r="68" spans="1:18">
      <c r="A68" s="15" t="s">
        <v>492</v>
      </c>
      <c r="B68" s="17" t="n">
        <v>6971</v>
      </c>
      <c r="C68" s="18">
        <f>(6308.0/B68*100)</f>
        <v/>
      </c>
      <c r="D68" s="19" t="n">
        <v>663</v>
      </c>
      <c r="E68" s="18" t="n">
        <v>75.68810568000001</v>
      </c>
      <c r="F68" s="20" t="n">
        <v>1.78832016</v>
      </c>
      <c r="G68" s="18" t="n">
        <v>16.47236164</v>
      </c>
      <c r="H68" s="20" t="n">
        <v>1.49839648</v>
      </c>
      <c r="I68" s="18" t="n">
        <v>0</v>
      </c>
      <c r="J68" s="20" t="n">
        <v>0</v>
      </c>
      <c r="K68" s="18" t="n">
        <v>0.38441972</v>
      </c>
      <c r="L68" s="20" t="n">
        <v>0.22238773</v>
      </c>
      <c r="M68" s="18" t="n">
        <v>0</v>
      </c>
      <c r="N68" s="20" t="n">
        <v>0</v>
      </c>
      <c r="O68" s="18" t="n">
        <v>0</v>
      </c>
      <c r="P68" s="20" t="n">
        <v>0</v>
      </c>
      <c r="Q68" s="18" t="n">
        <v>7.45511296</v>
      </c>
      <c r="R68" s="20" t="n">
        <v>1.12411655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(10063.0/B70*100)</f>
        <v/>
      </c>
      <c r="D70" s="19" t="n">
        <v>2020</v>
      </c>
      <c r="E70" s="18" t="n">
        <v>61.95304769</v>
      </c>
      <c r="F70" s="20" t="n">
        <v>1.0507343</v>
      </c>
      <c r="G70" s="18" t="n">
        <v>20.98606874</v>
      </c>
      <c r="H70" s="20" t="n">
        <v>0.9243591</v>
      </c>
      <c r="I70" s="18" t="n">
        <v>0</v>
      </c>
      <c r="J70" s="20" t="n">
        <v>0</v>
      </c>
      <c r="K70" s="18" t="n">
        <v>5.13082331</v>
      </c>
      <c r="L70" s="20" t="n">
        <v>0.46939644</v>
      </c>
      <c r="M70" s="18" t="n">
        <v>0.09490553</v>
      </c>
      <c r="N70" s="20" t="n">
        <v>0.06758535</v>
      </c>
      <c r="O70" s="18" t="n">
        <v>0</v>
      </c>
      <c r="P70" s="20" t="n">
        <v>0</v>
      </c>
      <c r="Q70" s="18" t="n">
        <v>11.83515473</v>
      </c>
      <c r="R70" s="20" t="n">
        <v>0.73729297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(5379.0/B72*100)</f>
        <v/>
      </c>
      <c r="D72" s="19" t="n">
        <v>657</v>
      </c>
      <c r="E72" s="18" t="n">
        <v>70.92689824999999</v>
      </c>
      <c r="F72" s="20" t="n">
        <v>1.90562957</v>
      </c>
      <c r="G72" s="18" t="n">
        <v>19.21188161</v>
      </c>
      <c r="H72" s="20" t="n">
        <v>1.67988876</v>
      </c>
      <c r="I72" s="18" t="n">
        <v>0</v>
      </c>
      <c r="J72" s="20" t="n">
        <v>0</v>
      </c>
      <c r="K72" s="18" t="n">
        <v>0.57622205</v>
      </c>
      <c r="L72" s="20" t="n">
        <v>0.28843302</v>
      </c>
      <c r="M72" s="18" t="n">
        <v>0.14444223</v>
      </c>
      <c r="N72" s="20" t="n">
        <v>0.10063465</v>
      </c>
      <c r="O72" s="18" t="n">
        <v>0</v>
      </c>
      <c r="P72" s="20" t="n">
        <v>0</v>
      </c>
      <c r="Q72" s="18" t="n">
        <v>9.140555859999999</v>
      </c>
      <c r="R72" s="20" t="n">
        <v>1.254212</v>
      </c>
    </row>
    <row r="73" spans="1:18">
      <c r="A73" s="15" t="s">
        <v>497</v>
      </c>
      <c r="B73" s="17" t="n">
        <v>6115</v>
      </c>
      <c r="C73" s="18">
        <f>(5348.0/B73*100)</f>
        <v/>
      </c>
      <c r="D73" s="19" t="n">
        <v>767</v>
      </c>
      <c r="E73" s="18" t="n">
        <v>50.84245044</v>
      </c>
      <c r="F73" s="20" t="n">
        <v>1.89357472</v>
      </c>
      <c r="G73" s="18" t="n">
        <v>45.95989826</v>
      </c>
      <c r="H73" s="20" t="n">
        <v>1.87901464</v>
      </c>
      <c r="I73" s="18" t="n">
        <v>0</v>
      </c>
      <c r="J73" s="20" t="n">
        <v>0</v>
      </c>
      <c r="K73" s="18" t="n">
        <v>0.39440777</v>
      </c>
      <c r="L73" s="20" t="n">
        <v>0.2330052</v>
      </c>
      <c r="M73" s="18" t="n">
        <v>0</v>
      </c>
      <c r="N73" s="20" t="n">
        <v>0</v>
      </c>
      <c r="O73" s="18" t="n">
        <v>0</v>
      </c>
      <c r="P73" s="20" t="n">
        <v>0</v>
      </c>
      <c r="Q73" s="18" t="n">
        <v>2.80324353</v>
      </c>
      <c r="R73" s="20" t="n">
        <v>0.63910089</v>
      </c>
    </row>
    <row r="74" spans="1:18">
      <c r="A74" s="15" t="s">
        <v>498</v>
      </c>
      <c r="B74" s="17" t="n">
        <v>7708</v>
      </c>
      <c r="C74" s="18">
        <f>(6757.0/B74*100)</f>
        <v/>
      </c>
      <c r="D74" s="19" t="n">
        <v>951</v>
      </c>
      <c r="E74" s="18" t="n">
        <v>65.92909657</v>
      </c>
      <c r="F74" s="20" t="n">
        <v>1.64599796</v>
      </c>
      <c r="G74" s="18" t="n">
        <v>28.06209082</v>
      </c>
      <c r="H74" s="20" t="n">
        <v>1.57715078</v>
      </c>
      <c r="I74" s="18" t="n">
        <v>0</v>
      </c>
      <c r="J74" s="20" t="n">
        <v>0</v>
      </c>
      <c r="K74" s="18" t="n">
        <v>0.16879806</v>
      </c>
      <c r="L74" s="20" t="n">
        <v>0.11940567</v>
      </c>
      <c r="M74" s="18" t="n">
        <v>0</v>
      </c>
      <c r="N74" s="20" t="n">
        <v>0</v>
      </c>
      <c r="O74" s="18" t="n">
        <v>0</v>
      </c>
      <c r="P74" s="20" t="n">
        <v>0</v>
      </c>
      <c r="Q74" s="18" t="n">
        <v>5.84001455</v>
      </c>
      <c r="R74" s="20" t="n">
        <v>0.86997684</v>
      </c>
    </row>
    <row r="75" spans="1:18">
      <c r="A75" s="15" t="s">
        <v>499</v>
      </c>
      <c r="B75" s="17" t="n">
        <v>8249</v>
      </c>
      <c r="C75" s="18">
        <f>(7311.0/B75*100)</f>
        <v/>
      </c>
      <c r="D75" s="19" t="n">
        <v>938</v>
      </c>
      <c r="E75" s="18" t="n">
        <v>77.88711988999999</v>
      </c>
      <c r="F75" s="20" t="n">
        <v>1.6372781</v>
      </c>
      <c r="G75" s="18" t="n">
        <v>19.51230111</v>
      </c>
      <c r="H75" s="20" t="n">
        <v>1.53199212</v>
      </c>
      <c r="I75" s="18" t="n">
        <v>0</v>
      </c>
      <c r="J75" s="20" t="n">
        <v>0</v>
      </c>
      <c r="K75" s="18" t="n">
        <v>0.31410844</v>
      </c>
      <c r="L75" s="20" t="n">
        <v>0.22128289</v>
      </c>
      <c r="M75" s="18" t="n">
        <v>0.14485864</v>
      </c>
      <c r="N75" s="20" t="n">
        <v>0.14498656</v>
      </c>
      <c r="O75" s="18" t="n">
        <v>0</v>
      </c>
      <c r="P75" s="20" t="n">
        <v>0</v>
      </c>
      <c r="Q75" s="18" t="n">
        <v>2.14161191</v>
      </c>
      <c r="R75" s="20" t="n">
        <v>0.63668852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(4796.0/B77*100)</f>
        <v/>
      </c>
      <c r="D77" s="19" t="n">
        <v>579</v>
      </c>
      <c r="E77" s="18" t="n">
        <v>61.94279557</v>
      </c>
      <c r="F77" s="20" t="n">
        <v>1.97551466</v>
      </c>
      <c r="G77" s="18" t="n">
        <v>15.57187032</v>
      </c>
      <c r="H77" s="20" t="n">
        <v>1.47037323</v>
      </c>
      <c r="I77" s="18" t="n">
        <v>0</v>
      </c>
      <c r="J77" s="20" t="n">
        <v>0</v>
      </c>
      <c r="K77" s="18" t="n">
        <v>4.26214885</v>
      </c>
      <c r="L77" s="20" t="n">
        <v>0.96321531</v>
      </c>
      <c r="M77" s="18" t="n">
        <v>0</v>
      </c>
      <c r="N77" s="20" t="n">
        <v>0</v>
      </c>
      <c r="O77" s="18" t="n">
        <v>0</v>
      </c>
      <c r="P77" s="20" t="n">
        <v>0</v>
      </c>
      <c r="Q77" s="18" t="n">
        <v>18.22318525</v>
      </c>
      <c r="R77" s="20" t="n">
        <v>1.79335942</v>
      </c>
    </row>
    <row r="78" spans="1:18">
      <c r="A78" s="15" t="s">
        <v>502</v>
      </c>
      <c r="B78" s="17" t="n">
        <v>14167</v>
      </c>
      <c r="C78" s="18">
        <f>(12417.0/B78*100)</f>
        <v/>
      </c>
      <c r="D78" s="19" t="n">
        <v>1750</v>
      </c>
      <c r="E78" s="18" t="n">
        <v>62.81617227</v>
      </c>
      <c r="F78" s="20" t="n">
        <v>1.38831395</v>
      </c>
      <c r="G78" s="18" t="n">
        <v>29.9597461</v>
      </c>
      <c r="H78" s="20" t="n">
        <v>1.37744055</v>
      </c>
      <c r="I78" s="18" t="n">
        <v>0</v>
      </c>
      <c r="J78" s="20" t="n">
        <v>0</v>
      </c>
      <c r="K78" s="18" t="n">
        <v>1.42607421</v>
      </c>
      <c r="L78" s="20" t="n">
        <v>0.3616313</v>
      </c>
      <c r="M78" s="18" t="n">
        <v>0.04852633</v>
      </c>
      <c r="N78" s="20" t="n">
        <v>0.03483633</v>
      </c>
      <c r="O78" s="18" t="n">
        <v>0</v>
      </c>
      <c r="P78" s="20" t="n">
        <v>0</v>
      </c>
      <c r="Q78" s="18" t="n">
        <v>5.7494811</v>
      </c>
      <c r="R78" s="20" t="n">
        <v>0.6775971</v>
      </c>
    </row>
    <row r="79" spans="1:18">
      <c r="A79" s="15" t="s">
        <v>503</v>
      </c>
      <c r="B79" s="17" t="n">
        <v>6062</v>
      </c>
      <c r="C79" s="18">
        <f>(5368.0/B79*100)</f>
        <v/>
      </c>
      <c r="D79" s="19" t="n">
        <v>694</v>
      </c>
      <c r="E79" s="18" t="n">
        <v>61.38870666</v>
      </c>
      <c r="F79" s="20" t="n">
        <v>1.88949422</v>
      </c>
      <c r="G79" s="18" t="n">
        <v>22.89196705</v>
      </c>
      <c r="H79" s="20" t="n">
        <v>1.52858068</v>
      </c>
      <c r="I79" s="18" t="n">
        <v>0</v>
      </c>
      <c r="J79" s="20" t="n">
        <v>0</v>
      </c>
      <c r="K79" s="18" t="n">
        <v>2.6820285</v>
      </c>
      <c r="L79" s="20" t="n">
        <v>0.56917802</v>
      </c>
      <c r="M79" s="18" t="n">
        <v>0.20300863</v>
      </c>
      <c r="N79" s="20" t="n">
        <v>0.12449585</v>
      </c>
      <c r="O79" s="18" t="n">
        <v>0</v>
      </c>
      <c r="P79" s="20" t="n">
        <v>0</v>
      </c>
      <c r="Q79" s="18" t="n">
        <v>12.83428916</v>
      </c>
      <c r="R79" s="20" t="n">
        <v>1.32012596</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(28521.0/B82*100)</f>
        <v/>
      </c>
      <c r="D82" s="19" t="n">
        <v>3809</v>
      </c>
      <c r="E82" s="18" t="n">
        <v>58.51397282</v>
      </c>
      <c r="F82" s="20" t="n">
        <v>1.15283797</v>
      </c>
      <c r="G82" s="18" t="n">
        <v>35.21545663</v>
      </c>
      <c r="H82" s="20" t="n">
        <v>1.01255511</v>
      </c>
      <c r="I82" s="18" t="n">
        <v>0</v>
      </c>
      <c r="J82" s="20" t="n">
        <v>0</v>
      </c>
      <c r="K82" s="18" t="n">
        <v>0.8743712</v>
      </c>
      <c r="L82" s="20" t="n">
        <v>0.22098352</v>
      </c>
      <c r="M82" s="18" t="n">
        <v>0.008213750000000001</v>
      </c>
      <c r="N82" s="20" t="n">
        <v>0.008182200000000001</v>
      </c>
      <c r="O82" s="18" t="n">
        <v>0</v>
      </c>
      <c r="P82" s="20" t="n">
        <v>0</v>
      </c>
      <c r="Q82" s="18" t="n">
        <v>5.3879856</v>
      </c>
      <c r="R82" s="20" t="n">
        <v>0.51483795</v>
      </c>
    </row>
    <row r="83" spans="1:18">
      <c r="A83" s="15" t="s">
        <v>507</v>
      </c>
      <c r="B83" s="17" t="n">
        <v>1652</v>
      </c>
      <c r="C83" s="18">
        <f>(1427.0/B83*100)</f>
        <v/>
      </c>
      <c r="D83" s="19" t="n">
        <v>225</v>
      </c>
      <c r="E83" s="18" t="n">
        <v>50.61858618</v>
      </c>
      <c r="F83" s="20" t="n">
        <v>3.59903893</v>
      </c>
      <c r="G83" s="18" t="n">
        <v>47.78720815</v>
      </c>
      <c r="H83" s="20" t="n">
        <v>3.64702429</v>
      </c>
      <c r="I83" s="18" t="n">
        <v>0</v>
      </c>
      <c r="J83" s="20" t="n">
        <v>0</v>
      </c>
      <c r="K83" s="18" t="n">
        <v>0</v>
      </c>
      <c r="L83" s="20" t="n">
        <v>0</v>
      </c>
      <c r="M83" s="18" t="n">
        <v>0</v>
      </c>
      <c r="N83" s="20" t="n">
        <v>0</v>
      </c>
      <c r="O83" s="18" t="n">
        <v>0</v>
      </c>
      <c r="P83" s="20" t="n">
        <v>0</v>
      </c>
      <c r="Q83" s="18" t="n">
        <v>1.59420567</v>
      </c>
      <c r="R83" s="20" t="n">
        <v>0.77500655</v>
      </c>
    </row>
    <row r="84" spans="1:18">
      <c r="A84" s="23" t="s">
        <v>508</v>
      </c>
      <c r="B84" s="24" t="n">
        <v>1887</v>
      </c>
      <c r="C84" s="25">
        <f>(1611.0/B84*100)</f>
        <v/>
      </c>
      <c r="D84" s="19" t="n">
        <v>276</v>
      </c>
      <c r="E84" s="18" t="n">
        <v>57.64519583</v>
      </c>
      <c r="F84" s="20" t="n">
        <v>3.38222194</v>
      </c>
      <c r="G84" s="18" t="n">
        <v>40.21207422</v>
      </c>
      <c r="H84" s="20" t="n">
        <v>3.24264266</v>
      </c>
      <c r="I84" s="18" t="n">
        <v>0</v>
      </c>
      <c r="J84" s="20" t="n">
        <v>0</v>
      </c>
      <c r="K84" s="18" t="n">
        <v>0</v>
      </c>
      <c r="L84" s="20" t="n">
        <v>0</v>
      </c>
      <c r="M84" s="18" t="n">
        <v>0</v>
      </c>
      <c r="N84" s="20" t="n">
        <v>0</v>
      </c>
      <c r="O84" s="18" t="n">
        <v>0</v>
      </c>
      <c r="P84" s="20" t="n">
        <v>0</v>
      </c>
      <c r="Q84" s="18" t="n">
        <v>2.14272995</v>
      </c>
      <c r="R84" s="20" t="n">
        <v>0.7099746300000001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(12828.0/B7*100)</f>
        <v/>
      </c>
      <c r="D7" s="19" t="n">
        <v>1702</v>
      </c>
      <c r="E7" s="18" t="n">
        <v>18.43198009</v>
      </c>
      <c r="F7" s="20" t="n">
        <v>1.1689223</v>
      </c>
      <c r="G7" s="18" t="n">
        <v>76.09104212</v>
      </c>
      <c r="H7" s="20" t="n">
        <v>1.32684233</v>
      </c>
      <c r="I7" s="18" t="n">
        <v>0</v>
      </c>
      <c r="J7" s="20" t="n">
        <v>0</v>
      </c>
      <c r="K7" s="18" t="n">
        <v>0.66467321</v>
      </c>
      <c r="L7" s="20" t="n">
        <v>0.24278978</v>
      </c>
      <c r="M7" s="18" t="n">
        <v>0.03764356</v>
      </c>
      <c r="N7" s="20" t="n">
        <v>0.0249381</v>
      </c>
      <c r="O7" s="18" t="n">
        <v>0</v>
      </c>
      <c r="P7" s="20" t="n">
        <v>0</v>
      </c>
      <c r="Q7" s="18" t="n">
        <v>4.77466101</v>
      </c>
      <c r="R7" s="20" t="n">
        <v>0.68652457</v>
      </c>
    </row>
    <row r="8" spans="1:18">
      <c r="A8" s="15" t="s">
        <v>430</v>
      </c>
      <c r="B8" s="17" t="n">
        <v>7007</v>
      </c>
      <c r="C8" s="18">
        <f>(6129.0/B8*100)</f>
        <v/>
      </c>
      <c r="D8" s="19" t="n">
        <v>878</v>
      </c>
      <c r="E8" s="18" t="n">
        <v>18.42513088</v>
      </c>
      <c r="F8" s="20" t="n">
        <v>1.59044301</v>
      </c>
      <c r="G8" s="18" t="n">
        <v>76.14075185</v>
      </c>
      <c r="H8" s="20" t="n">
        <v>1.80498764</v>
      </c>
      <c r="I8" s="18" t="n">
        <v>0</v>
      </c>
      <c r="J8" s="20" t="n">
        <v>0</v>
      </c>
      <c r="K8" s="18" t="n">
        <v>0.69383864</v>
      </c>
      <c r="L8" s="20" t="n">
        <v>0.28038196</v>
      </c>
      <c r="M8" s="18" t="n">
        <v>0</v>
      </c>
      <c r="N8" s="20" t="n">
        <v>0</v>
      </c>
      <c r="O8" s="18" t="n">
        <v>0</v>
      </c>
      <c r="P8" s="20" t="n">
        <v>0</v>
      </c>
      <c r="Q8" s="18" t="n">
        <v>4.74027863</v>
      </c>
      <c r="R8" s="20" t="n">
        <v>0.70017688</v>
      </c>
    </row>
    <row r="9" spans="1:18">
      <c r="A9" s="15" t="s">
        <v>431</v>
      </c>
      <c r="B9" s="17" t="n">
        <v>9651</v>
      </c>
      <c r="C9" s="18">
        <f>(8293.0/B9*100)</f>
        <v/>
      </c>
      <c r="D9" s="19" t="n">
        <v>1358</v>
      </c>
      <c r="E9" s="18" t="n">
        <v>22.20045976</v>
      </c>
      <c r="F9" s="20" t="n">
        <v>1.64018274</v>
      </c>
      <c r="G9" s="18" t="n">
        <v>69.27405029000001</v>
      </c>
      <c r="H9" s="20" t="n">
        <v>1.93036523</v>
      </c>
      <c r="I9" s="18" t="n">
        <v>0</v>
      </c>
      <c r="J9" s="20" t="n">
        <v>0</v>
      </c>
      <c r="K9" s="18" t="n">
        <v>1.72034868</v>
      </c>
      <c r="L9" s="20" t="n">
        <v>0.36135749</v>
      </c>
      <c r="M9" s="18" t="n">
        <v>0.27856476</v>
      </c>
      <c r="N9" s="20" t="n">
        <v>0.14118207</v>
      </c>
      <c r="O9" s="18" t="n">
        <v>0.06818945</v>
      </c>
      <c r="P9" s="20" t="n">
        <v>0.04875507</v>
      </c>
      <c r="Q9" s="18" t="n">
        <v>6.45838706</v>
      </c>
      <c r="R9" s="20" t="n">
        <v>0.95264855</v>
      </c>
    </row>
    <row r="10" spans="1:18">
      <c r="A10" s="15" t="s">
        <v>432</v>
      </c>
      <c r="B10" s="17" t="n">
        <v>20058</v>
      </c>
      <c r="C10" s="18">
        <f>(17561.0/B10*100)</f>
        <v/>
      </c>
      <c r="D10" s="19" t="n">
        <v>2497</v>
      </c>
      <c r="E10" s="18" t="n">
        <v>18.59921173</v>
      </c>
      <c r="F10" s="20" t="n">
        <v>1.02914206</v>
      </c>
      <c r="G10" s="18" t="n">
        <v>77.53460025</v>
      </c>
      <c r="H10" s="20" t="n">
        <v>1.22202048</v>
      </c>
      <c r="I10" s="18" t="n">
        <v>0</v>
      </c>
      <c r="J10" s="20" t="n">
        <v>0</v>
      </c>
      <c r="K10" s="18" t="n">
        <v>0.77924964</v>
      </c>
      <c r="L10" s="20" t="n">
        <v>0.23925274</v>
      </c>
      <c r="M10" s="18" t="n">
        <v>0.04315143</v>
      </c>
      <c r="N10" s="20" t="n">
        <v>0.04313567</v>
      </c>
      <c r="O10" s="18" t="n">
        <v>0</v>
      </c>
      <c r="P10" s="20" t="n">
        <v>0</v>
      </c>
      <c r="Q10" s="18" t="n">
        <v>3.04378695</v>
      </c>
      <c r="R10" s="20" t="n">
        <v>0.45933852</v>
      </c>
    </row>
    <row r="11" spans="1:18">
      <c r="A11" s="15" t="s">
        <v>433</v>
      </c>
      <c r="B11" s="17" t="n">
        <v>7053</v>
      </c>
      <c r="C11" s="18">
        <f>(6263.0/B11*100)</f>
        <v/>
      </c>
      <c r="D11" s="19" t="n">
        <v>790</v>
      </c>
      <c r="E11" s="18" t="n">
        <v>16.70686165</v>
      </c>
      <c r="F11" s="20" t="n">
        <v>1.89658395</v>
      </c>
      <c r="G11" s="18" t="n">
        <v>69.88580301</v>
      </c>
      <c r="H11" s="20" t="n">
        <v>2.1940481</v>
      </c>
      <c r="I11" s="18" t="n">
        <v>0</v>
      </c>
      <c r="J11" s="20" t="n">
        <v>0</v>
      </c>
      <c r="K11" s="18" t="n">
        <v>3.20604919</v>
      </c>
      <c r="L11" s="20" t="n">
        <v>0.77509667</v>
      </c>
      <c r="M11" s="18" t="n">
        <v>0</v>
      </c>
      <c r="N11" s="20" t="n">
        <v>0</v>
      </c>
      <c r="O11" s="18" t="n">
        <v>0</v>
      </c>
      <c r="P11" s="20" t="n">
        <v>0</v>
      </c>
      <c r="Q11" s="18" t="n">
        <v>10.20128615</v>
      </c>
      <c r="R11" s="20" t="n">
        <v>1.18570323</v>
      </c>
    </row>
    <row r="12" spans="1:18">
      <c r="A12" s="15" t="s">
        <v>434</v>
      </c>
      <c r="B12" s="17" t="n">
        <v>6894</v>
      </c>
      <c r="C12" s="18">
        <f>(5991.0/B12*100)</f>
        <v/>
      </c>
      <c r="D12" s="19" t="n">
        <v>903</v>
      </c>
      <c r="E12" s="18" t="n">
        <v>20.71748004</v>
      </c>
      <c r="F12" s="20" t="n">
        <v>1.91987727</v>
      </c>
      <c r="G12" s="18" t="n">
        <v>72.53764894</v>
      </c>
      <c r="H12" s="20" t="n">
        <v>2.43309838</v>
      </c>
      <c r="I12" s="18" t="n">
        <v>0</v>
      </c>
      <c r="J12" s="20" t="n">
        <v>0</v>
      </c>
      <c r="K12" s="18" t="n">
        <v>0.40212585</v>
      </c>
      <c r="L12" s="20" t="n">
        <v>0.23276736</v>
      </c>
      <c r="M12" s="18" t="n">
        <v>0.27760351</v>
      </c>
      <c r="N12" s="20" t="n">
        <v>0.20946351</v>
      </c>
      <c r="O12" s="18" t="n">
        <v>0</v>
      </c>
      <c r="P12" s="20" t="n">
        <v>0</v>
      </c>
      <c r="Q12" s="18" t="n">
        <v>6.06514166</v>
      </c>
      <c r="R12" s="20" t="n">
        <v>0.89985781</v>
      </c>
    </row>
    <row r="13" spans="1:18">
      <c r="A13" s="15" t="s">
        <v>435</v>
      </c>
      <c r="B13" s="17" t="n">
        <v>7161</v>
      </c>
      <c r="C13" s="18">
        <f>(5996.0/B13*100)</f>
        <v/>
      </c>
      <c r="D13" s="19" t="n">
        <v>1165</v>
      </c>
      <c r="E13" s="18" t="n">
        <v>19.91540547</v>
      </c>
      <c r="F13" s="20" t="n">
        <v>1.31754976</v>
      </c>
      <c r="G13" s="18" t="n">
        <v>73.20640562</v>
      </c>
      <c r="H13" s="20" t="n">
        <v>1.58983735</v>
      </c>
      <c r="I13" s="18" t="n">
        <v>0</v>
      </c>
      <c r="J13" s="20" t="n">
        <v>0</v>
      </c>
      <c r="K13" s="18" t="n">
        <v>1.07196176</v>
      </c>
      <c r="L13" s="20" t="n">
        <v>0.31417764</v>
      </c>
      <c r="M13" s="18" t="n">
        <v>0</v>
      </c>
      <c r="N13" s="20" t="n">
        <v>0</v>
      </c>
      <c r="O13" s="18" t="n">
        <v>0</v>
      </c>
      <c r="P13" s="20" t="n">
        <v>0</v>
      </c>
      <c r="Q13" s="18" t="n">
        <v>5.80622716</v>
      </c>
      <c r="R13" s="20" t="n">
        <v>0.90296891</v>
      </c>
    </row>
    <row r="14" spans="1:18">
      <c r="A14" s="15" t="s">
        <v>436</v>
      </c>
      <c r="B14" s="17" t="n">
        <v>5587</v>
      </c>
      <c r="C14" s="18">
        <f>(4938.0/B14*100)</f>
        <v/>
      </c>
      <c r="D14" s="19" t="n">
        <v>649</v>
      </c>
      <c r="E14" s="18" t="n">
        <v>21.86081146</v>
      </c>
      <c r="F14" s="20" t="n">
        <v>1.82801571</v>
      </c>
      <c r="G14" s="18" t="n">
        <v>74.13430307</v>
      </c>
      <c r="H14" s="20" t="n">
        <v>1.96526931</v>
      </c>
      <c r="I14" s="18" t="n">
        <v>0</v>
      </c>
      <c r="J14" s="20" t="n">
        <v>0</v>
      </c>
      <c r="K14" s="18" t="n">
        <v>0.54518946</v>
      </c>
      <c r="L14" s="20" t="n">
        <v>0.27296228</v>
      </c>
      <c r="M14" s="18" t="n">
        <v>0.12391951</v>
      </c>
      <c r="N14" s="20" t="n">
        <v>0.12397103</v>
      </c>
      <c r="O14" s="18" t="n">
        <v>0</v>
      </c>
      <c r="P14" s="20" t="n">
        <v>0</v>
      </c>
      <c r="Q14" s="18" t="n">
        <v>3.3357765</v>
      </c>
      <c r="R14" s="20" t="n">
        <v>0.70653694</v>
      </c>
    </row>
    <row r="15" spans="1:18">
      <c r="A15" s="15" t="s">
        <v>437</v>
      </c>
      <c r="B15" s="17" t="n">
        <v>5882</v>
      </c>
      <c r="C15" s="18">
        <f>(5132.0/B15*100)</f>
        <v/>
      </c>
      <c r="D15" s="19" t="n">
        <v>750</v>
      </c>
      <c r="E15" s="18" t="n">
        <v>23.67171922</v>
      </c>
      <c r="F15" s="20" t="n">
        <v>1.63340991</v>
      </c>
      <c r="G15" s="18" t="n">
        <v>71.37138275</v>
      </c>
      <c r="H15" s="20" t="n">
        <v>2.26509264</v>
      </c>
      <c r="I15" s="18" t="n">
        <v>0</v>
      </c>
      <c r="J15" s="20" t="n">
        <v>0</v>
      </c>
      <c r="K15" s="18" t="n">
        <v>0.76867698</v>
      </c>
      <c r="L15" s="20" t="n">
        <v>0.36934979</v>
      </c>
      <c r="M15" s="18" t="n">
        <v>0</v>
      </c>
      <c r="N15" s="20" t="n">
        <v>0</v>
      </c>
      <c r="O15" s="18" t="n">
        <v>0</v>
      </c>
      <c r="P15" s="20" t="n">
        <v>0</v>
      </c>
      <c r="Q15" s="18" t="n">
        <v>4.18822105</v>
      </c>
      <c r="R15" s="20" t="n">
        <v>1.07528461</v>
      </c>
    </row>
    <row r="16" spans="1:18">
      <c r="A16" s="15" t="s">
        <v>438</v>
      </c>
      <c r="B16" s="17" t="n">
        <v>6108</v>
      </c>
      <c r="C16" s="18">
        <f>(5396.0/B16*100)</f>
        <v/>
      </c>
      <c r="D16" s="19" t="n">
        <v>712</v>
      </c>
      <c r="E16" s="18" t="n">
        <v>28.755255</v>
      </c>
      <c r="F16" s="20" t="n">
        <v>1.92080846</v>
      </c>
      <c r="G16" s="18" t="n">
        <v>58.95041162</v>
      </c>
      <c r="H16" s="20" t="n">
        <v>2.03498545</v>
      </c>
      <c r="I16" s="18" t="n">
        <v>0</v>
      </c>
      <c r="J16" s="20" t="n">
        <v>0</v>
      </c>
      <c r="K16" s="18" t="n">
        <v>4.07131168</v>
      </c>
      <c r="L16" s="20" t="n">
        <v>0.7044878999999999</v>
      </c>
      <c r="M16" s="18" t="n">
        <v>0.13021804</v>
      </c>
      <c r="N16" s="20" t="n">
        <v>0.17114668</v>
      </c>
      <c r="O16" s="18" t="n">
        <v>0</v>
      </c>
      <c r="P16" s="20" t="n">
        <v>0</v>
      </c>
      <c r="Q16" s="18" t="n">
        <v>8.09280366</v>
      </c>
      <c r="R16" s="20" t="n">
        <v>0.98213635</v>
      </c>
    </row>
    <row r="17" spans="1:18">
      <c r="A17" s="15" t="s">
        <v>439</v>
      </c>
      <c r="B17" s="17" t="n">
        <v>6504</v>
      </c>
      <c r="C17" s="18">
        <f>(5626.0/B17*100)</f>
        <v/>
      </c>
      <c r="D17" s="19" t="n">
        <v>878</v>
      </c>
      <c r="E17" s="18" t="n">
        <v>16.73983409</v>
      </c>
      <c r="F17" s="20" t="n">
        <v>1.21800132</v>
      </c>
      <c r="G17" s="18" t="n">
        <v>71.82774985</v>
      </c>
      <c r="H17" s="20" t="n">
        <v>1.90092427</v>
      </c>
      <c r="I17" s="18" t="n">
        <v>0</v>
      </c>
      <c r="J17" s="20" t="n">
        <v>0</v>
      </c>
      <c r="K17" s="18" t="n">
        <v>3.15794497</v>
      </c>
      <c r="L17" s="20" t="n">
        <v>0.84479617</v>
      </c>
      <c r="M17" s="18" t="n">
        <v>0</v>
      </c>
      <c r="N17" s="20" t="n">
        <v>0</v>
      </c>
      <c r="O17" s="18" t="n">
        <v>0</v>
      </c>
      <c r="P17" s="20" t="n">
        <v>0</v>
      </c>
      <c r="Q17" s="18" t="n">
        <v>8.27447109</v>
      </c>
      <c r="R17" s="20" t="n">
        <v>1.30029279</v>
      </c>
    </row>
    <row r="18" spans="1:18">
      <c r="A18" s="15" t="s">
        <v>440</v>
      </c>
      <c r="B18" s="17" t="n">
        <v>5532</v>
      </c>
      <c r="C18" s="18">
        <f>(4855.0/B18*100)</f>
        <v/>
      </c>
      <c r="D18" s="19" t="n">
        <v>677</v>
      </c>
      <c r="E18" s="18" t="n">
        <v>20.86278276</v>
      </c>
      <c r="F18" s="20" t="n">
        <v>1.57841086</v>
      </c>
      <c r="G18" s="18" t="n">
        <v>69.59088972000001</v>
      </c>
      <c r="H18" s="20" t="n">
        <v>1.97773868</v>
      </c>
      <c r="I18" s="18" t="n">
        <v>0</v>
      </c>
      <c r="J18" s="20" t="n">
        <v>0</v>
      </c>
      <c r="K18" s="18" t="n">
        <v>1.32411317</v>
      </c>
      <c r="L18" s="20" t="n">
        <v>0.47681479</v>
      </c>
      <c r="M18" s="18" t="n">
        <v>0</v>
      </c>
      <c r="N18" s="20" t="n">
        <v>0</v>
      </c>
      <c r="O18" s="18" t="n">
        <v>0</v>
      </c>
      <c r="P18" s="20" t="n">
        <v>0</v>
      </c>
      <c r="Q18" s="18" t="n">
        <v>8.222214340000001</v>
      </c>
      <c r="R18" s="20" t="n">
        <v>0.98592199</v>
      </c>
    </row>
    <row r="19" spans="1:18">
      <c r="A19" s="15" t="s">
        <v>441</v>
      </c>
      <c r="B19" s="17" t="n">
        <v>5658</v>
      </c>
      <c r="C19" s="18">
        <f>(4990.0/B19*100)</f>
        <v/>
      </c>
      <c r="D19" s="19" t="n">
        <v>668</v>
      </c>
      <c r="E19" s="18" t="n">
        <v>13.84071789</v>
      </c>
      <c r="F19" s="20" t="n">
        <v>1.39891924</v>
      </c>
      <c r="G19" s="18" t="n">
        <v>80.78911771999999</v>
      </c>
      <c r="H19" s="20" t="n">
        <v>1.74972973</v>
      </c>
      <c r="I19" s="18" t="n">
        <v>0</v>
      </c>
      <c r="J19" s="20" t="n">
        <v>0</v>
      </c>
      <c r="K19" s="18" t="n">
        <v>0.77331719</v>
      </c>
      <c r="L19" s="20" t="n">
        <v>0.4339733</v>
      </c>
      <c r="M19" s="18" t="n">
        <v>0.15919867</v>
      </c>
      <c r="N19" s="20" t="n">
        <v>0.14305145</v>
      </c>
      <c r="O19" s="18" t="n">
        <v>0</v>
      </c>
      <c r="P19" s="20" t="n">
        <v>0</v>
      </c>
      <c r="Q19" s="18" t="n">
        <v>4.43764853</v>
      </c>
      <c r="R19" s="20" t="n">
        <v>0.84685881</v>
      </c>
    </row>
    <row r="20" spans="1:18">
      <c r="A20" s="15" t="s">
        <v>442</v>
      </c>
      <c r="B20" s="17" t="n">
        <v>3371</v>
      </c>
      <c r="C20" s="18">
        <f>(2974.0/B20*100)</f>
        <v/>
      </c>
      <c r="D20" s="19" t="n">
        <v>397</v>
      </c>
      <c r="E20" s="18" t="n">
        <v>12.09383483</v>
      </c>
      <c r="F20" s="20" t="n">
        <v>1.71131692</v>
      </c>
      <c r="G20" s="18" t="n">
        <v>84.35246333000001</v>
      </c>
      <c r="H20" s="20" t="n">
        <v>1.97739275</v>
      </c>
      <c r="I20" s="18" t="n">
        <v>0</v>
      </c>
      <c r="J20" s="20" t="n">
        <v>0</v>
      </c>
      <c r="K20" s="18" t="n">
        <v>0.88244526</v>
      </c>
      <c r="L20" s="20" t="n">
        <v>0.5243084099999999</v>
      </c>
      <c r="M20" s="18" t="n">
        <v>0</v>
      </c>
      <c r="N20" s="20" t="n">
        <v>0</v>
      </c>
      <c r="O20" s="18" t="n">
        <v>0</v>
      </c>
      <c r="P20" s="20" t="n">
        <v>0</v>
      </c>
      <c r="Q20" s="18" t="n">
        <v>2.67125658</v>
      </c>
      <c r="R20" s="20" t="n">
        <v>0.80637243</v>
      </c>
    </row>
    <row r="21" spans="1:18">
      <c r="A21" s="15" t="s">
        <v>443</v>
      </c>
      <c r="B21" s="17" t="n">
        <v>5741</v>
      </c>
      <c r="C21" s="18">
        <f>(4798.0/B21*100)</f>
        <v/>
      </c>
      <c r="D21" s="19" t="n">
        <v>943</v>
      </c>
      <c r="E21" s="18" t="n">
        <v>14.42157568</v>
      </c>
      <c r="F21" s="20" t="n">
        <v>1.33173451</v>
      </c>
      <c r="G21" s="18" t="n">
        <v>82.84501400000001</v>
      </c>
      <c r="H21" s="20" t="n">
        <v>1.42582332</v>
      </c>
      <c r="I21" s="18" t="n">
        <v>0</v>
      </c>
      <c r="J21" s="20" t="n">
        <v>0</v>
      </c>
      <c r="K21" s="18" t="n">
        <v>0.80619339</v>
      </c>
      <c r="L21" s="20" t="n">
        <v>0.29434741</v>
      </c>
      <c r="M21" s="18" t="n">
        <v>0</v>
      </c>
      <c r="N21" s="20" t="n">
        <v>0</v>
      </c>
      <c r="O21" s="18" t="n">
        <v>0</v>
      </c>
      <c r="P21" s="20" t="n">
        <v>0</v>
      </c>
      <c r="Q21" s="18" t="n">
        <v>1.92721693</v>
      </c>
      <c r="R21" s="20" t="n">
        <v>0.59824834</v>
      </c>
    </row>
    <row r="22" spans="1:18">
      <c r="A22" s="15" t="s">
        <v>444</v>
      </c>
      <c r="B22" s="17" t="n">
        <v>6598</v>
      </c>
      <c r="C22" s="18">
        <f>(5750.0/B22*100)</f>
        <v/>
      </c>
      <c r="D22" s="19" t="n">
        <v>848</v>
      </c>
      <c r="E22" s="18" t="n">
        <v>16.30331376</v>
      </c>
      <c r="F22" s="20" t="n">
        <v>1.28666912</v>
      </c>
      <c r="G22" s="18" t="n">
        <v>77.35674117000001</v>
      </c>
      <c r="H22" s="20" t="n">
        <v>1.43464596</v>
      </c>
      <c r="I22" s="18" t="n">
        <v>0</v>
      </c>
      <c r="J22" s="20" t="n">
        <v>0</v>
      </c>
      <c r="K22" s="18" t="n">
        <v>1.60312998</v>
      </c>
      <c r="L22" s="20" t="n">
        <v>0.46150507</v>
      </c>
      <c r="M22" s="18" t="n">
        <v>0</v>
      </c>
      <c r="N22" s="20" t="n">
        <v>0</v>
      </c>
      <c r="O22" s="18" t="n">
        <v>0</v>
      </c>
      <c r="P22" s="20" t="n">
        <v>0</v>
      </c>
      <c r="Q22" s="18" t="n">
        <v>4.73681509</v>
      </c>
      <c r="R22" s="20" t="n">
        <v>0.78072349</v>
      </c>
    </row>
    <row r="23" spans="1:18">
      <c r="A23" s="15" t="s">
        <v>445</v>
      </c>
      <c r="B23" s="17" t="n">
        <v>11583</v>
      </c>
      <c r="C23" s="18">
        <f>(10189.0/B23*100)</f>
        <v/>
      </c>
      <c r="D23" s="19" t="n">
        <v>1394</v>
      </c>
      <c r="E23" s="18" t="n">
        <v>13.01862584</v>
      </c>
      <c r="F23" s="20" t="n">
        <v>1.6879324</v>
      </c>
      <c r="G23" s="18" t="n">
        <v>78.97307108</v>
      </c>
      <c r="H23" s="20" t="n">
        <v>1.9319583</v>
      </c>
      <c r="I23" s="18" t="n">
        <v>0</v>
      </c>
      <c r="J23" s="20" t="n">
        <v>0</v>
      </c>
      <c r="K23" s="18" t="n">
        <v>1.43860446</v>
      </c>
      <c r="L23" s="20" t="n">
        <v>0.45536</v>
      </c>
      <c r="M23" s="18" t="n">
        <v>1.07874878</v>
      </c>
      <c r="N23" s="20" t="n">
        <v>0.83066938</v>
      </c>
      <c r="O23" s="18" t="n">
        <v>0</v>
      </c>
      <c r="P23" s="20" t="n">
        <v>0</v>
      </c>
      <c r="Q23" s="18" t="n">
        <v>5.49094984</v>
      </c>
      <c r="R23" s="20" t="n">
        <v>1.12811558</v>
      </c>
    </row>
    <row r="24" spans="1:18">
      <c r="A24" s="15" t="s">
        <v>446</v>
      </c>
      <c r="B24" s="17" t="n">
        <v>6647</v>
      </c>
      <c r="C24" s="18">
        <f>(5865.0/B24*100)</f>
        <v/>
      </c>
      <c r="D24" s="19" t="n">
        <v>782</v>
      </c>
      <c r="E24" s="18" t="n">
        <v>8.017064270000001</v>
      </c>
      <c r="F24" s="20" t="n">
        <v>1.16812312</v>
      </c>
      <c r="G24" s="18" t="n">
        <v>87.30806422000001</v>
      </c>
      <c r="H24" s="20" t="n">
        <v>1.42140251</v>
      </c>
      <c r="I24" s="18" t="n">
        <v>0</v>
      </c>
      <c r="J24" s="20" t="n">
        <v>0</v>
      </c>
      <c r="K24" s="18" t="n">
        <v>1.19681417</v>
      </c>
      <c r="L24" s="20" t="n">
        <v>0.40725013</v>
      </c>
      <c r="M24" s="18" t="n">
        <v>0</v>
      </c>
      <c r="N24" s="20" t="n">
        <v>0</v>
      </c>
      <c r="O24" s="18" t="n">
        <v>0</v>
      </c>
      <c r="P24" s="20" t="n">
        <v>0</v>
      </c>
      <c r="Q24" s="18" t="n">
        <v>3.47805734</v>
      </c>
      <c r="R24" s="20" t="n">
        <v>0.80835664</v>
      </c>
    </row>
    <row r="25" spans="1:18">
      <c r="A25" s="15" t="s">
        <v>447</v>
      </c>
      <c r="B25" s="17" t="n">
        <v>5581</v>
      </c>
      <c r="C25" s="18">
        <f>(4892.0/B25*100)</f>
        <v/>
      </c>
      <c r="D25" s="19" t="n">
        <v>689</v>
      </c>
      <c r="E25" s="18" t="n">
        <v>4.62926849</v>
      </c>
      <c r="F25" s="20" t="n">
        <v>0.80240933</v>
      </c>
      <c r="G25" s="18" t="n">
        <v>92.89307493</v>
      </c>
      <c r="H25" s="20" t="n">
        <v>0.95080916</v>
      </c>
      <c r="I25" s="18" t="n">
        <v>0</v>
      </c>
      <c r="J25" s="20" t="n">
        <v>0</v>
      </c>
      <c r="K25" s="18" t="n">
        <v>0.697186</v>
      </c>
      <c r="L25" s="20" t="n">
        <v>0.31248594</v>
      </c>
      <c r="M25" s="18" t="n">
        <v>0</v>
      </c>
      <c r="N25" s="20" t="n">
        <v>0</v>
      </c>
      <c r="O25" s="18" t="n">
        <v>0</v>
      </c>
      <c r="P25" s="20" t="n">
        <v>0</v>
      </c>
      <c r="Q25" s="18" t="n">
        <v>1.78047058</v>
      </c>
      <c r="R25" s="20" t="n">
        <v>0.49822828</v>
      </c>
    </row>
    <row r="26" spans="1:18">
      <c r="A26" s="15" t="s">
        <v>448</v>
      </c>
      <c r="B26" s="17" t="n">
        <v>4869</v>
      </c>
      <c r="C26" s="18">
        <f>(4273.0/B26*100)</f>
        <v/>
      </c>
      <c r="D26" s="19" t="n">
        <v>596</v>
      </c>
      <c r="E26" s="18" t="n">
        <v>15.54908279</v>
      </c>
      <c r="F26" s="20" t="n">
        <v>1.69139732</v>
      </c>
      <c r="G26" s="18" t="n">
        <v>80.95687869</v>
      </c>
      <c r="H26" s="20" t="n">
        <v>1.67247188</v>
      </c>
      <c r="I26" s="18" t="n">
        <v>0</v>
      </c>
      <c r="J26" s="20" t="n">
        <v>0</v>
      </c>
      <c r="K26" s="18" t="n">
        <v>0.42201961</v>
      </c>
      <c r="L26" s="20" t="n">
        <v>0.33161785</v>
      </c>
      <c r="M26" s="18" t="n">
        <v>0.13092137</v>
      </c>
      <c r="N26" s="20" t="n">
        <v>0.12954773</v>
      </c>
      <c r="O26" s="18" t="n">
        <v>0</v>
      </c>
      <c r="P26" s="20" t="n">
        <v>0</v>
      </c>
      <c r="Q26" s="18" t="n">
        <v>2.94109754</v>
      </c>
      <c r="R26" s="20" t="n">
        <v>0.78196111</v>
      </c>
    </row>
    <row r="27" spans="1:18">
      <c r="A27" s="15" t="s">
        <v>449</v>
      </c>
      <c r="B27" s="17" t="n">
        <v>5299</v>
      </c>
      <c r="C27" s="18">
        <f>(4663.0/B27*100)</f>
        <v/>
      </c>
      <c r="D27" s="19" t="n">
        <v>636</v>
      </c>
      <c r="E27" s="18" t="n">
        <v>26.20060583</v>
      </c>
      <c r="F27" s="20" t="n">
        <v>1.66959288</v>
      </c>
      <c r="G27" s="18" t="n">
        <v>64.77337672</v>
      </c>
      <c r="H27" s="20" t="n">
        <v>1.91855575</v>
      </c>
      <c r="I27" s="18" t="n">
        <v>0</v>
      </c>
      <c r="J27" s="20" t="n">
        <v>0</v>
      </c>
      <c r="K27" s="18" t="n">
        <v>1.30194962</v>
      </c>
      <c r="L27" s="20" t="n">
        <v>0.45990813</v>
      </c>
      <c r="M27" s="18" t="n">
        <v>0</v>
      </c>
      <c r="N27" s="20" t="n">
        <v>0</v>
      </c>
      <c r="O27" s="18" t="n">
        <v>0</v>
      </c>
      <c r="P27" s="20" t="n">
        <v>0</v>
      </c>
      <c r="Q27" s="18" t="n">
        <v>7.72406783</v>
      </c>
      <c r="R27" s="20" t="n">
        <v>1.10907578</v>
      </c>
    </row>
    <row r="28" spans="1:18">
      <c r="A28" s="15" t="s">
        <v>450</v>
      </c>
      <c r="B28" s="17" t="n">
        <v>7568</v>
      </c>
      <c r="C28" s="18">
        <f>(6742.0/B28*100)</f>
        <v/>
      </c>
      <c r="D28" s="19" t="n">
        <v>826</v>
      </c>
      <c r="E28" s="18" t="n">
        <v>21.74602862</v>
      </c>
      <c r="F28" s="20" t="n">
        <v>1.82510303</v>
      </c>
      <c r="G28" s="18" t="n">
        <v>74.83973843</v>
      </c>
      <c r="H28" s="20" t="n">
        <v>1.73716501</v>
      </c>
      <c r="I28" s="18" t="n">
        <v>0</v>
      </c>
      <c r="J28" s="20" t="n">
        <v>0</v>
      </c>
      <c r="K28" s="18" t="n">
        <v>1.76673787</v>
      </c>
      <c r="L28" s="20" t="n">
        <v>0.56787758</v>
      </c>
      <c r="M28" s="18" t="n">
        <v>0</v>
      </c>
      <c r="N28" s="20" t="n">
        <v>0</v>
      </c>
      <c r="O28" s="18" t="n">
        <v>0</v>
      </c>
      <c r="P28" s="20" t="n">
        <v>0</v>
      </c>
      <c r="Q28" s="18" t="n">
        <v>1.64749508</v>
      </c>
      <c r="R28" s="20" t="n">
        <v>0.56465046</v>
      </c>
    </row>
    <row r="29" spans="1:18">
      <c r="A29" s="15" t="s">
        <v>451</v>
      </c>
      <c r="B29" s="17" t="n">
        <v>5385</v>
      </c>
      <c r="C29" s="18">
        <f>(4634.0/B29*100)</f>
        <v/>
      </c>
      <c r="D29" s="19" t="n">
        <v>751</v>
      </c>
      <c r="E29" s="18" t="n">
        <v>9.93528609</v>
      </c>
      <c r="F29" s="20" t="n">
        <v>1.66589749</v>
      </c>
      <c r="G29" s="18" t="n">
        <v>88.3488645</v>
      </c>
      <c r="H29" s="20" t="n">
        <v>2.16583357</v>
      </c>
      <c r="I29" s="18" t="n">
        <v>0</v>
      </c>
      <c r="J29" s="20" t="n">
        <v>0</v>
      </c>
      <c r="K29" s="18" t="n">
        <v>0.64816933</v>
      </c>
      <c r="L29" s="20" t="n">
        <v>0.31880083</v>
      </c>
      <c r="M29" s="18" t="n">
        <v>0</v>
      </c>
      <c r="N29" s="20" t="n">
        <v>0</v>
      </c>
      <c r="O29" s="18" t="n">
        <v>0</v>
      </c>
      <c r="P29" s="20" t="n">
        <v>0</v>
      </c>
      <c r="Q29" s="18" t="n">
        <v>1.06768008</v>
      </c>
      <c r="R29" s="20" t="n">
        <v>0.44141001</v>
      </c>
    </row>
    <row r="30" spans="1:18">
      <c r="A30" s="15" t="s">
        <v>452</v>
      </c>
      <c r="B30" s="17" t="n">
        <v>4520</v>
      </c>
      <c r="C30" s="18">
        <f>(4010.0/B30*100)</f>
        <v/>
      </c>
      <c r="D30" s="19" t="n">
        <v>510</v>
      </c>
      <c r="E30" s="18" t="n">
        <v>22.03356979</v>
      </c>
      <c r="F30" s="20" t="n">
        <v>1.9430899</v>
      </c>
      <c r="G30" s="18" t="n">
        <v>70.93390338</v>
      </c>
      <c r="H30" s="20" t="n">
        <v>2.04621901</v>
      </c>
      <c r="I30" s="18" t="n">
        <v>0</v>
      </c>
      <c r="J30" s="20" t="n">
        <v>0</v>
      </c>
      <c r="K30" s="18" t="n">
        <v>1.24373285</v>
      </c>
      <c r="L30" s="20" t="n">
        <v>0.39087647</v>
      </c>
      <c r="M30" s="18" t="n">
        <v>0</v>
      </c>
      <c r="N30" s="20" t="n">
        <v>0</v>
      </c>
      <c r="O30" s="18" t="n">
        <v>0</v>
      </c>
      <c r="P30" s="20" t="n">
        <v>0</v>
      </c>
      <c r="Q30" s="18" t="n">
        <v>5.78879398</v>
      </c>
      <c r="R30" s="20" t="n">
        <v>1.00792889</v>
      </c>
    </row>
    <row r="31" spans="1:18">
      <c r="A31" s="15" t="s">
        <v>453</v>
      </c>
      <c r="B31" s="17" t="n">
        <v>5456</v>
      </c>
      <c r="C31" s="18">
        <f>(4796.0/B31*100)</f>
        <v/>
      </c>
      <c r="D31" s="19" t="n">
        <v>660</v>
      </c>
      <c r="E31" s="18" t="n">
        <v>11.11593563</v>
      </c>
      <c r="F31" s="20" t="n">
        <v>1.34113887</v>
      </c>
      <c r="G31" s="18" t="n">
        <v>82.81954859</v>
      </c>
      <c r="H31" s="20" t="n">
        <v>1.54824252</v>
      </c>
      <c r="I31" s="18" t="n">
        <v>0</v>
      </c>
      <c r="J31" s="20" t="n">
        <v>0</v>
      </c>
      <c r="K31" s="18" t="n">
        <v>2.84876397</v>
      </c>
      <c r="L31" s="20" t="n">
        <v>0.64666858</v>
      </c>
      <c r="M31" s="18" t="n">
        <v>0</v>
      </c>
      <c r="N31" s="20" t="n">
        <v>0</v>
      </c>
      <c r="O31" s="18" t="n">
        <v>0</v>
      </c>
      <c r="P31" s="20" t="n">
        <v>0</v>
      </c>
      <c r="Q31" s="18" t="n">
        <v>3.21575181</v>
      </c>
      <c r="R31" s="20" t="n">
        <v>0.80250003</v>
      </c>
    </row>
    <row r="32" spans="1:18">
      <c r="A32" s="15" t="s">
        <v>454</v>
      </c>
      <c r="B32" s="17" t="n">
        <v>4478</v>
      </c>
      <c r="C32" s="18">
        <f>(3731.0/B32*100)</f>
        <v/>
      </c>
      <c r="D32" s="19" t="n">
        <v>747</v>
      </c>
      <c r="E32" s="18" t="n">
        <v>13.82704895</v>
      </c>
      <c r="F32" s="20" t="n">
        <v>1.15323925</v>
      </c>
      <c r="G32" s="18" t="n">
        <v>81.25012073000001</v>
      </c>
      <c r="H32" s="20" t="n">
        <v>1.28188361</v>
      </c>
      <c r="I32" s="18" t="n">
        <v>0</v>
      </c>
      <c r="J32" s="20" t="n">
        <v>0</v>
      </c>
      <c r="K32" s="18" t="n">
        <v>0.49218786</v>
      </c>
      <c r="L32" s="20" t="n">
        <v>0.18018009</v>
      </c>
      <c r="M32" s="18" t="n">
        <v>0</v>
      </c>
      <c r="N32" s="20" t="n">
        <v>0</v>
      </c>
      <c r="O32" s="18" t="n">
        <v>0</v>
      </c>
      <c r="P32" s="20" t="n">
        <v>0</v>
      </c>
      <c r="Q32" s="18" t="n">
        <v>4.43064246</v>
      </c>
      <c r="R32" s="20" t="n">
        <v>0.77725855</v>
      </c>
    </row>
    <row r="33" spans="1:18">
      <c r="A33" s="15" t="s">
        <v>455</v>
      </c>
      <c r="B33" s="17" t="n">
        <v>7325</v>
      </c>
      <c r="C33" s="18">
        <f>(6492.0/B33*100)</f>
        <v/>
      </c>
      <c r="D33" s="19" t="n">
        <v>833</v>
      </c>
      <c r="E33" s="18" t="n">
        <v>12.3587752</v>
      </c>
      <c r="F33" s="20" t="n">
        <v>1.64616086</v>
      </c>
      <c r="G33" s="18" t="n">
        <v>84.29704664</v>
      </c>
      <c r="H33" s="20" t="n">
        <v>1.69967592</v>
      </c>
      <c r="I33" s="18" t="n">
        <v>0</v>
      </c>
      <c r="J33" s="20" t="n">
        <v>0</v>
      </c>
      <c r="K33" s="18" t="n">
        <v>0.44372893</v>
      </c>
      <c r="L33" s="20" t="n">
        <v>0.24056458</v>
      </c>
      <c r="M33" s="18" t="n">
        <v>0</v>
      </c>
      <c r="N33" s="20" t="n">
        <v>0</v>
      </c>
      <c r="O33" s="18" t="n">
        <v>0</v>
      </c>
      <c r="P33" s="20" t="n">
        <v>0</v>
      </c>
      <c r="Q33" s="18" t="n">
        <v>2.90044923</v>
      </c>
      <c r="R33" s="20" t="n">
        <v>0.69487855</v>
      </c>
    </row>
    <row r="34" spans="1:18">
      <c r="A34" s="15" t="s">
        <v>456</v>
      </c>
      <c r="B34" s="17" t="n">
        <v>6350</v>
      </c>
      <c r="C34" s="18">
        <f>(5512.0/B34*100)</f>
        <v/>
      </c>
      <c r="D34" s="19" t="n">
        <v>838</v>
      </c>
      <c r="E34" s="18" t="n">
        <v>21.19227781</v>
      </c>
      <c r="F34" s="20" t="n">
        <v>2.04995957</v>
      </c>
      <c r="G34" s="18" t="n">
        <v>70.33893371000001</v>
      </c>
      <c r="H34" s="20" t="n">
        <v>2.43200213</v>
      </c>
      <c r="I34" s="18" t="n">
        <v>0</v>
      </c>
      <c r="J34" s="20" t="n">
        <v>0</v>
      </c>
      <c r="K34" s="18" t="n">
        <v>0.84421773</v>
      </c>
      <c r="L34" s="20" t="n">
        <v>0.34487981</v>
      </c>
      <c r="M34" s="18" t="n">
        <v>0</v>
      </c>
      <c r="N34" s="20" t="n">
        <v>0</v>
      </c>
      <c r="O34" s="18" t="n">
        <v>0</v>
      </c>
      <c r="P34" s="20" t="n">
        <v>0</v>
      </c>
      <c r="Q34" s="18" t="n">
        <v>7.62457075</v>
      </c>
      <c r="R34" s="20" t="n">
        <v>1.16219326</v>
      </c>
    </row>
    <row r="35" spans="1:18">
      <c r="A35" s="15" t="s">
        <v>457</v>
      </c>
      <c r="B35" s="17" t="n">
        <v>6406</v>
      </c>
      <c r="C35" s="18">
        <f>(5515.0/B35*100)</f>
        <v/>
      </c>
      <c r="D35" s="19" t="n">
        <v>891</v>
      </c>
      <c r="E35" s="18" t="n">
        <v>16.03879711</v>
      </c>
      <c r="F35" s="20" t="n">
        <v>1.4954909</v>
      </c>
      <c r="G35" s="18" t="n">
        <v>78.87465722</v>
      </c>
      <c r="H35" s="20" t="n">
        <v>1.7257073</v>
      </c>
      <c r="I35" s="18" t="n">
        <v>0</v>
      </c>
      <c r="J35" s="20" t="n">
        <v>0</v>
      </c>
      <c r="K35" s="18" t="n">
        <v>0.96038052</v>
      </c>
      <c r="L35" s="20" t="n">
        <v>0.33201738</v>
      </c>
      <c r="M35" s="18" t="n">
        <v>0.20700998</v>
      </c>
      <c r="N35" s="20" t="n">
        <v>0.20761437</v>
      </c>
      <c r="O35" s="18" t="n">
        <v>0</v>
      </c>
      <c r="P35" s="20" t="n">
        <v>0</v>
      </c>
      <c r="Q35" s="18" t="n">
        <v>3.91915517</v>
      </c>
      <c r="R35" s="20" t="n">
        <v>0.7578076500000001</v>
      </c>
    </row>
    <row r="36" spans="1:18">
      <c r="A36" s="15" t="s">
        <v>458</v>
      </c>
      <c r="B36" s="17" t="n">
        <v>6736</v>
      </c>
      <c r="C36" s="18">
        <f>(5952.0/B36*100)</f>
        <v/>
      </c>
      <c r="D36" s="19" t="n">
        <v>784</v>
      </c>
      <c r="E36" s="18" t="n">
        <v>14.42860166</v>
      </c>
      <c r="F36" s="20" t="n">
        <v>1.27414204</v>
      </c>
      <c r="G36" s="18" t="n">
        <v>78.53510017000001</v>
      </c>
      <c r="H36" s="20" t="n">
        <v>1.50143471</v>
      </c>
      <c r="I36" s="18" t="n">
        <v>0</v>
      </c>
      <c r="J36" s="20" t="n">
        <v>0</v>
      </c>
      <c r="K36" s="18" t="n">
        <v>1.52537068</v>
      </c>
      <c r="L36" s="20" t="n">
        <v>0.43799338</v>
      </c>
      <c r="M36" s="18" t="n">
        <v>0</v>
      </c>
      <c r="N36" s="20" t="n">
        <v>0</v>
      </c>
      <c r="O36" s="18" t="n">
        <v>0</v>
      </c>
      <c r="P36" s="20" t="n">
        <v>0</v>
      </c>
      <c r="Q36" s="18" t="n">
        <v>5.51092749</v>
      </c>
      <c r="R36" s="20" t="n">
        <v>0.7184301199999999</v>
      </c>
    </row>
    <row r="37" spans="1:18">
      <c r="A37" s="15" t="s">
        <v>459</v>
      </c>
      <c r="B37" s="17" t="n">
        <v>5458</v>
      </c>
      <c r="C37" s="18">
        <f>(4812.0/B37*100)</f>
        <v/>
      </c>
      <c r="D37" s="19" t="n">
        <v>646</v>
      </c>
      <c r="E37" s="18" t="n">
        <v>12.79021123</v>
      </c>
      <c r="F37" s="20" t="n">
        <v>1.37197116</v>
      </c>
      <c r="G37" s="18" t="n">
        <v>79.18431015</v>
      </c>
      <c r="H37" s="20" t="n">
        <v>1.96409235</v>
      </c>
      <c r="I37" s="18" t="n">
        <v>0</v>
      </c>
      <c r="J37" s="20" t="n">
        <v>0</v>
      </c>
      <c r="K37" s="18" t="n">
        <v>2.78918656</v>
      </c>
      <c r="L37" s="20" t="n">
        <v>0.69707876</v>
      </c>
      <c r="M37" s="18" t="n">
        <v>0.12511001</v>
      </c>
      <c r="N37" s="20" t="n">
        <v>0.1251528</v>
      </c>
      <c r="O37" s="18" t="n">
        <v>0</v>
      </c>
      <c r="P37" s="20" t="n">
        <v>0</v>
      </c>
      <c r="Q37" s="18" t="n">
        <v>5.11118206</v>
      </c>
      <c r="R37" s="20" t="n">
        <v>1.07417235</v>
      </c>
    </row>
    <row r="38" spans="1:18">
      <c r="A38" s="15" t="s">
        <v>460</v>
      </c>
      <c r="B38" s="17" t="n">
        <v>5860</v>
      </c>
      <c r="C38" s="18">
        <f>(4900.0/B38*100)</f>
        <v/>
      </c>
      <c r="D38" s="19" t="n">
        <v>960</v>
      </c>
      <c r="E38" s="18" t="n">
        <v>22.33336121</v>
      </c>
      <c r="F38" s="20" t="n">
        <v>1.61598653</v>
      </c>
      <c r="G38" s="18" t="n">
        <v>69.76661033000001</v>
      </c>
      <c r="H38" s="20" t="n">
        <v>1.75578601</v>
      </c>
      <c r="I38" s="18" t="n">
        <v>0</v>
      </c>
      <c r="J38" s="20" t="n">
        <v>0</v>
      </c>
      <c r="K38" s="18" t="n">
        <v>1.94072356</v>
      </c>
      <c r="L38" s="20" t="n">
        <v>0.51860031</v>
      </c>
      <c r="M38" s="18" t="n">
        <v>0.11400592</v>
      </c>
      <c r="N38" s="20" t="n">
        <v>0.11397503</v>
      </c>
      <c r="O38" s="18" t="n">
        <v>0</v>
      </c>
      <c r="P38" s="20" t="n">
        <v>0</v>
      </c>
      <c r="Q38" s="18" t="n">
        <v>5.84529898</v>
      </c>
      <c r="R38" s="20" t="n">
        <v>0.73380831</v>
      </c>
    </row>
    <row r="39" spans="1:18">
      <c r="A39" s="15" t="s">
        <v>461</v>
      </c>
      <c r="B39" s="17" t="n">
        <v>5895</v>
      </c>
      <c r="C39" s="18">
        <f>(5162.0/B39*100)</f>
        <v/>
      </c>
      <c r="D39" s="19" t="n">
        <v>733</v>
      </c>
      <c r="E39" s="18" t="n">
        <v>17.61115328</v>
      </c>
      <c r="F39" s="20" t="n">
        <v>1.42824042</v>
      </c>
      <c r="G39" s="18" t="n">
        <v>76.57950893</v>
      </c>
      <c r="H39" s="20" t="n">
        <v>1.59500882</v>
      </c>
      <c r="I39" s="18" t="n">
        <v>0</v>
      </c>
      <c r="J39" s="20" t="n">
        <v>0</v>
      </c>
      <c r="K39" s="18" t="n">
        <v>0.76785238</v>
      </c>
      <c r="L39" s="20" t="n">
        <v>0.37220152</v>
      </c>
      <c r="M39" s="18" t="n">
        <v>0</v>
      </c>
      <c r="N39" s="20" t="n">
        <v>0</v>
      </c>
      <c r="O39" s="18" t="n">
        <v>0</v>
      </c>
      <c r="P39" s="20" t="n">
        <v>0</v>
      </c>
      <c r="Q39" s="18" t="n">
        <v>5.04148542</v>
      </c>
      <c r="R39" s="20" t="n">
        <v>0.88857837</v>
      </c>
    </row>
    <row r="40" spans="1:18">
      <c r="A40" s="15" t="s">
        <v>462</v>
      </c>
      <c r="B40" s="17" t="n">
        <v>14157</v>
      </c>
      <c r="C40" s="18">
        <f>(12456.0/B40*100)</f>
        <v/>
      </c>
      <c r="D40" s="19" t="n">
        <v>1701</v>
      </c>
      <c r="E40" s="18" t="n">
        <v>19.48436805</v>
      </c>
      <c r="F40" s="20" t="n">
        <v>1.63181128</v>
      </c>
      <c r="G40" s="18" t="n">
        <v>71.78664143</v>
      </c>
      <c r="H40" s="20" t="n">
        <v>1.82178673</v>
      </c>
      <c r="I40" s="18" t="n">
        <v>0</v>
      </c>
      <c r="J40" s="20" t="n">
        <v>0</v>
      </c>
      <c r="K40" s="18" t="n">
        <v>1.04733753</v>
      </c>
      <c r="L40" s="20" t="n">
        <v>0.40228805</v>
      </c>
      <c r="M40" s="18" t="n">
        <v>0.24956234</v>
      </c>
      <c r="N40" s="20" t="n">
        <v>0.22003693</v>
      </c>
      <c r="O40" s="18" t="n">
        <v>0</v>
      </c>
      <c r="P40" s="20" t="n">
        <v>0</v>
      </c>
      <c r="Q40" s="18" t="n">
        <v>7.43209065</v>
      </c>
      <c r="R40" s="20" t="n">
        <v>0.90719761</v>
      </c>
    </row>
    <row r="41" spans="1:18">
      <c r="A41" s="15" t="s">
        <v>463</v>
      </c>
      <c r="B41" s="17" t="n">
        <v>5712</v>
      </c>
      <c r="C41" s="18">
        <f>(4995.0/B41*100)</f>
        <v/>
      </c>
      <c r="D41" s="19" t="n">
        <v>717</v>
      </c>
      <c r="E41" s="18" t="n">
        <v>24.45704136</v>
      </c>
      <c r="F41" s="20" t="n">
        <v>1.84463682</v>
      </c>
      <c r="G41" s="18" t="n">
        <v>72.08924266</v>
      </c>
      <c r="H41" s="20" t="n">
        <v>1.86650296</v>
      </c>
      <c r="I41" s="18" t="n">
        <v>0</v>
      </c>
      <c r="J41" s="20" t="n">
        <v>0</v>
      </c>
      <c r="K41" s="18" t="n">
        <v>1.18491449</v>
      </c>
      <c r="L41" s="20" t="n">
        <v>0.48315772</v>
      </c>
      <c r="M41" s="18" t="n">
        <v>0</v>
      </c>
      <c r="N41" s="20" t="n">
        <v>0</v>
      </c>
      <c r="O41" s="18" t="n">
        <v>0</v>
      </c>
      <c r="P41" s="20" t="n">
        <v>0</v>
      </c>
      <c r="Q41" s="18" t="n">
        <v>2.26880149</v>
      </c>
      <c r="R41" s="20" t="n">
        <v>0.56579497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(21166.0/B46*100)</f>
        <v/>
      </c>
      <c r="D46" s="19" t="n">
        <v>1975</v>
      </c>
      <c r="E46" s="18" t="n">
        <v>30.75317515</v>
      </c>
      <c r="F46" s="20" t="n">
        <v>1.20133806</v>
      </c>
      <c r="G46" s="18" t="n">
        <v>56.60678947</v>
      </c>
      <c r="H46" s="20" t="n">
        <v>1.33967961</v>
      </c>
      <c r="I46" s="18" t="n">
        <v>0</v>
      </c>
      <c r="J46" s="20" t="n">
        <v>0</v>
      </c>
      <c r="K46" s="18" t="n">
        <v>2.95464988</v>
      </c>
      <c r="L46" s="20" t="n">
        <v>0.56977207</v>
      </c>
      <c r="M46" s="18" t="n">
        <v>0.29484008</v>
      </c>
      <c r="N46" s="20" t="n">
        <v>0.17327051</v>
      </c>
      <c r="O46" s="18" t="n">
        <v>0</v>
      </c>
      <c r="P46" s="20" t="n">
        <v>0</v>
      </c>
      <c r="Q46" s="18" t="n">
        <v>9.39054542</v>
      </c>
      <c r="R46" s="20" t="n">
        <v>0.87536717</v>
      </c>
    </row>
    <row r="47" spans="1:18">
      <c r="A47" s="15" t="s">
        <v>470</v>
      </c>
      <c r="B47" s="17" t="n">
        <v>5928</v>
      </c>
      <c r="C47" s="18">
        <f>(5252.0/B47*100)</f>
        <v/>
      </c>
      <c r="D47" s="19" t="n">
        <v>676</v>
      </c>
      <c r="E47" s="18" t="n">
        <v>13.40014336</v>
      </c>
      <c r="F47" s="20" t="n">
        <v>1.25007011</v>
      </c>
      <c r="G47" s="18" t="n">
        <v>75.11197918000001</v>
      </c>
      <c r="H47" s="20" t="n">
        <v>1.78001155</v>
      </c>
      <c r="I47" s="18" t="n">
        <v>0</v>
      </c>
      <c r="J47" s="20" t="n">
        <v>0</v>
      </c>
      <c r="K47" s="18" t="n">
        <v>0.88266237</v>
      </c>
      <c r="L47" s="20" t="n">
        <v>0.37323379</v>
      </c>
      <c r="M47" s="18" t="n">
        <v>0</v>
      </c>
      <c r="N47" s="20" t="n">
        <v>0</v>
      </c>
      <c r="O47" s="18" t="n">
        <v>0</v>
      </c>
      <c r="P47" s="20" t="n">
        <v>0</v>
      </c>
      <c r="Q47" s="18" t="n">
        <v>10.60521509</v>
      </c>
      <c r="R47" s="20" t="n">
        <v>1.22348609</v>
      </c>
    </row>
    <row r="48" spans="1:18">
      <c r="A48" s="15" t="s">
        <v>471</v>
      </c>
      <c r="B48" s="17" t="n">
        <v>9841</v>
      </c>
      <c r="C48" s="18">
        <f>(8659.0/B48*100)</f>
        <v/>
      </c>
      <c r="D48" s="19" t="n">
        <v>1182</v>
      </c>
      <c r="E48" s="18" t="n">
        <v>6.75546324</v>
      </c>
      <c r="F48" s="20" t="n">
        <v>0.96859038</v>
      </c>
      <c r="G48" s="18" t="n">
        <v>87.44528909</v>
      </c>
      <c r="H48" s="20" t="n">
        <v>1.53140774</v>
      </c>
      <c r="I48" s="18" t="n">
        <v>0</v>
      </c>
      <c r="J48" s="20" t="n">
        <v>0</v>
      </c>
      <c r="K48" s="18" t="n">
        <v>2.00499942</v>
      </c>
      <c r="L48" s="20" t="n">
        <v>0.64671458</v>
      </c>
      <c r="M48" s="18" t="n">
        <v>0</v>
      </c>
      <c r="N48" s="20" t="n">
        <v>0</v>
      </c>
      <c r="O48" s="18" t="n">
        <v>0</v>
      </c>
      <c r="P48" s="20" t="n">
        <v>0</v>
      </c>
      <c r="Q48" s="18" t="n">
        <v>3.79424825</v>
      </c>
      <c r="R48" s="20" t="n">
        <v>0.8324594199999999</v>
      </c>
    </row>
    <row r="49" spans="1:18">
      <c r="A49" s="15" t="s">
        <v>472</v>
      </c>
      <c r="B49" s="17" t="n">
        <v>11795</v>
      </c>
      <c r="C49" s="18">
        <f>(10434.0/B49*100)</f>
        <v/>
      </c>
      <c r="D49" s="19" t="n">
        <v>1361</v>
      </c>
      <c r="E49" s="18" t="n">
        <v>34.43127694</v>
      </c>
      <c r="F49" s="20" t="n">
        <v>1.71335238</v>
      </c>
      <c r="G49" s="18" t="n">
        <v>57.20257556</v>
      </c>
      <c r="H49" s="20" t="n">
        <v>1.97512361</v>
      </c>
      <c r="I49" s="18" t="n">
        <v>0</v>
      </c>
      <c r="J49" s="20" t="n">
        <v>0</v>
      </c>
      <c r="K49" s="18" t="n">
        <v>3.45319965</v>
      </c>
      <c r="L49" s="20" t="n">
        <v>0.67186203</v>
      </c>
      <c r="M49" s="18" t="n">
        <v>0</v>
      </c>
      <c r="N49" s="20" t="n">
        <v>0</v>
      </c>
      <c r="O49" s="18" t="n">
        <v>0</v>
      </c>
      <c r="P49" s="20" t="n">
        <v>0</v>
      </c>
      <c r="Q49" s="18" t="n">
        <v>4.91294784</v>
      </c>
      <c r="R49" s="20" t="n">
        <v>0.76848209</v>
      </c>
    </row>
    <row r="50" spans="1:18">
      <c r="A50" s="15" t="s">
        <v>473</v>
      </c>
      <c r="B50" s="17" t="n">
        <v>6866</v>
      </c>
      <c r="C50" s="18">
        <f>(5523.0/B50*100)</f>
        <v/>
      </c>
      <c r="D50" s="19" t="n">
        <v>1343</v>
      </c>
      <c r="E50" s="18" t="n">
        <v>31.01430007</v>
      </c>
      <c r="F50" s="20" t="n">
        <v>1.4728329</v>
      </c>
      <c r="G50" s="18" t="n">
        <v>65.70643738</v>
      </c>
      <c r="H50" s="20" t="n">
        <v>1.54172016</v>
      </c>
      <c r="I50" s="18" t="n">
        <v>0</v>
      </c>
      <c r="J50" s="20" t="n">
        <v>0</v>
      </c>
      <c r="K50" s="18" t="n">
        <v>0.78130667</v>
      </c>
      <c r="L50" s="20" t="n">
        <v>0.27478112</v>
      </c>
      <c r="M50" s="18" t="n">
        <v>0</v>
      </c>
      <c r="N50" s="20" t="n">
        <v>0</v>
      </c>
      <c r="O50" s="18" t="n">
        <v>0</v>
      </c>
      <c r="P50" s="20" t="n">
        <v>0</v>
      </c>
      <c r="Q50" s="18" t="n">
        <v>2.49795588</v>
      </c>
      <c r="R50" s="20" t="n">
        <v>0.44542219</v>
      </c>
    </row>
    <row r="51" spans="1:18">
      <c r="A51" s="15" t="s">
        <v>474</v>
      </c>
      <c r="B51" s="17" t="n">
        <v>5809</v>
      </c>
      <c r="C51" s="18">
        <f>(5101.0/B51*100)</f>
        <v/>
      </c>
      <c r="D51" s="19" t="n">
        <v>708</v>
      </c>
      <c r="E51" s="18" t="n">
        <v>13.33632793</v>
      </c>
      <c r="F51" s="20" t="n">
        <v>1.23238596</v>
      </c>
      <c r="G51" s="18" t="n">
        <v>79.64811734</v>
      </c>
      <c r="H51" s="20" t="n">
        <v>1.39671965</v>
      </c>
      <c r="I51" s="18" t="n">
        <v>0</v>
      </c>
      <c r="J51" s="20" t="n">
        <v>0</v>
      </c>
      <c r="K51" s="18" t="n">
        <v>0.21767485</v>
      </c>
      <c r="L51" s="20" t="n">
        <v>0.1562745</v>
      </c>
      <c r="M51" s="18" t="n">
        <v>0</v>
      </c>
      <c r="N51" s="20" t="n">
        <v>0</v>
      </c>
      <c r="O51" s="18" t="n">
        <v>0</v>
      </c>
      <c r="P51" s="20" t="n">
        <v>0</v>
      </c>
      <c r="Q51" s="18" t="n">
        <v>6.79787988</v>
      </c>
      <c r="R51" s="20" t="n">
        <v>0.97280302</v>
      </c>
    </row>
    <row r="52" spans="1:18">
      <c r="A52" s="15" t="s">
        <v>475</v>
      </c>
      <c r="B52" s="17" t="n">
        <v>5571</v>
      </c>
      <c r="C52" s="18">
        <f>(4897.0/B52*100)</f>
        <v/>
      </c>
      <c r="D52" s="19" t="n">
        <v>674</v>
      </c>
      <c r="E52" s="18" t="n">
        <v>19.3766814</v>
      </c>
      <c r="F52" s="20" t="n">
        <v>1.43599736</v>
      </c>
      <c r="G52" s="18" t="n">
        <v>67.7329522</v>
      </c>
      <c r="H52" s="20" t="n">
        <v>1.89428666</v>
      </c>
      <c r="I52" s="18" t="n">
        <v>0</v>
      </c>
      <c r="J52" s="20" t="n">
        <v>0</v>
      </c>
      <c r="K52" s="18" t="n">
        <v>1.39641926</v>
      </c>
      <c r="L52" s="20" t="n">
        <v>0.50175157</v>
      </c>
      <c r="M52" s="18" t="n">
        <v>0.11477638</v>
      </c>
      <c r="N52" s="20" t="n">
        <v>0.11460297</v>
      </c>
      <c r="O52" s="18" t="n">
        <v>0</v>
      </c>
      <c r="P52" s="20" t="n">
        <v>0</v>
      </c>
      <c r="Q52" s="18" t="n">
        <v>11.37917076</v>
      </c>
      <c r="R52" s="20" t="n">
        <v>1.25981866</v>
      </c>
    </row>
    <row r="53" spans="1:18">
      <c r="A53" s="15" t="s">
        <v>476</v>
      </c>
      <c r="B53" s="17" t="n">
        <v>4740</v>
      </c>
      <c r="C53" s="18">
        <f>(3965.0/B53*100)</f>
        <v/>
      </c>
      <c r="D53" s="19" t="n">
        <v>775</v>
      </c>
      <c r="E53" s="18" t="n">
        <v>28.75846502</v>
      </c>
      <c r="F53" s="20" t="n">
        <v>1.6812542</v>
      </c>
      <c r="G53" s="18" t="n">
        <v>42.29871709</v>
      </c>
      <c r="H53" s="20" t="n">
        <v>1.99472788</v>
      </c>
      <c r="I53" s="18" t="n">
        <v>0</v>
      </c>
      <c r="J53" s="20" t="n">
        <v>0</v>
      </c>
      <c r="K53" s="18" t="n">
        <v>20.12407532</v>
      </c>
      <c r="L53" s="20" t="n">
        <v>1.36758724</v>
      </c>
      <c r="M53" s="18" t="n">
        <v>0.95816722</v>
      </c>
      <c r="N53" s="20" t="n">
        <v>0.92615805</v>
      </c>
      <c r="O53" s="18" t="n">
        <v>0</v>
      </c>
      <c r="P53" s="20" t="n">
        <v>0</v>
      </c>
      <c r="Q53" s="18" t="n">
        <v>7.86057535</v>
      </c>
      <c r="R53" s="20" t="n">
        <v>0.9710434</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(4705.0/B55*100)</f>
        <v/>
      </c>
      <c r="D55" s="19" t="n">
        <v>654</v>
      </c>
      <c r="E55" s="18" t="n">
        <v>7.91542622</v>
      </c>
      <c r="F55" s="20" t="n">
        <v>1.05935621</v>
      </c>
      <c r="G55" s="18" t="n">
        <v>90.11429984999999</v>
      </c>
      <c r="H55" s="20" t="n">
        <v>1.13555075</v>
      </c>
      <c r="I55" s="18" t="n">
        <v>0</v>
      </c>
      <c r="J55" s="20" t="n">
        <v>0</v>
      </c>
      <c r="K55" s="18" t="n">
        <v>0.77615937</v>
      </c>
      <c r="L55" s="20" t="n">
        <v>0.3583253</v>
      </c>
      <c r="M55" s="18" t="n">
        <v>0</v>
      </c>
      <c r="N55" s="20" t="n">
        <v>0</v>
      </c>
      <c r="O55" s="18" t="n">
        <v>0</v>
      </c>
      <c r="P55" s="20" t="n">
        <v>0</v>
      </c>
      <c r="Q55" s="18" t="n">
        <v>1.19411457</v>
      </c>
      <c r="R55" s="20" t="n">
        <v>0.43430594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(5758.0/B61*100)</f>
        <v/>
      </c>
      <c r="D61" s="19" t="n">
        <v>767</v>
      </c>
      <c r="E61" s="18" t="n">
        <v>16.52636205</v>
      </c>
      <c r="F61" s="20" t="n">
        <v>1.56218076</v>
      </c>
      <c r="G61" s="18" t="n">
        <v>79.08095865</v>
      </c>
      <c r="H61" s="20" t="n">
        <v>1.52874521</v>
      </c>
      <c r="I61" s="18" t="n">
        <v>0</v>
      </c>
      <c r="J61" s="20" t="n">
        <v>0</v>
      </c>
      <c r="K61" s="18" t="n">
        <v>0.5074494899999999</v>
      </c>
      <c r="L61" s="20" t="n">
        <v>0.27011569</v>
      </c>
      <c r="M61" s="18" t="n">
        <v>0</v>
      </c>
      <c r="N61" s="20" t="n">
        <v>0</v>
      </c>
      <c r="O61" s="18" t="n">
        <v>0</v>
      </c>
      <c r="P61" s="20" t="n">
        <v>0</v>
      </c>
      <c r="Q61" s="18" t="n">
        <v>3.88522981</v>
      </c>
      <c r="R61" s="20" t="n">
        <v>0.70147859</v>
      </c>
    </row>
    <row r="62" spans="1:18">
      <c r="A62" s="15" t="s">
        <v>486</v>
      </c>
      <c r="B62" s="17" t="n">
        <v>4476</v>
      </c>
      <c r="C62" s="18">
        <f>(3958.0/B62*100)</f>
        <v/>
      </c>
      <c r="D62" s="19" t="n">
        <v>518</v>
      </c>
      <c r="E62" s="18" t="n">
        <v>10.96048597</v>
      </c>
      <c r="F62" s="20" t="n">
        <v>1.35004711</v>
      </c>
      <c r="G62" s="18" t="n">
        <v>87.87444961</v>
      </c>
      <c r="H62" s="20" t="n">
        <v>1.49613623</v>
      </c>
      <c r="I62" s="18" t="n">
        <v>0</v>
      </c>
      <c r="J62" s="20" t="n">
        <v>0</v>
      </c>
      <c r="K62" s="18" t="n">
        <v>0.19824262</v>
      </c>
      <c r="L62" s="20" t="n">
        <v>0.19636188</v>
      </c>
      <c r="M62" s="18" t="n">
        <v>0</v>
      </c>
      <c r="N62" s="20" t="n">
        <v>0</v>
      </c>
      <c r="O62" s="18" t="n">
        <v>0</v>
      </c>
      <c r="P62" s="20" t="n">
        <v>0</v>
      </c>
      <c r="Q62" s="18" t="n">
        <v>0.9668218</v>
      </c>
      <c r="R62" s="20" t="n">
        <v>0.4345382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(4995.0/B67*100)</f>
        <v/>
      </c>
      <c r="D67" s="19" t="n">
        <v>670</v>
      </c>
      <c r="E67" s="18" t="n">
        <v>13.46640036</v>
      </c>
      <c r="F67" s="20" t="n">
        <v>1.38097259</v>
      </c>
      <c r="G67" s="18" t="n">
        <v>71.22472059</v>
      </c>
      <c r="H67" s="20" t="n">
        <v>2.03709125</v>
      </c>
      <c r="I67" s="18" t="n">
        <v>0</v>
      </c>
      <c r="J67" s="20" t="n">
        <v>0</v>
      </c>
      <c r="K67" s="18" t="n">
        <v>3.23233594</v>
      </c>
      <c r="L67" s="20" t="n">
        <v>0.7554813</v>
      </c>
      <c r="M67" s="18" t="n">
        <v>0.13961497</v>
      </c>
      <c r="N67" s="20" t="n">
        <v>0.13908339</v>
      </c>
      <c r="O67" s="18" t="n">
        <v>0</v>
      </c>
      <c r="P67" s="20" t="n">
        <v>0</v>
      </c>
      <c r="Q67" s="18" t="n">
        <v>11.93692815</v>
      </c>
      <c r="R67" s="20" t="n">
        <v>1.18250957</v>
      </c>
    </row>
    <row r="68" spans="1:18">
      <c r="A68" s="15" t="s">
        <v>492</v>
      </c>
      <c r="B68" s="17" t="n">
        <v>6971</v>
      </c>
      <c r="C68" s="18">
        <f>(6308.0/B68*100)</f>
        <v/>
      </c>
      <c r="D68" s="19" t="n">
        <v>663</v>
      </c>
      <c r="E68" s="18" t="n">
        <v>33.2933779</v>
      </c>
      <c r="F68" s="20" t="n">
        <v>1.91375441</v>
      </c>
      <c r="G68" s="18" t="n">
        <v>62.52087874</v>
      </c>
      <c r="H68" s="20" t="n">
        <v>1.95557124</v>
      </c>
      <c r="I68" s="18" t="n">
        <v>0</v>
      </c>
      <c r="J68" s="20" t="n">
        <v>0</v>
      </c>
      <c r="K68" s="18" t="n">
        <v>0.38441972</v>
      </c>
      <c r="L68" s="20" t="n">
        <v>0.22238773</v>
      </c>
      <c r="M68" s="18" t="n">
        <v>0</v>
      </c>
      <c r="N68" s="20" t="n">
        <v>0</v>
      </c>
      <c r="O68" s="18" t="n">
        <v>0</v>
      </c>
      <c r="P68" s="20" t="n">
        <v>0</v>
      </c>
      <c r="Q68" s="18" t="n">
        <v>3.80132365</v>
      </c>
      <c r="R68" s="20" t="n">
        <v>0.77744543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(10062.0/B70*100)</f>
        <v/>
      </c>
      <c r="D70" s="19" t="n">
        <v>2021</v>
      </c>
      <c r="E70" s="18" t="n">
        <v>20.85026649</v>
      </c>
      <c r="F70" s="20" t="n">
        <v>0.92484813</v>
      </c>
      <c r="G70" s="18" t="n">
        <v>64.71616668999999</v>
      </c>
      <c r="H70" s="20" t="n">
        <v>1.10111366</v>
      </c>
      <c r="I70" s="18" t="n">
        <v>0</v>
      </c>
      <c r="J70" s="20" t="n">
        <v>0</v>
      </c>
      <c r="K70" s="18" t="n">
        <v>6.11170906</v>
      </c>
      <c r="L70" s="20" t="n">
        <v>0.5000567299999999</v>
      </c>
      <c r="M70" s="18" t="n">
        <v>0.0948608</v>
      </c>
      <c r="N70" s="20" t="n">
        <v>0.06755311</v>
      </c>
      <c r="O70" s="18" t="n">
        <v>0</v>
      </c>
      <c r="P70" s="20" t="n">
        <v>0</v>
      </c>
      <c r="Q70" s="18" t="n">
        <v>8.22699697</v>
      </c>
      <c r="R70" s="20" t="n">
        <v>0.6084212</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(5379.0/B72*100)</f>
        <v/>
      </c>
      <c r="D72" s="19" t="n">
        <v>657</v>
      </c>
      <c r="E72" s="18" t="n">
        <v>8.049787439999999</v>
      </c>
      <c r="F72" s="20" t="n">
        <v>1.11340214</v>
      </c>
      <c r="G72" s="18" t="n">
        <v>88.52151442</v>
      </c>
      <c r="H72" s="20" t="n">
        <v>1.41612521</v>
      </c>
      <c r="I72" s="18" t="n">
        <v>0</v>
      </c>
      <c r="J72" s="20" t="n">
        <v>0</v>
      </c>
      <c r="K72" s="18" t="n">
        <v>0.7134269</v>
      </c>
      <c r="L72" s="20" t="n">
        <v>0.31682123</v>
      </c>
      <c r="M72" s="18" t="n">
        <v>0.14444223</v>
      </c>
      <c r="N72" s="20" t="n">
        <v>0.10063465</v>
      </c>
      <c r="O72" s="18" t="n">
        <v>0</v>
      </c>
      <c r="P72" s="20" t="n">
        <v>0</v>
      </c>
      <c r="Q72" s="18" t="n">
        <v>2.57082901</v>
      </c>
      <c r="R72" s="20" t="n">
        <v>0.64710656</v>
      </c>
    </row>
    <row r="73" spans="1:18">
      <c r="A73" s="15" t="s">
        <v>497</v>
      </c>
      <c r="B73" s="17" t="n">
        <v>6115</v>
      </c>
      <c r="C73" s="18">
        <f>(5348.0/B73*100)</f>
        <v/>
      </c>
      <c r="D73" s="19" t="n">
        <v>767</v>
      </c>
      <c r="E73" s="18" t="n">
        <v>10.61106436</v>
      </c>
      <c r="F73" s="20" t="n">
        <v>1.22539535</v>
      </c>
      <c r="G73" s="18" t="n">
        <v>86.75674178</v>
      </c>
      <c r="H73" s="20" t="n">
        <v>1.31131959</v>
      </c>
      <c r="I73" s="18" t="n">
        <v>0</v>
      </c>
      <c r="J73" s="20" t="n">
        <v>0</v>
      </c>
      <c r="K73" s="18" t="n">
        <v>0.39440777</v>
      </c>
      <c r="L73" s="20" t="n">
        <v>0.2330052</v>
      </c>
      <c r="M73" s="18" t="n">
        <v>0</v>
      </c>
      <c r="N73" s="20" t="n">
        <v>0</v>
      </c>
      <c r="O73" s="18" t="n">
        <v>0</v>
      </c>
      <c r="P73" s="20" t="n">
        <v>0</v>
      </c>
      <c r="Q73" s="18" t="n">
        <v>2.23778609</v>
      </c>
      <c r="R73" s="20" t="n">
        <v>0.55208785</v>
      </c>
    </row>
    <row r="74" spans="1:18">
      <c r="A74" s="15" t="s">
        <v>498</v>
      </c>
      <c r="B74" s="17" t="n">
        <v>7708</v>
      </c>
      <c r="C74" s="18">
        <f>(6757.0/B74*100)</f>
        <v/>
      </c>
      <c r="D74" s="19" t="n">
        <v>951</v>
      </c>
      <c r="E74" s="18" t="n">
        <v>5.17519677</v>
      </c>
      <c r="F74" s="20" t="n">
        <v>0.84614914</v>
      </c>
      <c r="G74" s="18" t="n">
        <v>90.66560704</v>
      </c>
      <c r="H74" s="20" t="n">
        <v>1.07702009</v>
      </c>
      <c r="I74" s="18" t="n">
        <v>0</v>
      </c>
      <c r="J74" s="20" t="n">
        <v>0</v>
      </c>
      <c r="K74" s="18" t="n">
        <v>0.32218271</v>
      </c>
      <c r="L74" s="20" t="n">
        <v>0.19518394</v>
      </c>
      <c r="M74" s="18" t="n">
        <v>0</v>
      </c>
      <c r="N74" s="20" t="n">
        <v>0</v>
      </c>
      <c r="O74" s="18" t="n">
        <v>0</v>
      </c>
      <c r="P74" s="20" t="n">
        <v>0</v>
      </c>
      <c r="Q74" s="18" t="n">
        <v>3.83701348</v>
      </c>
      <c r="R74" s="20" t="n">
        <v>0.66120457</v>
      </c>
    </row>
    <row r="75" spans="1:18">
      <c r="A75" s="15" t="s">
        <v>499</v>
      </c>
      <c r="B75" s="17" t="n">
        <v>8249</v>
      </c>
      <c r="C75" s="18">
        <f>(7311.0/B75*100)</f>
        <v/>
      </c>
      <c r="D75" s="19" t="n">
        <v>938</v>
      </c>
      <c r="E75" s="18" t="n">
        <v>13.19013948</v>
      </c>
      <c r="F75" s="20" t="n">
        <v>1.41020589</v>
      </c>
      <c r="G75" s="18" t="n">
        <v>84.92100511</v>
      </c>
      <c r="H75" s="20" t="n">
        <v>1.45242854</v>
      </c>
      <c r="I75" s="18" t="n">
        <v>0</v>
      </c>
      <c r="J75" s="20" t="n">
        <v>0</v>
      </c>
      <c r="K75" s="18" t="n">
        <v>0.4854511</v>
      </c>
      <c r="L75" s="20" t="n">
        <v>0.27924285</v>
      </c>
      <c r="M75" s="18" t="n">
        <v>0.14485864</v>
      </c>
      <c r="N75" s="20" t="n">
        <v>0.14498656</v>
      </c>
      <c r="O75" s="18" t="n">
        <v>0</v>
      </c>
      <c r="P75" s="20" t="n">
        <v>0</v>
      </c>
      <c r="Q75" s="18" t="n">
        <v>1.25854566</v>
      </c>
      <c r="R75" s="20" t="n">
        <v>0.42605206</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(4797.0/B77*100)</f>
        <v/>
      </c>
      <c r="D77" s="19" t="n">
        <v>578</v>
      </c>
      <c r="E77" s="18" t="n">
        <v>20.74548797</v>
      </c>
      <c r="F77" s="20" t="n">
        <v>1.73944399</v>
      </c>
      <c r="G77" s="18" t="n">
        <v>62.14581007</v>
      </c>
      <c r="H77" s="20" t="n">
        <v>2.04625701</v>
      </c>
      <c r="I77" s="18" t="n">
        <v>0</v>
      </c>
      <c r="J77" s="20" t="n">
        <v>0</v>
      </c>
      <c r="K77" s="18" t="n">
        <v>5.17119425</v>
      </c>
      <c r="L77" s="20" t="n">
        <v>1.07710895</v>
      </c>
      <c r="M77" s="18" t="n">
        <v>0</v>
      </c>
      <c r="N77" s="20" t="n">
        <v>0</v>
      </c>
      <c r="O77" s="18" t="n">
        <v>0</v>
      </c>
      <c r="P77" s="20" t="n">
        <v>0</v>
      </c>
      <c r="Q77" s="18" t="n">
        <v>11.9375077</v>
      </c>
      <c r="R77" s="20" t="n">
        <v>1.70108485</v>
      </c>
    </row>
    <row r="78" spans="1:18">
      <c r="A78" s="15" t="s">
        <v>502</v>
      </c>
      <c r="B78" s="17" t="n">
        <v>14167</v>
      </c>
      <c r="C78" s="18">
        <f>(12417.0/B78*100)</f>
        <v/>
      </c>
      <c r="D78" s="19" t="n">
        <v>1750</v>
      </c>
      <c r="E78" s="18" t="n">
        <v>19.02457121</v>
      </c>
      <c r="F78" s="20" t="n">
        <v>1.23225965</v>
      </c>
      <c r="G78" s="18" t="n">
        <v>75.65203871</v>
      </c>
      <c r="H78" s="20" t="n">
        <v>1.24724053</v>
      </c>
      <c r="I78" s="18" t="n">
        <v>0</v>
      </c>
      <c r="J78" s="20" t="n">
        <v>0</v>
      </c>
      <c r="K78" s="18" t="n">
        <v>1.78057949</v>
      </c>
      <c r="L78" s="20" t="n">
        <v>0.4175249</v>
      </c>
      <c r="M78" s="18" t="n">
        <v>0.04852633</v>
      </c>
      <c r="N78" s="20" t="n">
        <v>0.03483633</v>
      </c>
      <c r="O78" s="18" t="n">
        <v>0</v>
      </c>
      <c r="P78" s="20" t="n">
        <v>0</v>
      </c>
      <c r="Q78" s="18" t="n">
        <v>3.49428427</v>
      </c>
      <c r="R78" s="20" t="n">
        <v>0.5185463300000001</v>
      </c>
    </row>
    <row r="79" spans="1:18">
      <c r="A79" s="15" t="s">
        <v>503</v>
      </c>
      <c r="B79" s="17" t="n">
        <v>6062</v>
      </c>
      <c r="C79" s="18">
        <f>(5368.0/B79*100)</f>
        <v/>
      </c>
      <c r="D79" s="19" t="n">
        <v>694</v>
      </c>
      <c r="E79" s="18" t="n">
        <v>16.33871045</v>
      </c>
      <c r="F79" s="20" t="n">
        <v>1.27078211</v>
      </c>
      <c r="G79" s="18" t="n">
        <v>66.94369233</v>
      </c>
      <c r="H79" s="20" t="n">
        <v>1.77654235</v>
      </c>
      <c r="I79" s="18" t="n">
        <v>0</v>
      </c>
      <c r="J79" s="20" t="n">
        <v>0</v>
      </c>
      <c r="K79" s="18" t="n">
        <v>3.80344491</v>
      </c>
      <c r="L79" s="20" t="n">
        <v>0.7272111</v>
      </c>
      <c r="M79" s="18" t="n">
        <v>0.20300863</v>
      </c>
      <c r="N79" s="20" t="n">
        <v>0.12449585</v>
      </c>
      <c r="O79" s="18" t="n">
        <v>0</v>
      </c>
      <c r="P79" s="20" t="n">
        <v>0</v>
      </c>
      <c r="Q79" s="18" t="n">
        <v>12.71114368</v>
      </c>
      <c r="R79" s="20" t="n">
        <v>1.46755077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(28521.0/B82*100)</f>
        <v/>
      </c>
      <c r="D82" s="19" t="n">
        <v>3809</v>
      </c>
      <c r="E82" s="18" t="n">
        <v>15.09924642</v>
      </c>
      <c r="F82" s="20" t="n">
        <v>0.82306944</v>
      </c>
      <c r="G82" s="18" t="n">
        <v>79.3867132</v>
      </c>
      <c r="H82" s="20" t="n">
        <v>0.98084353</v>
      </c>
      <c r="I82" s="18" t="n">
        <v>0</v>
      </c>
      <c r="J82" s="20" t="n">
        <v>0</v>
      </c>
      <c r="K82" s="18" t="n">
        <v>1.07463728</v>
      </c>
      <c r="L82" s="20" t="n">
        <v>0.19843482</v>
      </c>
      <c r="M82" s="18" t="n">
        <v>0.008213750000000001</v>
      </c>
      <c r="N82" s="20" t="n">
        <v>0.008182200000000001</v>
      </c>
      <c r="O82" s="18" t="n">
        <v>0</v>
      </c>
      <c r="P82" s="20" t="n">
        <v>0</v>
      </c>
      <c r="Q82" s="18" t="n">
        <v>4.43118934</v>
      </c>
      <c r="R82" s="20" t="n">
        <v>0.45990819</v>
      </c>
    </row>
    <row r="83" spans="1:18">
      <c r="A83" s="15" t="s">
        <v>507</v>
      </c>
      <c r="B83" s="17" t="n">
        <v>1652</v>
      </c>
      <c r="C83" s="18">
        <f>(1427.0/B83*100)</f>
        <v/>
      </c>
      <c r="D83" s="19" t="n">
        <v>225</v>
      </c>
      <c r="E83" s="18" t="n">
        <v>14.9958463</v>
      </c>
      <c r="F83" s="20" t="n">
        <v>2.65924314</v>
      </c>
      <c r="G83" s="18" t="n">
        <v>83.91835082</v>
      </c>
      <c r="H83" s="20" t="n">
        <v>2.86898641</v>
      </c>
      <c r="I83" s="18" t="n">
        <v>0</v>
      </c>
      <c r="J83" s="20" t="n">
        <v>0</v>
      </c>
      <c r="K83" s="18" t="n">
        <v>0</v>
      </c>
      <c r="L83" s="20" t="n">
        <v>0</v>
      </c>
      <c r="M83" s="18" t="n">
        <v>0</v>
      </c>
      <c r="N83" s="20" t="n">
        <v>0</v>
      </c>
      <c r="O83" s="18" t="n">
        <v>0</v>
      </c>
      <c r="P83" s="20" t="n">
        <v>0</v>
      </c>
      <c r="Q83" s="18" t="n">
        <v>1.08580288</v>
      </c>
      <c r="R83" s="20" t="n">
        <v>0.6394266</v>
      </c>
    </row>
    <row r="84" spans="1:18">
      <c r="A84" s="23" t="s">
        <v>508</v>
      </c>
      <c r="B84" s="24" t="n">
        <v>1887</v>
      </c>
      <c r="C84" s="25">
        <f>(1611.0/B84*100)</f>
        <v/>
      </c>
      <c r="D84" s="19" t="n">
        <v>276</v>
      </c>
      <c r="E84" s="18" t="n">
        <v>26.96966586</v>
      </c>
      <c r="F84" s="20" t="n">
        <v>2.94907182</v>
      </c>
      <c r="G84" s="18" t="n">
        <v>71.92260889000001</v>
      </c>
      <c r="H84" s="20" t="n">
        <v>3.02815965</v>
      </c>
      <c r="I84" s="18" t="n">
        <v>0</v>
      </c>
      <c r="J84" s="20" t="n">
        <v>0</v>
      </c>
      <c r="K84" s="18" t="n">
        <v>0</v>
      </c>
      <c r="L84" s="20" t="n">
        <v>0</v>
      </c>
      <c r="M84" s="18" t="n">
        <v>0</v>
      </c>
      <c r="N84" s="20" t="n">
        <v>0</v>
      </c>
      <c r="O84" s="18" t="n">
        <v>0</v>
      </c>
      <c r="P84" s="20" t="n">
        <v>0</v>
      </c>
      <c r="Q84" s="18" t="n">
        <v>1.10772525</v>
      </c>
      <c r="R84" s="20" t="n">
        <v>0.65554062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(12823.0/B7*100)</f>
        <v/>
      </c>
      <c r="D7" s="19" t="n">
        <v>1707</v>
      </c>
      <c r="E7" s="18" t="n">
        <v>40.79186491</v>
      </c>
      <c r="F7" s="20" t="n">
        <v>1.2342954</v>
      </c>
      <c r="G7" s="18" t="n">
        <v>57.78613755</v>
      </c>
      <c r="H7" s="20" t="n">
        <v>1.32523741</v>
      </c>
      <c r="I7" s="18" t="n">
        <v>0</v>
      </c>
      <c r="J7" s="20" t="n">
        <v>0</v>
      </c>
      <c r="K7" s="18" t="n">
        <v>0.75568325</v>
      </c>
      <c r="L7" s="20" t="n">
        <v>0.26182403</v>
      </c>
      <c r="M7" s="18" t="n">
        <v>0</v>
      </c>
      <c r="N7" s="20" t="n">
        <v>0</v>
      </c>
      <c r="O7" s="18" t="n">
        <v>0</v>
      </c>
      <c r="P7" s="20" t="n">
        <v>0</v>
      </c>
      <c r="Q7" s="18" t="n">
        <v>0.66631428</v>
      </c>
      <c r="R7" s="20" t="n">
        <v>0.24345185</v>
      </c>
    </row>
    <row r="8" spans="1:18">
      <c r="A8" s="15" t="s">
        <v>430</v>
      </c>
      <c r="B8" s="17" t="n">
        <v>7007</v>
      </c>
      <c r="C8" s="18">
        <f>(6127.0/B8*100)</f>
        <v/>
      </c>
      <c r="D8" s="19" t="n">
        <v>880</v>
      </c>
      <c r="E8" s="18" t="n">
        <v>42.89194179</v>
      </c>
      <c r="F8" s="20" t="n">
        <v>1.80553107</v>
      </c>
      <c r="G8" s="18" t="n">
        <v>53.8604898</v>
      </c>
      <c r="H8" s="20" t="n">
        <v>1.7216743</v>
      </c>
      <c r="I8" s="18" t="n">
        <v>0</v>
      </c>
      <c r="J8" s="20" t="n">
        <v>0</v>
      </c>
      <c r="K8" s="18" t="n">
        <v>0.84200523</v>
      </c>
      <c r="L8" s="20" t="n">
        <v>0.30134789</v>
      </c>
      <c r="M8" s="18" t="n">
        <v>0</v>
      </c>
      <c r="N8" s="20" t="n">
        <v>0</v>
      </c>
      <c r="O8" s="18" t="n">
        <v>0</v>
      </c>
      <c r="P8" s="20" t="n">
        <v>0</v>
      </c>
      <c r="Q8" s="18" t="n">
        <v>2.40556318</v>
      </c>
      <c r="R8" s="20" t="n">
        <v>0.54092915</v>
      </c>
    </row>
    <row r="9" spans="1:18">
      <c r="A9" s="15" t="s">
        <v>431</v>
      </c>
      <c r="B9" s="17" t="n">
        <v>9651</v>
      </c>
      <c r="C9" s="18">
        <f>(8288.0/B9*100)</f>
        <v/>
      </c>
      <c r="D9" s="19" t="n">
        <v>1363</v>
      </c>
      <c r="E9" s="18" t="n">
        <v>39.8023932</v>
      </c>
      <c r="F9" s="20" t="n">
        <v>1.61904448</v>
      </c>
      <c r="G9" s="18" t="n">
        <v>57.05181134</v>
      </c>
      <c r="H9" s="20" t="n">
        <v>1.70762377</v>
      </c>
      <c r="I9" s="18" t="n">
        <v>0</v>
      </c>
      <c r="J9" s="20" t="n">
        <v>0</v>
      </c>
      <c r="K9" s="18" t="n">
        <v>1.75833154</v>
      </c>
      <c r="L9" s="20" t="n">
        <v>0.36640039</v>
      </c>
      <c r="M9" s="18" t="n">
        <v>0</v>
      </c>
      <c r="N9" s="20" t="n">
        <v>0</v>
      </c>
      <c r="O9" s="18" t="n">
        <v>0</v>
      </c>
      <c r="P9" s="20" t="n">
        <v>0</v>
      </c>
      <c r="Q9" s="18" t="n">
        <v>1.38746393</v>
      </c>
      <c r="R9" s="20" t="n">
        <v>0.34898878</v>
      </c>
    </row>
    <row r="10" spans="1:18">
      <c r="A10" s="15" t="s">
        <v>432</v>
      </c>
      <c r="B10" s="17" t="n">
        <v>20058</v>
      </c>
      <c r="C10" s="18">
        <f>(17559.0/B10*100)</f>
        <v/>
      </c>
      <c r="D10" s="19" t="n">
        <v>2499</v>
      </c>
      <c r="E10" s="18" t="n">
        <v>38.05390556</v>
      </c>
      <c r="F10" s="20" t="n">
        <v>1.38148177</v>
      </c>
      <c r="G10" s="18" t="n">
        <v>60.33948514</v>
      </c>
      <c r="H10" s="20" t="n">
        <v>1.48996589</v>
      </c>
      <c r="I10" s="18" t="n">
        <v>0</v>
      </c>
      <c r="J10" s="20" t="n">
        <v>0</v>
      </c>
      <c r="K10" s="18" t="n">
        <v>0.79879673</v>
      </c>
      <c r="L10" s="20" t="n">
        <v>0.24223252</v>
      </c>
      <c r="M10" s="18" t="n">
        <v>0</v>
      </c>
      <c r="N10" s="20" t="n">
        <v>0</v>
      </c>
      <c r="O10" s="18" t="n">
        <v>0</v>
      </c>
      <c r="P10" s="20" t="n">
        <v>0</v>
      </c>
      <c r="Q10" s="18" t="n">
        <v>0.80781257</v>
      </c>
      <c r="R10" s="20" t="n">
        <v>0.25651835</v>
      </c>
    </row>
    <row r="11" spans="1:18">
      <c r="A11" s="15" t="s">
        <v>433</v>
      </c>
      <c r="B11" s="17" t="n">
        <v>7053</v>
      </c>
      <c r="C11" s="18">
        <f>(6260.0/B11*100)</f>
        <v/>
      </c>
      <c r="D11" s="19" t="n">
        <v>793</v>
      </c>
      <c r="E11" s="18" t="n">
        <v>50.14622493</v>
      </c>
      <c r="F11" s="20" t="n">
        <v>2.1876202</v>
      </c>
      <c r="G11" s="18" t="n">
        <v>45.41552941</v>
      </c>
      <c r="H11" s="20" t="n">
        <v>2.24555721</v>
      </c>
      <c r="I11" s="18" t="n">
        <v>0</v>
      </c>
      <c r="J11" s="20" t="n">
        <v>0</v>
      </c>
      <c r="K11" s="18" t="n">
        <v>3.27102021</v>
      </c>
      <c r="L11" s="20" t="n">
        <v>0.77372729</v>
      </c>
      <c r="M11" s="18" t="n">
        <v>0</v>
      </c>
      <c r="N11" s="20" t="n">
        <v>0</v>
      </c>
      <c r="O11" s="18" t="n">
        <v>0</v>
      </c>
      <c r="P11" s="20" t="n">
        <v>0</v>
      </c>
      <c r="Q11" s="18" t="n">
        <v>1.16722545</v>
      </c>
      <c r="R11" s="20" t="n">
        <v>0.43838681</v>
      </c>
    </row>
    <row r="12" spans="1:18">
      <c r="A12" s="15" t="s">
        <v>434</v>
      </c>
      <c r="B12" s="17" t="n">
        <v>6894</v>
      </c>
      <c r="C12" s="18">
        <f>(5989.0/B12*100)</f>
        <v/>
      </c>
      <c r="D12" s="19" t="n">
        <v>905</v>
      </c>
      <c r="E12" s="18" t="n">
        <v>41.77726901</v>
      </c>
      <c r="F12" s="20" t="n">
        <v>1.97013105</v>
      </c>
      <c r="G12" s="18" t="n">
        <v>56.87480208</v>
      </c>
      <c r="H12" s="20" t="n">
        <v>2.00841095</v>
      </c>
      <c r="I12" s="18" t="n">
        <v>0</v>
      </c>
      <c r="J12" s="20" t="n">
        <v>0</v>
      </c>
      <c r="K12" s="18" t="n">
        <v>0.55145803</v>
      </c>
      <c r="L12" s="20" t="n">
        <v>0.26156558</v>
      </c>
      <c r="M12" s="18" t="n">
        <v>0</v>
      </c>
      <c r="N12" s="20" t="n">
        <v>0</v>
      </c>
      <c r="O12" s="18" t="n">
        <v>0</v>
      </c>
      <c r="P12" s="20" t="n">
        <v>0</v>
      </c>
      <c r="Q12" s="18" t="n">
        <v>0.79647088</v>
      </c>
      <c r="R12" s="20" t="n">
        <v>0.34107194</v>
      </c>
    </row>
    <row r="13" spans="1:18">
      <c r="A13" s="15" t="s">
        <v>435</v>
      </c>
      <c r="B13" s="17" t="n">
        <v>7161</v>
      </c>
      <c r="C13" s="18">
        <f>(5996.0/B13*100)</f>
        <v/>
      </c>
      <c r="D13" s="19" t="n">
        <v>1165</v>
      </c>
      <c r="E13" s="18" t="n">
        <v>37.55983131</v>
      </c>
      <c r="F13" s="20" t="n">
        <v>1.82073818</v>
      </c>
      <c r="G13" s="18" t="n">
        <v>60.19817597</v>
      </c>
      <c r="H13" s="20" t="n">
        <v>1.82579868</v>
      </c>
      <c r="I13" s="18" t="n">
        <v>0</v>
      </c>
      <c r="J13" s="20" t="n">
        <v>0</v>
      </c>
      <c r="K13" s="18" t="n">
        <v>1.34631511</v>
      </c>
      <c r="L13" s="20" t="n">
        <v>0.38711953</v>
      </c>
      <c r="M13" s="18" t="n">
        <v>0</v>
      </c>
      <c r="N13" s="20" t="n">
        <v>0</v>
      </c>
      <c r="O13" s="18" t="n">
        <v>0</v>
      </c>
      <c r="P13" s="20" t="n">
        <v>0</v>
      </c>
      <c r="Q13" s="18" t="n">
        <v>0.89567761</v>
      </c>
      <c r="R13" s="20" t="n">
        <v>0.35186013</v>
      </c>
    </row>
    <row r="14" spans="1:18">
      <c r="A14" s="15" t="s">
        <v>436</v>
      </c>
      <c r="B14" s="17" t="n">
        <v>5587</v>
      </c>
      <c r="C14" s="18">
        <f>(4934.0/B14*100)</f>
        <v/>
      </c>
      <c r="D14" s="19" t="n">
        <v>653</v>
      </c>
      <c r="E14" s="18" t="n">
        <v>36.66491071</v>
      </c>
      <c r="F14" s="20" t="n">
        <v>2.22933906</v>
      </c>
      <c r="G14" s="18" t="n">
        <v>62.68769401</v>
      </c>
      <c r="H14" s="20" t="n">
        <v>2.27193422</v>
      </c>
      <c r="I14" s="18" t="n">
        <v>0</v>
      </c>
      <c r="J14" s="20" t="n">
        <v>0</v>
      </c>
      <c r="K14" s="18" t="n">
        <v>0.54255194</v>
      </c>
      <c r="L14" s="20" t="n">
        <v>0.27165625</v>
      </c>
      <c r="M14" s="18" t="n">
        <v>0</v>
      </c>
      <c r="N14" s="20" t="n">
        <v>0</v>
      </c>
      <c r="O14" s="18" t="n">
        <v>0</v>
      </c>
      <c r="P14" s="20" t="n">
        <v>0</v>
      </c>
      <c r="Q14" s="18" t="n">
        <v>0.10484335</v>
      </c>
      <c r="R14" s="20" t="n">
        <v>0.10504075</v>
      </c>
    </row>
    <row r="15" spans="1:18">
      <c r="A15" s="15" t="s">
        <v>437</v>
      </c>
      <c r="B15" s="17" t="n">
        <v>5882</v>
      </c>
      <c r="C15" s="18">
        <f>(5130.0/B15*100)</f>
        <v/>
      </c>
      <c r="D15" s="19" t="n">
        <v>752</v>
      </c>
      <c r="E15" s="18" t="n">
        <v>31.88227434</v>
      </c>
      <c r="F15" s="20" t="n">
        <v>1.90428277</v>
      </c>
      <c r="G15" s="18" t="n">
        <v>67.09683153</v>
      </c>
      <c r="H15" s="20" t="n">
        <v>2.07967079</v>
      </c>
      <c r="I15" s="18" t="n">
        <v>0</v>
      </c>
      <c r="J15" s="20" t="n">
        <v>0</v>
      </c>
      <c r="K15" s="18" t="n">
        <v>0.76678872</v>
      </c>
      <c r="L15" s="20" t="n">
        <v>0.36847803</v>
      </c>
      <c r="M15" s="18" t="n">
        <v>0</v>
      </c>
      <c r="N15" s="20" t="n">
        <v>0</v>
      </c>
      <c r="O15" s="18" t="n">
        <v>0</v>
      </c>
      <c r="P15" s="20" t="n">
        <v>0</v>
      </c>
      <c r="Q15" s="18" t="n">
        <v>0.25410541</v>
      </c>
      <c r="R15" s="20" t="n">
        <v>0.23979127</v>
      </c>
    </row>
    <row r="16" spans="1:18">
      <c r="A16" s="15" t="s">
        <v>438</v>
      </c>
      <c r="B16" s="17" t="n">
        <v>6108</v>
      </c>
      <c r="C16" s="18">
        <f>(5392.0/B16*100)</f>
        <v/>
      </c>
      <c r="D16" s="19" t="n">
        <v>716</v>
      </c>
      <c r="E16" s="18" t="n">
        <v>38.93846316</v>
      </c>
      <c r="F16" s="20" t="n">
        <v>1.91034343</v>
      </c>
      <c r="G16" s="18" t="n">
        <v>55.48222934</v>
      </c>
      <c r="H16" s="20" t="n">
        <v>1.86911723</v>
      </c>
      <c r="I16" s="18" t="n">
        <v>0</v>
      </c>
      <c r="J16" s="20" t="n">
        <v>0</v>
      </c>
      <c r="K16" s="18" t="n">
        <v>4.16564451</v>
      </c>
      <c r="L16" s="20" t="n">
        <v>0.70999687</v>
      </c>
      <c r="M16" s="18" t="n">
        <v>0</v>
      </c>
      <c r="N16" s="20" t="n">
        <v>0</v>
      </c>
      <c r="O16" s="18" t="n">
        <v>0</v>
      </c>
      <c r="P16" s="20" t="n">
        <v>0</v>
      </c>
      <c r="Q16" s="18" t="n">
        <v>1.41366299</v>
      </c>
      <c r="R16" s="20" t="n">
        <v>0.388215</v>
      </c>
    </row>
    <row r="17" spans="1:18">
      <c r="A17" s="15" t="s">
        <v>439</v>
      </c>
      <c r="B17" s="17" t="n">
        <v>6504</v>
      </c>
      <c r="C17" s="18">
        <f>(5623.0/B17*100)</f>
        <v/>
      </c>
      <c r="D17" s="19" t="n">
        <v>881</v>
      </c>
      <c r="E17" s="18" t="n">
        <v>44.07251789</v>
      </c>
      <c r="F17" s="20" t="n">
        <v>1.71998044</v>
      </c>
      <c r="G17" s="18" t="n">
        <v>49.77627936</v>
      </c>
      <c r="H17" s="20" t="n">
        <v>1.85098634</v>
      </c>
      <c r="I17" s="18" t="n">
        <v>0</v>
      </c>
      <c r="J17" s="20" t="n">
        <v>0</v>
      </c>
      <c r="K17" s="18" t="n">
        <v>3.40256364</v>
      </c>
      <c r="L17" s="20" t="n">
        <v>0.82484986</v>
      </c>
      <c r="M17" s="18" t="n">
        <v>0</v>
      </c>
      <c r="N17" s="20" t="n">
        <v>0</v>
      </c>
      <c r="O17" s="18" t="n">
        <v>0</v>
      </c>
      <c r="P17" s="20" t="n">
        <v>0</v>
      </c>
      <c r="Q17" s="18" t="n">
        <v>2.74863911</v>
      </c>
      <c r="R17" s="20" t="n">
        <v>0.61496549</v>
      </c>
    </row>
    <row r="18" spans="1:18">
      <c r="A18" s="15" t="s">
        <v>440</v>
      </c>
      <c r="B18" s="17" t="n">
        <v>5532</v>
      </c>
      <c r="C18" s="18">
        <f>(4852.0/B18*100)</f>
        <v/>
      </c>
      <c r="D18" s="19" t="n">
        <v>680</v>
      </c>
      <c r="E18" s="18" t="n">
        <v>40.96417805</v>
      </c>
      <c r="F18" s="20" t="n">
        <v>2.15334909</v>
      </c>
      <c r="G18" s="18" t="n">
        <v>56.56366891</v>
      </c>
      <c r="H18" s="20" t="n">
        <v>2.1357741</v>
      </c>
      <c r="I18" s="18" t="n">
        <v>0</v>
      </c>
      <c r="J18" s="20" t="n">
        <v>0</v>
      </c>
      <c r="K18" s="18" t="n">
        <v>1.52405091</v>
      </c>
      <c r="L18" s="20" t="n">
        <v>0.5092283399999999</v>
      </c>
      <c r="M18" s="18" t="n">
        <v>0</v>
      </c>
      <c r="N18" s="20" t="n">
        <v>0</v>
      </c>
      <c r="O18" s="18" t="n">
        <v>0</v>
      </c>
      <c r="P18" s="20" t="n">
        <v>0</v>
      </c>
      <c r="Q18" s="18" t="n">
        <v>0.94810213</v>
      </c>
      <c r="R18" s="20" t="n">
        <v>0.49040956</v>
      </c>
    </row>
    <row r="19" spans="1:18">
      <c r="A19" s="15" t="s">
        <v>441</v>
      </c>
      <c r="B19" s="17" t="n">
        <v>5658</v>
      </c>
      <c r="C19" s="18">
        <f>(4985.0/B19*100)</f>
        <v/>
      </c>
      <c r="D19" s="19" t="n">
        <v>673</v>
      </c>
      <c r="E19" s="18" t="n">
        <v>23.44369217</v>
      </c>
      <c r="F19" s="20" t="n">
        <v>1.90280478</v>
      </c>
      <c r="G19" s="18" t="n">
        <v>75.02147511</v>
      </c>
      <c r="H19" s="20" t="n">
        <v>1.93357222</v>
      </c>
      <c r="I19" s="18" t="n">
        <v>0</v>
      </c>
      <c r="J19" s="20" t="n">
        <v>0</v>
      </c>
      <c r="K19" s="18" t="n">
        <v>0.90524704</v>
      </c>
      <c r="L19" s="20" t="n">
        <v>0.45142512</v>
      </c>
      <c r="M19" s="18" t="n">
        <v>0</v>
      </c>
      <c r="N19" s="20" t="n">
        <v>0</v>
      </c>
      <c r="O19" s="18" t="n">
        <v>0</v>
      </c>
      <c r="P19" s="20" t="n">
        <v>0</v>
      </c>
      <c r="Q19" s="18" t="n">
        <v>0.62958567</v>
      </c>
      <c r="R19" s="20" t="n">
        <v>0.29486821</v>
      </c>
    </row>
    <row r="20" spans="1:18">
      <c r="A20" s="15" t="s">
        <v>442</v>
      </c>
      <c r="B20" s="17" t="n">
        <v>3371</v>
      </c>
      <c r="C20" s="18">
        <f>(2973.0/B20*100)</f>
        <v/>
      </c>
      <c r="D20" s="19" t="n">
        <v>398</v>
      </c>
      <c r="E20" s="18" t="n">
        <v>43.02222005</v>
      </c>
      <c r="F20" s="20" t="n">
        <v>2.57225531</v>
      </c>
      <c r="G20" s="18" t="n">
        <v>56.09736415</v>
      </c>
      <c r="H20" s="20" t="n">
        <v>2.60137289</v>
      </c>
      <c r="I20" s="18" t="n">
        <v>0</v>
      </c>
      <c r="J20" s="20" t="n">
        <v>0</v>
      </c>
      <c r="K20" s="18" t="n">
        <v>0.8804158</v>
      </c>
      <c r="L20" s="20" t="n">
        <v>0.52317839</v>
      </c>
      <c r="M20" s="18" t="n">
        <v>0</v>
      </c>
      <c r="N20" s="20" t="n">
        <v>0</v>
      </c>
      <c r="O20" s="18" t="n">
        <v>0</v>
      </c>
      <c r="P20" s="20" t="n">
        <v>0</v>
      </c>
      <c r="Q20" s="18" t="n">
        <v>0</v>
      </c>
      <c r="R20" s="20" t="n">
        <v>0</v>
      </c>
    </row>
    <row r="21" spans="1:18">
      <c r="A21" s="15" t="s">
        <v>443</v>
      </c>
      <c r="B21" s="17" t="n">
        <v>5741</v>
      </c>
      <c r="C21" s="18">
        <f>(4795.0/B21*100)</f>
        <v/>
      </c>
      <c r="D21" s="19" t="n">
        <v>946</v>
      </c>
      <c r="E21" s="18" t="n">
        <v>36.76135239</v>
      </c>
      <c r="F21" s="20" t="n">
        <v>1.53381063</v>
      </c>
      <c r="G21" s="18" t="n">
        <v>62.15913477</v>
      </c>
      <c r="H21" s="20" t="n">
        <v>1.58623163</v>
      </c>
      <c r="I21" s="18" t="n">
        <v>0</v>
      </c>
      <c r="J21" s="20" t="n">
        <v>0</v>
      </c>
      <c r="K21" s="18" t="n">
        <v>0.8037438</v>
      </c>
      <c r="L21" s="20" t="n">
        <v>0.29342633</v>
      </c>
      <c r="M21" s="18" t="n">
        <v>0</v>
      </c>
      <c r="N21" s="20" t="n">
        <v>0</v>
      </c>
      <c r="O21" s="18" t="n">
        <v>0</v>
      </c>
      <c r="P21" s="20" t="n">
        <v>0</v>
      </c>
      <c r="Q21" s="18" t="n">
        <v>0.27576904</v>
      </c>
      <c r="R21" s="20" t="n">
        <v>0.15929695</v>
      </c>
    </row>
    <row r="22" spans="1:18">
      <c r="A22" s="15" t="s">
        <v>444</v>
      </c>
      <c r="B22" s="17" t="n">
        <v>6598</v>
      </c>
      <c r="C22" s="18">
        <f>(5750.0/B22*100)</f>
        <v/>
      </c>
      <c r="D22" s="19" t="n">
        <v>848</v>
      </c>
      <c r="E22" s="18" t="n">
        <v>30.15727451</v>
      </c>
      <c r="F22" s="20" t="n">
        <v>1.64111631</v>
      </c>
      <c r="G22" s="18" t="n">
        <v>66.78962113999999</v>
      </c>
      <c r="H22" s="20" t="n">
        <v>1.68116326</v>
      </c>
      <c r="I22" s="18" t="n">
        <v>0</v>
      </c>
      <c r="J22" s="20" t="n">
        <v>0</v>
      </c>
      <c r="K22" s="18" t="n">
        <v>1.71172736</v>
      </c>
      <c r="L22" s="20" t="n">
        <v>0.49848934</v>
      </c>
      <c r="M22" s="18" t="n">
        <v>0</v>
      </c>
      <c r="N22" s="20" t="n">
        <v>0</v>
      </c>
      <c r="O22" s="18" t="n">
        <v>0</v>
      </c>
      <c r="P22" s="20" t="n">
        <v>0</v>
      </c>
      <c r="Q22" s="18" t="n">
        <v>1.341377</v>
      </c>
      <c r="R22" s="20" t="n">
        <v>0.43299983</v>
      </c>
    </row>
    <row r="23" spans="1:18">
      <c r="A23" s="15" t="s">
        <v>445</v>
      </c>
      <c r="B23" s="17" t="n">
        <v>11583</v>
      </c>
      <c r="C23" s="18">
        <f>(10183.0/B23*100)</f>
        <v/>
      </c>
      <c r="D23" s="19" t="n">
        <v>1400</v>
      </c>
      <c r="E23" s="18" t="n">
        <v>36.217433</v>
      </c>
      <c r="F23" s="20" t="n">
        <v>1.99849712</v>
      </c>
      <c r="G23" s="18" t="n">
        <v>61.21630977</v>
      </c>
      <c r="H23" s="20" t="n">
        <v>1.97751784</v>
      </c>
      <c r="I23" s="18" t="n">
        <v>0</v>
      </c>
      <c r="J23" s="20" t="n">
        <v>0</v>
      </c>
      <c r="K23" s="18" t="n">
        <v>1.60892625</v>
      </c>
      <c r="L23" s="20" t="n">
        <v>0.47443732</v>
      </c>
      <c r="M23" s="18" t="n">
        <v>0</v>
      </c>
      <c r="N23" s="20" t="n">
        <v>0</v>
      </c>
      <c r="O23" s="18" t="n">
        <v>0</v>
      </c>
      <c r="P23" s="20" t="n">
        <v>0</v>
      </c>
      <c r="Q23" s="18" t="n">
        <v>0.95733097</v>
      </c>
      <c r="R23" s="20" t="n">
        <v>0.48503825</v>
      </c>
    </row>
    <row r="24" spans="1:18">
      <c r="A24" s="15" t="s">
        <v>446</v>
      </c>
      <c r="B24" s="17" t="n">
        <v>6647</v>
      </c>
      <c r="C24" s="18">
        <f>(5862.0/B24*100)</f>
        <v/>
      </c>
      <c r="D24" s="19" t="n">
        <v>785</v>
      </c>
      <c r="E24" s="18" t="n">
        <v>46.68624828</v>
      </c>
      <c r="F24" s="20" t="n">
        <v>2.22466436</v>
      </c>
      <c r="G24" s="18" t="n">
        <v>51.47386945</v>
      </c>
      <c r="H24" s="20" t="n">
        <v>2.17925026</v>
      </c>
      <c r="I24" s="18" t="n">
        <v>0</v>
      </c>
      <c r="J24" s="20" t="n">
        <v>0</v>
      </c>
      <c r="K24" s="18" t="n">
        <v>1.19210043</v>
      </c>
      <c r="L24" s="20" t="n">
        <v>0.40610844</v>
      </c>
      <c r="M24" s="18" t="n">
        <v>0</v>
      </c>
      <c r="N24" s="20" t="n">
        <v>0</v>
      </c>
      <c r="O24" s="18" t="n">
        <v>0</v>
      </c>
      <c r="P24" s="20" t="n">
        <v>0</v>
      </c>
      <c r="Q24" s="18" t="n">
        <v>0.6477818400000001</v>
      </c>
      <c r="R24" s="20" t="n">
        <v>0.33950138</v>
      </c>
    </row>
    <row r="25" spans="1:18">
      <c r="A25" s="15" t="s">
        <v>447</v>
      </c>
      <c r="B25" s="17" t="n">
        <v>5581</v>
      </c>
      <c r="C25" s="18">
        <f>(4892.0/B25*100)</f>
        <v/>
      </c>
      <c r="D25" s="19" t="n">
        <v>689</v>
      </c>
      <c r="E25" s="18" t="n">
        <v>21.51761235</v>
      </c>
      <c r="F25" s="20" t="n">
        <v>1.63926936</v>
      </c>
      <c r="G25" s="18" t="n">
        <v>77.38908149</v>
      </c>
      <c r="H25" s="20" t="n">
        <v>1.69506592</v>
      </c>
      <c r="I25" s="18" t="n">
        <v>0</v>
      </c>
      <c r="J25" s="20" t="n">
        <v>0</v>
      </c>
      <c r="K25" s="18" t="n">
        <v>0.697186</v>
      </c>
      <c r="L25" s="20" t="n">
        <v>0.31248594</v>
      </c>
      <c r="M25" s="18" t="n">
        <v>0</v>
      </c>
      <c r="N25" s="20" t="n">
        <v>0</v>
      </c>
      <c r="O25" s="18" t="n">
        <v>0</v>
      </c>
      <c r="P25" s="20" t="n">
        <v>0</v>
      </c>
      <c r="Q25" s="18" t="n">
        <v>0.39612017</v>
      </c>
      <c r="R25" s="20" t="n">
        <v>0.23042667</v>
      </c>
    </row>
    <row r="26" spans="1:18">
      <c r="A26" s="15" t="s">
        <v>448</v>
      </c>
      <c r="B26" s="17" t="n">
        <v>4869</v>
      </c>
      <c r="C26" s="18">
        <f>(4272.0/B26*100)</f>
        <v/>
      </c>
      <c r="D26" s="19" t="n">
        <v>597</v>
      </c>
      <c r="E26" s="18" t="n">
        <v>24.5195303</v>
      </c>
      <c r="F26" s="20" t="n">
        <v>1.89544853</v>
      </c>
      <c r="G26" s="18" t="n">
        <v>74.77865395000001</v>
      </c>
      <c r="H26" s="20" t="n">
        <v>1.92721924</v>
      </c>
      <c r="I26" s="18" t="n">
        <v>0</v>
      </c>
      <c r="J26" s="20" t="n">
        <v>0</v>
      </c>
      <c r="K26" s="18" t="n">
        <v>0.57587032</v>
      </c>
      <c r="L26" s="20" t="n">
        <v>0.3610845</v>
      </c>
      <c r="M26" s="18" t="n">
        <v>0</v>
      </c>
      <c r="N26" s="20" t="n">
        <v>0</v>
      </c>
      <c r="O26" s="18" t="n">
        <v>0</v>
      </c>
      <c r="P26" s="20" t="n">
        <v>0</v>
      </c>
      <c r="Q26" s="18" t="n">
        <v>0.12594543</v>
      </c>
      <c r="R26" s="20" t="n">
        <v>0.12158976</v>
      </c>
    </row>
    <row r="27" spans="1:18">
      <c r="A27" s="15" t="s">
        <v>449</v>
      </c>
      <c r="B27" s="17" t="n">
        <v>5299</v>
      </c>
      <c r="C27" s="18">
        <f>(4659.0/B27*100)</f>
        <v/>
      </c>
      <c r="D27" s="19" t="n">
        <v>640</v>
      </c>
      <c r="E27" s="18" t="n">
        <v>45.2205256</v>
      </c>
      <c r="F27" s="20" t="n">
        <v>2.09485691</v>
      </c>
      <c r="G27" s="18" t="n">
        <v>52.10169576</v>
      </c>
      <c r="H27" s="20" t="n">
        <v>1.94951709</v>
      </c>
      <c r="I27" s="18" t="n">
        <v>0</v>
      </c>
      <c r="J27" s="20" t="n">
        <v>0</v>
      </c>
      <c r="K27" s="18" t="n">
        <v>1.59660949</v>
      </c>
      <c r="L27" s="20" t="n">
        <v>0.50695981</v>
      </c>
      <c r="M27" s="18" t="n">
        <v>0</v>
      </c>
      <c r="N27" s="20" t="n">
        <v>0</v>
      </c>
      <c r="O27" s="18" t="n">
        <v>0</v>
      </c>
      <c r="P27" s="20" t="n">
        <v>0</v>
      </c>
      <c r="Q27" s="18" t="n">
        <v>1.08116915</v>
      </c>
      <c r="R27" s="20" t="n">
        <v>0.41115371</v>
      </c>
    </row>
    <row r="28" spans="1:18">
      <c r="A28" s="15" t="s">
        <v>450</v>
      </c>
      <c r="B28" s="17" t="n">
        <v>7568</v>
      </c>
      <c r="C28" s="18">
        <f>(6735.0/B28*100)</f>
        <v/>
      </c>
      <c r="D28" s="19" t="n">
        <v>833</v>
      </c>
      <c r="E28" s="18" t="n">
        <v>56.31730266</v>
      </c>
      <c r="F28" s="20" t="n">
        <v>1.87711087</v>
      </c>
      <c r="G28" s="18" t="n">
        <v>41.00848944</v>
      </c>
      <c r="H28" s="20" t="n">
        <v>1.94321801</v>
      </c>
      <c r="I28" s="18" t="n">
        <v>0</v>
      </c>
      <c r="J28" s="20" t="n">
        <v>0</v>
      </c>
      <c r="K28" s="18" t="n">
        <v>2.23095271</v>
      </c>
      <c r="L28" s="20" t="n">
        <v>0.7342453799999999</v>
      </c>
      <c r="M28" s="18" t="n">
        <v>0</v>
      </c>
      <c r="N28" s="20" t="n">
        <v>0</v>
      </c>
      <c r="O28" s="18" t="n">
        <v>0</v>
      </c>
      <c r="P28" s="20" t="n">
        <v>0</v>
      </c>
      <c r="Q28" s="18" t="n">
        <v>0.44325519</v>
      </c>
      <c r="R28" s="20" t="n">
        <v>0.23195269</v>
      </c>
    </row>
    <row r="29" spans="1:18">
      <c r="A29" s="15" t="s">
        <v>451</v>
      </c>
      <c r="B29" s="17" t="n">
        <v>5385</v>
      </c>
      <c r="C29" s="18">
        <f>(4634.0/B29*100)</f>
        <v/>
      </c>
      <c r="D29" s="19" t="n">
        <v>751</v>
      </c>
      <c r="E29" s="18" t="n">
        <v>40.43175072</v>
      </c>
      <c r="F29" s="20" t="n">
        <v>2.14990672</v>
      </c>
      <c r="G29" s="18" t="n">
        <v>58.16860446</v>
      </c>
      <c r="H29" s="20" t="n">
        <v>2.67720132</v>
      </c>
      <c r="I29" s="18" t="n">
        <v>0</v>
      </c>
      <c r="J29" s="20" t="n">
        <v>0</v>
      </c>
      <c r="K29" s="18" t="n">
        <v>1.01861978</v>
      </c>
      <c r="L29" s="20" t="n">
        <v>0.5212130699999999</v>
      </c>
      <c r="M29" s="18" t="n">
        <v>0</v>
      </c>
      <c r="N29" s="20" t="n">
        <v>0</v>
      </c>
      <c r="O29" s="18" t="n">
        <v>0</v>
      </c>
      <c r="P29" s="20" t="n">
        <v>0</v>
      </c>
      <c r="Q29" s="18" t="n">
        <v>0.38102504</v>
      </c>
      <c r="R29" s="20" t="n">
        <v>0.27124725</v>
      </c>
    </row>
    <row r="30" spans="1:18">
      <c r="A30" s="15" t="s">
        <v>452</v>
      </c>
      <c r="B30" s="17" t="n">
        <v>4520</v>
      </c>
      <c r="C30" s="18">
        <f>(4008.0/B30*100)</f>
        <v/>
      </c>
      <c r="D30" s="19" t="n">
        <v>512</v>
      </c>
      <c r="E30" s="18" t="n">
        <v>44.54503704</v>
      </c>
      <c r="F30" s="20" t="n">
        <v>2.07043268</v>
      </c>
      <c r="G30" s="18" t="n">
        <v>53.27793486</v>
      </c>
      <c r="H30" s="20" t="n">
        <v>2.01042456</v>
      </c>
      <c r="I30" s="18" t="n">
        <v>0</v>
      </c>
      <c r="J30" s="20" t="n">
        <v>0</v>
      </c>
      <c r="K30" s="18" t="n">
        <v>1.23952276</v>
      </c>
      <c r="L30" s="20" t="n">
        <v>0.38943148</v>
      </c>
      <c r="M30" s="18" t="n">
        <v>0</v>
      </c>
      <c r="N30" s="20" t="n">
        <v>0</v>
      </c>
      <c r="O30" s="18" t="n">
        <v>0</v>
      </c>
      <c r="P30" s="20" t="n">
        <v>0</v>
      </c>
      <c r="Q30" s="18" t="n">
        <v>0.93750534</v>
      </c>
      <c r="R30" s="20" t="n">
        <v>0.48127243</v>
      </c>
    </row>
    <row r="31" spans="1:18">
      <c r="A31" s="15" t="s">
        <v>453</v>
      </c>
      <c r="B31" s="17" t="n">
        <v>5456</v>
      </c>
      <c r="C31" s="18">
        <f>(4795.0/B31*100)</f>
        <v/>
      </c>
      <c r="D31" s="19" t="n">
        <v>661</v>
      </c>
      <c r="E31" s="18" t="n">
        <v>29.46965784</v>
      </c>
      <c r="F31" s="20" t="n">
        <v>1.61054748</v>
      </c>
      <c r="G31" s="18" t="n">
        <v>67.08073151000001</v>
      </c>
      <c r="H31" s="20" t="n">
        <v>1.68549361</v>
      </c>
      <c r="I31" s="18" t="n">
        <v>0</v>
      </c>
      <c r="J31" s="20" t="n">
        <v>0</v>
      </c>
      <c r="K31" s="18" t="n">
        <v>3.00262204</v>
      </c>
      <c r="L31" s="20" t="n">
        <v>0.67185778</v>
      </c>
      <c r="M31" s="18" t="n">
        <v>0</v>
      </c>
      <c r="N31" s="20" t="n">
        <v>0</v>
      </c>
      <c r="O31" s="18" t="n">
        <v>0</v>
      </c>
      <c r="P31" s="20" t="n">
        <v>0</v>
      </c>
      <c r="Q31" s="18" t="n">
        <v>0.44698861</v>
      </c>
      <c r="R31" s="20" t="n">
        <v>0.30928126</v>
      </c>
    </row>
    <row r="32" spans="1:18">
      <c r="A32" s="15" t="s">
        <v>454</v>
      </c>
      <c r="B32" s="17" t="n">
        <v>4478</v>
      </c>
      <c r="C32" s="18">
        <f>(3731.0/B32*100)</f>
        <v/>
      </c>
      <c r="D32" s="19" t="n">
        <v>747</v>
      </c>
      <c r="E32" s="18" t="n">
        <v>29.54399353</v>
      </c>
      <c r="F32" s="20" t="n">
        <v>1.75127272</v>
      </c>
      <c r="G32" s="18" t="n">
        <v>69.06549654</v>
      </c>
      <c r="H32" s="20" t="n">
        <v>1.83166201</v>
      </c>
      <c r="I32" s="18" t="n">
        <v>0</v>
      </c>
      <c r="J32" s="20" t="n">
        <v>0</v>
      </c>
      <c r="K32" s="18" t="n">
        <v>0.7315391</v>
      </c>
      <c r="L32" s="20" t="n">
        <v>0.24697723</v>
      </c>
      <c r="M32" s="18" t="n">
        <v>0</v>
      </c>
      <c r="N32" s="20" t="n">
        <v>0</v>
      </c>
      <c r="O32" s="18" t="n">
        <v>0</v>
      </c>
      <c r="P32" s="20" t="n">
        <v>0</v>
      </c>
      <c r="Q32" s="18" t="n">
        <v>0.65897083</v>
      </c>
      <c r="R32" s="20" t="n">
        <v>0.33450062</v>
      </c>
    </row>
    <row r="33" spans="1:18">
      <c r="A33" s="15" t="s">
        <v>455</v>
      </c>
      <c r="B33" s="17" t="n">
        <v>7325</v>
      </c>
      <c r="C33" s="18">
        <f>(6490.0/B33*100)</f>
        <v/>
      </c>
      <c r="D33" s="19" t="n">
        <v>835</v>
      </c>
      <c r="E33" s="18" t="n">
        <v>28.37352762</v>
      </c>
      <c r="F33" s="20" t="n">
        <v>1.77695837</v>
      </c>
      <c r="G33" s="18" t="n">
        <v>70.76146724</v>
      </c>
      <c r="H33" s="20" t="n">
        <v>1.80219086</v>
      </c>
      <c r="I33" s="18" t="n">
        <v>0</v>
      </c>
      <c r="J33" s="20" t="n">
        <v>0</v>
      </c>
      <c r="K33" s="18" t="n">
        <v>0.46879754</v>
      </c>
      <c r="L33" s="20" t="n">
        <v>0.24281516</v>
      </c>
      <c r="M33" s="18" t="n">
        <v>0</v>
      </c>
      <c r="N33" s="20" t="n">
        <v>0</v>
      </c>
      <c r="O33" s="18" t="n">
        <v>0</v>
      </c>
      <c r="P33" s="20" t="n">
        <v>0</v>
      </c>
      <c r="Q33" s="18" t="n">
        <v>0.3962076</v>
      </c>
      <c r="R33" s="20" t="n">
        <v>0.20136073</v>
      </c>
    </row>
    <row r="34" spans="1:18">
      <c r="A34" s="15" t="s">
        <v>456</v>
      </c>
      <c r="B34" s="17" t="n">
        <v>6350</v>
      </c>
      <c r="C34" s="18">
        <f>(5511.0/B34*100)</f>
        <v/>
      </c>
      <c r="D34" s="19" t="n">
        <v>839</v>
      </c>
      <c r="E34" s="18" t="n">
        <v>42.18587602</v>
      </c>
      <c r="F34" s="20" t="n">
        <v>2.04508008</v>
      </c>
      <c r="G34" s="18" t="n">
        <v>55.49324361</v>
      </c>
      <c r="H34" s="20" t="n">
        <v>1.95209186</v>
      </c>
      <c r="I34" s="18" t="n">
        <v>0</v>
      </c>
      <c r="J34" s="20" t="n">
        <v>0</v>
      </c>
      <c r="K34" s="18" t="n">
        <v>0.8431748</v>
      </c>
      <c r="L34" s="20" t="n">
        <v>0.34442852</v>
      </c>
      <c r="M34" s="18" t="n">
        <v>0</v>
      </c>
      <c r="N34" s="20" t="n">
        <v>0</v>
      </c>
      <c r="O34" s="18" t="n">
        <v>0</v>
      </c>
      <c r="P34" s="20" t="n">
        <v>0</v>
      </c>
      <c r="Q34" s="18" t="n">
        <v>1.47770556</v>
      </c>
      <c r="R34" s="20" t="n">
        <v>0.52208988</v>
      </c>
    </row>
    <row r="35" spans="1:18">
      <c r="A35" s="15" t="s">
        <v>457</v>
      </c>
      <c r="B35" s="17" t="n">
        <v>6406</v>
      </c>
      <c r="C35" s="18">
        <f>(5514.0/B35*100)</f>
        <v/>
      </c>
      <c r="D35" s="19" t="n">
        <v>892</v>
      </c>
      <c r="E35" s="18" t="n">
        <v>37.8647785</v>
      </c>
      <c r="F35" s="20" t="n">
        <v>1.69894382</v>
      </c>
      <c r="G35" s="18" t="n">
        <v>60.62049227</v>
      </c>
      <c r="H35" s="20" t="n">
        <v>1.74798727</v>
      </c>
      <c r="I35" s="18" t="n">
        <v>0</v>
      </c>
      <c r="J35" s="20" t="n">
        <v>0</v>
      </c>
      <c r="K35" s="18" t="n">
        <v>0.95990308</v>
      </c>
      <c r="L35" s="20" t="n">
        <v>0.33182377</v>
      </c>
      <c r="M35" s="18" t="n">
        <v>0</v>
      </c>
      <c r="N35" s="20" t="n">
        <v>0</v>
      </c>
      <c r="O35" s="18" t="n">
        <v>0</v>
      </c>
      <c r="P35" s="20" t="n">
        <v>0</v>
      </c>
      <c r="Q35" s="18" t="n">
        <v>0.55482614</v>
      </c>
      <c r="R35" s="20" t="n">
        <v>0.22320663</v>
      </c>
    </row>
    <row r="36" spans="1:18">
      <c r="A36" s="15" t="s">
        <v>458</v>
      </c>
      <c r="B36" s="17" t="n">
        <v>6736</v>
      </c>
      <c r="C36" s="18">
        <f>(5950.0/B36*100)</f>
        <v/>
      </c>
      <c r="D36" s="19" t="n">
        <v>786</v>
      </c>
      <c r="E36" s="18" t="n">
        <v>30.42803528</v>
      </c>
      <c r="F36" s="20" t="n">
        <v>1.79983707</v>
      </c>
      <c r="G36" s="18" t="n">
        <v>67.17630884</v>
      </c>
      <c r="H36" s="20" t="n">
        <v>1.81680394</v>
      </c>
      <c r="I36" s="18" t="n">
        <v>0</v>
      </c>
      <c r="J36" s="20" t="n">
        <v>0</v>
      </c>
      <c r="K36" s="18" t="n">
        <v>1.71600193</v>
      </c>
      <c r="L36" s="20" t="n">
        <v>0.45193</v>
      </c>
      <c r="M36" s="18" t="n">
        <v>0</v>
      </c>
      <c r="N36" s="20" t="n">
        <v>0</v>
      </c>
      <c r="O36" s="18" t="n">
        <v>0</v>
      </c>
      <c r="P36" s="20" t="n">
        <v>0</v>
      </c>
      <c r="Q36" s="18" t="n">
        <v>0.67965396</v>
      </c>
      <c r="R36" s="20" t="n">
        <v>0.34890366</v>
      </c>
    </row>
    <row r="37" spans="1:18">
      <c r="A37" s="15" t="s">
        <v>459</v>
      </c>
      <c r="B37" s="17" t="n">
        <v>5458</v>
      </c>
      <c r="C37" s="18">
        <f>(4808.0/B37*100)</f>
        <v/>
      </c>
      <c r="D37" s="19" t="n">
        <v>650</v>
      </c>
      <c r="E37" s="18" t="n">
        <v>34.75682881</v>
      </c>
      <c r="F37" s="20" t="n">
        <v>1.81999455</v>
      </c>
      <c r="G37" s="18" t="n">
        <v>61.24059752</v>
      </c>
      <c r="H37" s="20" t="n">
        <v>1.83198704</v>
      </c>
      <c r="I37" s="18" t="n">
        <v>0</v>
      </c>
      <c r="J37" s="20" t="n">
        <v>0</v>
      </c>
      <c r="K37" s="18" t="n">
        <v>3.11189538</v>
      </c>
      <c r="L37" s="20" t="n">
        <v>0.68770346</v>
      </c>
      <c r="M37" s="18" t="n">
        <v>0</v>
      </c>
      <c r="N37" s="20" t="n">
        <v>0</v>
      </c>
      <c r="O37" s="18" t="n">
        <v>0</v>
      </c>
      <c r="P37" s="20" t="n">
        <v>0</v>
      </c>
      <c r="Q37" s="18" t="n">
        <v>0.8906783</v>
      </c>
      <c r="R37" s="20" t="n">
        <v>0.36331222</v>
      </c>
    </row>
    <row r="38" spans="1:18">
      <c r="A38" s="15" t="s">
        <v>460</v>
      </c>
      <c r="B38" s="17" t="n">
        <v>5860</v>
      </c>
      <c r="C38" s="18">
        <f>(4896.0/B38*100)</f>
        <v/>
      </c>
      <c r="D38" s="19" t="n">
        <v>964</v>
      </c>
      <c r="E38" s="18" t="n">
        <v>37.843658</v>
      </c>
      <c r="F38" s="20" t="n">
        <v>1.67601288</v>
      </c>
      <c r="G38" s="18" t="n">
        <v>58.55517162</v>
      </c>
      <c r="H38" s="20" t="n">
        <v>1.6890742</v>
      </c>
      <c r="I38" s="18" t="n">
        <v>0</v>
      </c>
      <c r="J38" s="20" t="n">
        <v>0</v>
      </c>
      <c r="K38" s="18" t="n">
        <v>2.03684578</v>
      </c>
      <c r="L38" s="20" t="n">
        <v>0.52509039</v>
      </c>
      <c r="M38" s="18" t="n">
        <v>0</v>
      </c>
      <c r="N38" s="20" t="n">
        <v>0</v>
      </c>
      <c r="O38" s="18" t="n">
        <v>0</v>
      </c>
      <c r="P38" s="20" t="n">
        <v>0</v>
      </c>
      <c r="Q38" s="18" t="n">
        <v>1.5643246</v>
      </c>
      <c r="R38" s="20" t="n">
        <v>0.48760178</v>
      </c>
    </row>
    <row r="39" spans="1:18">
      <c r="A39" s="15" t="s">
        <v>461</v>
      </c>
      <c r="B39" s="17" t="n">
        <v>5895</v>
      </c>
      <c r="C39" s="18">
        <f>(5162.0/B39*100)</f>
        <v/>
      </c>
      <c r="D39" s="19" t="n">
        <v>733</v>
      </c>
      <c r="E39" s="18" t="n">
        <v>49.73715068</v>
      </c>
      <c r="F39" s="20" t="n">
        <v>2.16609704</v>
      </c>
      <c r="G39" s="18" t="n">
        <v>48.09908393</v>
      </c>
      <c r="H39" s="20" t="n">
        <v>2.13555661</v>
      </c>
      <c r="I39" s="18" t="n">
        <v>0</v>
      </c>
      <c r="J39" s="20" t="n">
        <v>0</v>
      </c>
      <c r="K39" s="18" t="n">
        <v>0.76785238</v>
      </c>
      <c r="L39" s="20" t="n">
        <v>0.37220152</v>
      </c>
      <c r="M39" s="18" t="n">
        <v>0</v>
      </c>
      <c r="N39" s="20" t="n">
        <v>0</v>
      </c>
      <c r="O39" s="18" t="n">
        <v>0</v>
      </c>
      <c r="P39" s="20" t="n">
        <v>0</v>
      </c>
      <c r="Q39" s="18" t="n">
        <v>1.39591302</v>
      </c>
      <c r="R39" s="20" t="n">
        <v>0.40222565</v>
      </c>
    </row>
    <row r="40" spans="1:18">
      <c r="A40" s="15" t="s">
        <v>462</v>
      </c>
      <c r="B40" s="17" t="n">
        <v>14157</v>
      </c>
      <c r="C40" s="18">
        <f>(12454.0/B40*100)</f>
        <v/>
      </c>
      <c r="D40" s="19" t="n">
        <v>1703</v>
      </c>
      <c r="E40" s="18" t="n">
        <v>48.8326128</v>
      </c>
      <c r="F40" s="20" t="n">
        <v>1.97096008</v>
      </c>
      <c r="G40" s="18" t="n">
        <v>48.91517047</v>
      </c>
      <c r="H40" s="20" t="n">
        <v>1.95658622</v>
      </c>
      <c r="I40" s="18" t="n">
        <v>0</v>
      </c>
      <c r="J40" s="20" t="n">
        <v>0</v>
      </c>
      <c r="K40" s="18" t="n">
        <v>1.04595911</v>
      </c>
      <c r="L40" s="20" t="n">
        <v>0.40171005</v>
      </c>
      <c r="M40" s="18" t="n">
        <v>0</v>
      </c>
      <c r="N40" s="20" t="n">
        <v>0</v>
      </c>
      <c r="O40" s="18" t="n">
        <v>0</v>
      </c>
      <c r="P40" s="20" t="n">
        <v>0</v>
      </c>
      <c r="Q40" s="18" t="n">
        <v>1.20625761</v>
      </c>
      <c r="R40" s="20" t="n">
        <v>0.41921667</v>
      </c>
    </row>
    <row r="41" spans="1:18">
      <c r="A41" s="15" t="s">
        <v>463</v>
      </c>
      <c r="B41" s="17" t="n">
        <v>5712</v>
      </c>
      <c r="C41" s="18">
        <f>(4993.0/B41*100)</f>
        <v/>
      </c>
      <c r="D41" s="19" t="n">
        <v>719</v>
      </c>
      <c r="E41" s="18" t="n">
        <v>42.52991149</v>
      </c>
      <c r="F41" s="20" t="n">
        <v>2.27548713</v>
      </c>
      <c r="G41" s="18" t="n">
        <v>55.9390268</v>
      </c>
      <c r="H41" s="20" t="n">
        <v>2.18318835</v>
      </c>
      <c r="I41" s="18" t="n">
        <v>0</v>
      </c>
      <c r="J41" s="20" t="n">
        <v>0</v>
      </c>
      <c r="K41" s="18" t="n">
        <v>1.18184717</v>
      </c>
      <c r="L41" s="20" t="n">
        <v>0.4818754</v>
      </c>
      <c r="M41" s="18" t="n">
        <v>0</v>
      </c>
      <c r="N41" s="20" t="n">
        <v>0</v>
      </c>
      <c r="O41" s="18" t="n">
        <v>0</v>
      </c>
      <c r="P41" s="20" t="n">
        <v>0</v>
      </c>
      <c r="Q41" s="18" t="n">
        <v>0.34921454</v>
      </c>
      <c r="R41" s="20" t="n">
        <v>0.22795533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(21131.0/B46*100)</f>
        <v/>
      </c>
      <c r="D46" s="19" t="n">
        <v>2010</v>
      </c>
      <c r="E46" s="18" t="n">
        <v>49.38688167</v>
      </c>
      <c r="F46" s="20" t="n">
        <v>1.28136765</v>
      </c>
      <c r="G46" s="18" t="n">
        <v>46.59229519</v>
      </c>
      <c r="H46" s="20" t="n">
        <v>1.30860644</v>
      </c>
      <c r="I46" s="18" t="n">
        <v>0</v>
      </c>
      <c r="J46" s="20" t="n">
        <v>0</v>
      </c>
      <c r="K46" s="18" t="n">
        <v>2.98881922</v>
      </c>
      <c r="L46" s="20" t="n">
        <v>0.56833039</v>
      </c>
      <c r="M46" s="18" t="n">
        <v>0</v>
      </c>
      <c r="N46" s="20" t="n">
        <v>0</v>
      </c>
      <c r="O46" s="18" t="n">
        <v>0</v>
      </c>
      <c r="P46" s="20" t="n">
        <v>0</v>
      </c>
      <c r="Q46" s="18" t="n">
        <v>1.03200392</v>
      </c>
      <c r="R46" s="20" t="n">
        <v>0.25725641</v>
      </c>
    </row>
    <row r="47" spans="1:18">
      <c r="A47" s="15" t="s">
        <v>470</v>
      </c>
      <c r="B47" s="17" t="n">
        <v>5928</v>
      </c>
      <c r="C47" s="18">
        <f>(5248.0/B47*100)</f>
        <v/>
      </c>
      <c r="D47" s="19" t="n">
        <v>680</v>
      </c>
      <c r="E47" s="18" t="n">
        <v>34.97358237</v>
      </c>
      <c r="F47" s="20" t="n">
        <v>1.65626111</v>
      </c>
      <c r="G47" s="18" t="n">
        <v>61.86816206</v>
      </c>
      <c r="H47" s="20" t="n">
        <v>1.78783622</v>
      </c>
      <c r="I47" s="18" t="n">
        <v>0</v>
      </c>
      <c r="J47" s="20" t="n">
        <v>0</v>
      </c>
      <c r="K47" s="18" t="n">
        <v>1.1958237</v>
      </c>
      <c r="L47" s="20" t="n">
        <v>0.43593545</v>
      </c>
      <c r="M47" s="18" t="n">
        <v>0</v>
      </c>
      <c r="N47" s="20" t="n">
        <v>0</v>
      </c>
      <c r="O47" s="18" t="n">
        <v>0</v>
      </c>
      <c r="P47" s="20" t="n">
        <v>0</v>
      </c>
      <c r="Q47" s="18" t="n">
        <v>1.96243187</v>
      </c>
      <c r="R47" s="20" t="n">
        <v>0.59133879</v>
      </c>
    </row>
    <row r="48" spans="1:18">
      <c r="A48" s="15" t="s">
        <v>471</v>
      </c>
      <c r="B48" s="17" t="n">
        <v>9841</v>
      </c>
      <c r="C48" s="18">
        <f>(8656.0/B48*100)</f>
        <v/>
      </c>
      <c r="D48" s="19" t="n">
        <v>1185</v>
      </c>
      <c r="E48" s="18" t="n">
        <v>26.90937773</v>
      </c>
      <c r="F48" s="20" t="n">
        <v>1.81236484</v>
      </c>
      <c r="G48" s="18" t="n">
        <v>70.66986257000001</v>
      </c>
      <c r="H48" s="20" t="n">
        <v>1.78037396</v>
      </c>
      <c r="I48" s="18" t="n">
        <v>0</v>
      </c>
      <c r="J48" s="20" t="n">
        <v>0</v>
      </c>
      <c r="K48" s="18" t="n">
        <v>1.99766703</v>
      </c>
      <c r="L48" s="20" t="n">
        <v>0.6444220899999999</v>
      </c>
      <c r="M48" s="18" t="n">
        <v>0</v>
      </c>
      <c r="N48" s="20" t="n">
        <v>0</v>
      </c>
      <c r="O48" s="18" t="n">
        <v>0</v>
      </c>
      <c r="P48" s="20" t="n">
        <v>0</v>
      </c>
      <c r="Q48" s="18" t="n">
        <v>0.42309267</v>
      </c>
      <c r="R48" s="20" t="n">
        <v>0.23517667</v>
      </c>
    </row>
    <row r="49" spans="1:18">
      <c r="A49" s="15" t="s">
        <v>472</v>
      </c>
      <c r="B49" s="17" t="n">
        <v>11795</v>
      </c>
      <c r="C49" s="18">
        <f>(10429.0/B49*100)</f>
        <v/>
      </c>
      <c r="D49" s="19" t="n">
        <v>1366</v>
      </c>
      <c r="E49" s="18" t="n">
        <v>49.18684721</v>
      </c>
      <c r="F49" s="20" t="n">
        <v>1.60050959</v>
      </c>
      <c r="G49" s="18" t="n">
        <v>46.02774418</v>
      </c>
      <c r="H49" s="20" t="n">
        <v>1.66093163</v>
      </c>
      <c r="I49" s="18" t="n">
        <v>0</v>
      </c>
      <c r="J49" s="20" t="n">
        <v>0</v>
      </c>
      <c r="K49" s="18" t="n">
        <v>3.71642802</v>
      </c>
      <c r="L49" s="20" t="n">
        <v>0.65090393</v>
      </c>
      <c r="M49" s="18" t="n">
        <v>0</v>
      </c>
      <c r="N49" s="20" t="n">
        <v>0</v>
      </c>
      <c r="O49" s="18" t="n">
        <v>0</v>
      </c>
      <c r="P49" s="20" t="n">
        <v>0</v>
      </c>
      <c r="Q49" s="18" t="n">
        <v>1.0689806</v>
      </c>
      <c r="R49" s="20" t="n">
        <v>0.36964169</v>
      </c>
    </row>
    <row r="50" spans="1:18">
      <c r="A50" s="15" t="s">
        <v>473</v>
      </c>
      <c r="B50" s="17" t="n">
        <v>6866</v>
      </c>
      <c r="C50" s="18">
        <f>(5521.0/B50*100)</f>
        <v/>
      </c>
      <c r="D50" s="19" t="n">
        <v>1345</v>
      </c>
      <c r="E50" s="18" t="n">
        <v>48.66824944</v>
      </c>
      <c r="F50" s="20" t="n">
        <v>1.38563298</v>
      </c>
      <c r="G50" s="18" t="n">
        <v>49.94018349</v>
      </c>
      <c r="H50" s="20" t="n">
        <v>1.36758015</v>
      </c>
      <c r="I50" s="18" t="n">
        <v>0</v>
      </c>
      <c r="J50" s="20" t="n">
        <v>0</v>
      </c>
      <c r="K50" s="18" t="n">
        <v>0.87787674</v>
      </c>
      <c r="L50" s="20" t="n">
        <v>0.2909238</v>
      </c>
      <c r="M50" s="18" t="n">
        <v>0</v>
      </c>
      <c r="N50" s="20" t="n">
        <v>0</v>
      </c>
      <c r="O50" s="18" t="n">
        <v>0</v>
      </c>
      <c r="P50" s="20" t="n">
        <v>0</v>
      </c>
      <c r="Q50" s="18" t="n">
        <v>0.51369034</v>
      </c>
      <c r="R50" s="20" t="n">
        <v>0.18682913</v>
      </c>
    </row>
    <row r="51" spans="1:18">
      <c r="A51" s="15" t="s">
        <v>474</v>
      </c>
      <c r="B51" s="17" t="n">
        <v>5809</v>
      </c>
      <c r="C51" s="18">
        <f>(5101.0/B51*100)</f>
        <v/>
      </c>
      <c r="D51" s="19" t="n">
        <v>708</v>
      </c>
      <c r="E51" s="18" t="n">
        <v>37.73720432</v>
      </c>
      <c r="F51" s="20" t="n">
        <v>1.98419827</v>
      </c>
      <c r="G51" s="18" t="n">
        <v>60.86279717</v>
      </c>
      <c r="H51" s="20" t="n">
        <v>2.02984447</v>
      </c>
      <c r="I51" s="18" t="n">
        <v>0</v>
      </c>
      <c r="J51" s="20" t="n">
        <v>0</v>
      </c>
      <c r="K51" s="18" t="n">
        <v>0.21767485</v>
      </c>
      <c r="L51" s="20" t="n">
        <v>0.1562745</v>
      </c>
      <c r="M51" s="18" t="n">
        <v>0</v>
      </c>
      <c r="N51" s="20" t="n">
        <v>0</v>
      </c>
      <c r="O51" s="18" t="n">
        <v>0</v>
      </c>
      <c r="P51" s="20" t="n">
        <v>0</v>
      </c>
      <c r="Q51" s="18" t="n">
        <v>1.18232365</v>
      </c>
      <c r="R51" s="20" t="n">
        <v>0.45666066</v>
      </c>
    </row>
    <row r="52" spans="1:18">
      <c r="A52" s="15" t="s">
        <v>475</v>
      </c>
      <c r="B52" s="17" t="n">
        <v>5571</v>
      </c>
      <c r="C52" s="18">
        <f>(4896.0/B52*100)</f>
        <v/>
      </c>
      <c r="D52" s="19" t="n">
        <v>675</v>
      </c>
      <c r="E52" s="18" t="n">
        <v>49.80298059</v>
      </c>
      <c r="F52" s="20" t="n">
        <v>2.32960024</v>
      </c>
      <c r="G52" s="18" t="n">
        <v>47.27416203</v>
      </c>
      <c r="H52" s="20" t="n">
        <v>2.34006527</v>
      </c>
      <c r="I52" s="18" t="n">
        <v>0</v>
      </c>
      <c r="J52" s="20" t="n">
        <v>0</v>
      </c>
      <c r="K52" s="18" t="n">
        <v>1.90396119</v>
      </c>
      <c r="L52" s="20" t="n">
        <v>0.59021628</v>
      </c>
      <c r="M52" s="18" t="n">
        <v>0</v>
      </c>
      <c r="N52" s="20" t="n">
        <v>0</v>
      </c>
      <c r="O52" s="18" t="n">
        <v>0</v>
      </c>
      <c r="P52" s="20" t="n">
        <v>0</v>
      </c>
      <c r="Q52" s="18" t="n">
        <v>1.01889619</v>
      </c>
      <c r="R52" s="20" t="n">
        <v>0.48448227</v>
      </c>
    </row>
    <row r="53" spans="1:18">
      <c r="A53" s="15" t="s">
        <v>476</v>
      </c>
      <c r="B53" s="17" t="n">
        <v>4740</v>
      </c>
      <c r="C53" s="18">
        <f>(3963.0/B53*100)</f>
        <v/>
      </c>
      <c r="D53" s="19" t="n">
        <v>777</v>
      </c>
      <c r="E53" s="18" t="n">
        <v>54.33370465</v>
      </c>
      <c r="F53" s="20" t="n">
        <v>1.9896131</v>
      </c>
      <c r="G53" s="18" t="n">
        <v>22.2168229</v>
      </c>
      <c r="H53" s="20" t="n">
        <v>1.70576482</v>
      </c>
      <c r="I53" s="18" t="n">
        <v>0</v>
      </c>
      <c r="J53" s="20" t="n">
        <v>0</v>
      </c>
      <c r="K53" s="18" t="n">
        <v>21.84183134</v>
      </c>
      <c r="L53" s="20" t="n">
        <v>1.35434091</v>
      </c>
      <c r="M53" s="18" t="n">
        <v>0</v>
      </c>
      <c r="N53" s="20" t="n">
        <v>0</v>
      </c>
      <c r="O53" s="18" t="n">
        <v>0</v>
      </c>
      <c r="P53" s="20" t="n">
        <v>0</v>
      </c>
      <c r="Q53" s="18" t="n">
        <v>1.6076411</v>
      </c>
      <c r="R53" s="20" t="n">
        <v>0.54152075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(4704.0/B55*100)</f>
        <v/>
      </c>
      <c r="D55" s="19" t="n">
        <v>655</v>
      </c>
      <c r="E55" s="18" t="n">
        <v>32.6802334</v>
      </c>
      <c r="F55" s="20" t="n">
        <v>1.73254549</v>
      </c>
      <c r="G55" s="18" t="n">
        <v>65.52343983</v>
      </c>
      <c r="H55" s="20" t="n">
        <v>1.83151446</v>
      </c>
      <c r="I55" s="18" t="n">
        <v>0</v>
      </c>
      <c r="J55" s="20" t="n">
        <v>0</v>
      </c>
      <c r="K55" s="18" t="n">
        <v>1.04586807</v>
      </c>
      <c r="L55" s="20" t="n">
        <v>0.44723877</v>
      </c>
      <c r="M55" s="18" t="n">
        <v>0</v>
      </c>
      <c r="N55" s="20" t="n">
        <v>0</v>
      </c>
      <c r="O55" s="18" t="n">
        <v>0</v>
      </c>
      <c r="P55" s="20" t="n">
        <v>0</v>
      </c>
      <c r="Q55" s="18" t="n">
        <v>0.7504587</v>
      </c>
      <c r="R55" s="20" t="n">
        <v>0.35653687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(5757.0/B61*100)</f>
        <v/>
      </c>
      <c r="D61" s="19" t="n">
        <v>768</v>
      </c>
      <c r="E61" s="18" t="n">
        <v>43.57196961</v>
      </c>
      <c r="F61" s="20" t="n">
        <v>1.97416207</v>
      </c>
      <c r="G61" s="18" t="n">
        <v>55.76142177</v>
      </c>
      <c r="H61" s="20" t="n">
        <v>1.95874953</v>
      </c>
      <c r="I61" s="18" t="n">
        <v>0</v>
      </c>
      <c r="J61" s="20" t="n">
        <v>0</v>
      </c>
      <c r="K61" s="18" t="n">
        <v>0.50700526</v>
      </c>
      <c r="L61" s="20" t="n">
        <v>0.26983227</v>
      </c>
      <c r="M61" s="18" t="n">
        <v>0</v>
      </c>
      <c r="N61" s="20" t="n">
        <v>0</v>
      </c>
      <c r="O61" s="18" t="n">
        <v>0</v>
      </c>
      <c r="P61" s="20" t="n">
        <v>0</v>
      </c>
      <c r="Q61" s="18" t="n">
        <v>0.15960336</v>
      </c>
      <c r="R61" s="20" t="n">
        <v>0.13443679</v>
      </c>
    </row>
    <row r="62" spans="1:18">
      <c r="A62" s="15" t="s">
        <v>486</v>
      </c>
      <c r="B62" s="17" t="n">
        <v>4476</v>
      </c>
      <c r="C62" s="18">
        <f>(3957.0/B62*100)</f>
        <v/>
      </c>
      <c r="D62" s="19" t="n">
        <v>519</v>
      </c>
      <c r="E62" s="18" t="n">
        <v>36.29650613</v>
      </c>
      <c r="F62" s="20" t="n">
        <v>2.27582001</v>
      </c>
      <c r="G62" s="18" t="n">
        <v>63.12310521</v>
      </c>
      <c r="H62" s="20" t="n">
        <v>2.32048087</v>
      </c>
      <c r="I62" s="18" t="n">
        <v>0</v>
      </c>
      <c r="J62" s="20" t="n">
        <v>0</v>
      </c>
      <c r="K62" s="18" t="n">
        <v>0.19785942</v>
      </c>
      <c r="L62" s="20" t="n">
        <v>0.1959934</v>
      </c>
      <c r="M62" s="18" t="n">
        <v>0</v>
      </c>
      <c r="N62" s="20" t="n">
        <v>0</v>
      </c>
      <c r="O62" s="18" t="n">
        <v>0</v>
      </c>
      <c r="P62" s="20" t="n">
        <v>0</v>
      </c>
      <c r="Q62" s="18" t="n">
        <v>0.38252923</v>
      </c>
      <c r="R62" s="20" t="n">
        <v>0.26959692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(4991.0/B67*100)</f>
        <v/>
      </c>
      <c r="D67" s="19" t="n">
        <v>674</v>
      </c>
      <c r="E67" s="18" t="n">
        <v>40.25940066</v>
      </c>
      <c r="F67" s="20" t="n">
        <v>1.99093882</v>
      </c>
      <c r="G67" s="18" t="n">
        <v>54.49906647</v>
      </c>
      <c r="H67" s="20" t="n">
        <v>2.10297647</v>
      </c>
      <c r="I67" s="18" t="n">
        <v>0</v>
      </c>
      <c r="J67" s="20" t="n">
        <v>0</v>
      </c>
      <c r="K67" s="18" t="n">
        <v>3.94633593</v>
      </c>
      <c r="L67" s="20" t="n">
        <v>0.83962732</v>
      </c>
      <c r="M67" s="18" t="n">
        <v>0</v>
      </c>
      <c r="N67" s="20" t="n">
        <v>0</v>
      </c>
      <c r="O67" s="18" t="n">
        <v>0</v>
      </c>
      <c r="P67" s="20" t="n">
        <v>0</v>
      </c>
      <c r="Q67" s="18" t="n">
        <v>1.29519693</v>
      </c>
      <c r="R67" s="20" t="n">
        <v>0.46839913</v>
      </c>
    </row>
    <row r="68" spans="1:18">
      <c r="A68" s="15" t="s">
        <v>492</v>
      </c>
      <c r="B68" s="17" t="n">
        <v>6971</v>
      </c>
      <c r="C68" s="18">
        <f>(6293.0/B68*100)</f>
        <v/>
      </c>
      <c r="D68" s="19" t="n">
        <v>678</v>
      </c>
      <c r="E68" s="18" t="n">
        <v>61.42589506</v>
      </c>
      <c r="F68" s="20" t="n">
        <v>1.84944382</v>
      </c>
      <c r="G68" s="18" t="n">
        <v>37.59171714</v>
      </c>
      <c r="H68" s="20" t="n">
        <v>1.82310646</v>
      </c>
      <c r="I68" s="18" t="n">
        <v>0</v>
      </c>
      <c r="J68" s="20" t="n">
        <v>0</v>
      </c>
      <c r="K68" s="18" t="n">
        <v>0.51296652</v>
      </c>
      <c r="L68" s="20" t="n">
        <v>0.25817074</v>
      </c>
      <c r="M68" s="18" t="n">
        <v>0</v>
      </c>
      <c r="N68" s="20" t="n">
        <v>0</v>
      </c>
      <c r="O68" s="18" t="n">
        <v>0</v>
      </c>
      <c r="P68" s="20" t="n">
        <v>0</v>
      </c>
      <c r="Q68" s="18" t="n">
        <v>0.46942128</v>
      </c>
      <c r="R68" s="20" t="n">
        <v>0.27033921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(10065.0/B70*100)</f>
        <v/>
      </c>
      <c r="D70" s="19" t="n">
        <v>2018</v>
      </c>
      <c r="E70" s="18" t="n">
        <v>52.3183912</v>
      </c>
      <c r="F70" s="20" t="n">
        <v>1.14024016</v>
      </c>
      <c r="G70" s="18" t="n">
        <v>38.37511509</v>
      </c>
      <c r="H70" s="20" t="n">
        <v>1.2039083</v>
      </c>
      <c r="I70" s="18" t="n">
        <v>0</v>
      </c>
      <c r="J70" s="20" t="n">
        <v>0</v>
      </c>
      <c r="K70" s="18" t="n">
        <v>6.51974349</v>
      </c>
      <c r="L70" s="20" t="n">
        <v>0.54974295</v>
      </c>
      <c r="M70" s="18" t="n">
        <v>0</v>
      </c>
      <c r="N70" s="20" t="n">
        <v>0</v>
      </c>
      <c r="O70" s="18" t="n">
        <v>0</v>
      </c>
      <c r="P70" s="20" t="n">
        <v>0</v>
      </c>
      <c r="Q70" s="18" t="n">
        <v>2.78675022</v>
      </c>
      <c r="R70" s="20" t="n">
        <v>0.30474422</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(5376.0/B72*100)</f>
        <v/>
      </c>
      <c r="D72" s="19" t="n">
        <v>660</v>
      </c>
      <c r="E72" s="18" t="n">
        <v>33.39337898</v>
      </c>
      <c r="F72" s="20" t="n">
        <v>2.47910453</v>
      </c>
      <c r="G72" s="18" t="n">
        <v>65.26097394</v>
      </c>
      <c r="H72" s="20" t="n">
        <v>2.48645175</v>
      </c>
      <c r="I72" s="18" t="n">
        <v>0</v>
      </c>
      <c r="J72" s="20" t="n">
        <v>0</v>
      </c>
      <c r="K72" s="18" t="n">
        <v>0.78779539</v>
      </c>
      <c r="L72" s="20" t="n">
        <v>0.32327561</v>
      </c>
      <c r="M72" s="18" t="n">
        <v>0</v>
      </c>
      <c r="N72" s="20" t="n">
        <v>0</v>
      </c>
      <c r="O72" s="18" t="n">
        <v>0</v>
      </c>
      <c r="P72" s="20" t="n">
        <v>0</v>
      </c>
      <c r="Q72" s="18" t="n">
        <v>0.55785169</v>
      </c>
      <c r="R72" s="20" t="n">
        <v>0.29672912</v>
      </c>
    </row>
    <row r="73" spans="1:18">
      <c r="A73" s="15" t="s">
        <v>497</v>
      </c>
      <c r="B73" s="17" t="n">
        <v>6115</v>
      </c>
      <c r="C73" s="18">
        <f>(5348.0/B73*100)</f>
        <v/>
      </c>
      <c r="D73" s="19" t="n">
        <v>767</v>
      </c>
      <c r="E73" s="18" t="n">
        <v>29.05987091</v>
      </c>
      <c r="F73" s="20" t="n">
        <v>1.65816864</v>
      </c>
      <c r="G73" s="18" t="n">
        <v>69.81657434</v>
      </c>
      <c r="H73" s="20" t="n">
        <v>1.58874787</v>
      </c>
      <c r="I73" s="18" t="n">
        <v>0</v>
      </c>
      <c r="J73" s="20" t="n">
        <v>0</v>
      </c>
      <c r="K73" s="18" t="n">
        <v>0.39440777</v>
      </c>
      <c r="L73" s="20" t="n">
        <v>0.2330052</v>
      </c>
      <c r="M73" s="18" t="n">
        <v>0</v>
      </c>
      <c r="N73" s="20" t="n">
        <v>0</v>
      </c>
      <c r="O73" s="18" t="n">
        <v>0</v>
      </c>
      <c r="P73" s="20" t="n">
        <v>0</v>
      </c>
      <c r="Q73" s="18" t="n">
        <v>0.72914698</v>
      </c>
      <c r="R73" s="20" t="n">
        <v>0.22518154</v>
      </c>
    </row>
    <row r="74" spans="1:18">
      <c r="A74" s="15" t="s">
        <v>498</v>
      </c>
      <c r="B74" s="17" t="n">
        <v>7708</v>
      </c>
      <c r="C74" s="18">
        <f>(6756.0/B74*100)</f>
        <v/>
      </c>
      <c r="D74" s="19" t="n">
        <v>952</v>
      </c>
      <c r="E74" s="18" t="n">
        <v>25.31201878</v>
      </c>
      <c r="F74" s="20" t="n">
        <v>1.33965228</v>
      </c>
      <c r="G74" s="18" t="n">
        <v>73.80396806</v>
      </c>
      <c r="H74" s="20" t="n">
        <v>1.34644627</v>
      </c>
      <c r="I74" s="18" t="n">
        <v>0</v>
      </c>
      <c r="J74" s="20" t="n">
        <v>0</v>
      </c>
      <c r="K74" s="18" t="n">
        <v>0.32196904</v>
      </c>
      <c r="L74" s="20" t="n">
        <v>0.19505868</v>
      </c>
      <c r="M74" s="18" t="n">
        <v>0</v>
      </c>
      <c r="N74" s="20" t="n">
        <v>0</v>
      </c>
      <c r="O74" s="18" t="n">
        <v>0</v>
      </c>
      <c r="P74" s="20" t="n">
        <v>0</v>
      </c>
      <c r="Q74" s="18" t="n">
        <v>0.56204412</v>
      </c>
      <c r="R74" s="20" t="n">
        <v>0.24133534</v>
      </c>
    </row>
    <row r="75" spans="1:18">
      <c r="A75" s="15" t="s">
        <v>499</v>
      </c>
      <c r="B75" s="17" t="n">
        <v>8249</v>
      </c>
      <c r="C75" s="18">
        <f>(7309.0/B75*100)</f>
        <v/>
      </c>
      <c r="D75" s="19" t="n">
        <v>940</v>
      </c>
      <c r="E75" s="18" t="n">
        <v>43.50939331</v>
      </c>
      <c r="F75" s="20" t="n">
        <v>2.10734234</v>
      </c>
      <c r="G75" s="18" t="n">
        <v>55.00243363</v>
      </c>
      <c r="H75" s="20" t="n">
        <v>2.08830239</v>
      </c>
      <c r="I75" s="18" t="n">
        <v>0</v>
      </c>
      <c r="J75" s="20" t="n">
        <v>0</v>
      </c>
      <c r="K75" s="18" t="n">
        <v>0.63850806</v>
      </c>
      <c r="L75" s="20" t="n">
        <v>0.32148881</v>
      </c>
      <c r="M75" s="18" t="n">
        <v>0</v>
      </c>
      <c r="N75" s="20" t="n">
        <v>0</v>
      </c>
      <c r="O75" s="18" t="n">
        <v>0</v>
      </c>
      <c r="P75" s="20" t="n">
        <v>0</v>
      </c>
      <c r="Q75" s="18" t="n">
        <v>0.849665</v>
      </c>
      <c r="R75" s="20" t="n">
        <v>0.36025424</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(4796.0/B77*100)</f>
        <v/>
      </c>
      <c r="D77" s="19" t="n">
        <v>579</v>
      </c>
      <c r="E77" s="18" t="n">
        <v>52.18844907</v>
      </c>
      <c r="F77" s="20" t="n">
        <v>2.08024977</v>
      </c>
      <c r="G77" s="18" t="n">
        <v>40.08377712</v>
      </c>
      <c r="H77" s="20" t="n">
        <v>1.89008977</v>
      </c>
      <c r="I77" s="18" t="n">
        <v>0</v>
      </c>
      <c r="J77" s="20" t="n">
        <v>0</v>
      </c>
      <c r="K77" s="18" t="n">
        <v>5.5687395</v>
      </c>
      <c r="L77" s="20" t="n">
        <v>1.08610193</v>
      </c>
      <c r="M77" s="18" t="n">
        <v>0</v>
      </c>
      <c r="N77" s="20" t="n">
        <v>0</v>
      </c>
      <c r="O77" s="18" t="n">
        <v>0</v>
      </c>
      <c r="P77" s="20" t="n">
        <v>0</v>
      </c>
      <c r="Q77" s="18" t="n">
        <v>2.15903432</v>
      </c>
      <c r="R77" s="20" t="n">
        <v>0.66377534</v>
      </c>
    </row>
    <row r="78" spans="1:18">
      <c r="A78" s="15" t="s">
        <v>502</v>
      </c>
      <c r="B78" s="17" t="n">
        <v>14167</v>
      </c>
      <c r="C78" s="18">
        <f>(12416.0/B78*100)</f>
        <v/>
      </c>
      <c r="D78" s="19" t="n">
        <v>1751</v>
      </c>
      <c r="E78" s="18" t="n">
        <v>48.89707354</v>
      </c>
      <c r="F78" s="20" t="n">
        <v>1.70700977</v>
      </c>
      <c r="G78" s="18" t="n">
        <v>47.96539892</v>
      </c>
      <c r="H78" s="20" t="n">
        <v>1.63580016</v>
      </c>
      <c r="I78" s="18" t="n">
        <v>0</v>
      </c>
      <c r="J78" s="20" t="n">
        <v>0</v>
      </c>
      <c r="K78" s="18" t="n">
        <v>2.05722269</v>
      </c>
      <c r="L78" s="20" t="n">
        <v>0.42729509</v>
      </c>
      <c r="M78" s="18" t="n">
        <v>0</v>
      </c>
      <c r="N78" s="20" t="n">
        <v>0</v>
      </c>
      <c r="O78" s="18" t="n">
        <v>0</v>
      </c>
      <c r="P78" s="20" t="n">
        <v>0</v>
      </c>
      <c r="Q78" s="18" t="n">
        <v>1.08030484</v>
      </c>
      <c r="R78" s="20" t="n">
        <v>0.26456966</v>
      </c>
    </row>
    <row r="79" spans="1:18">
      <c r="A79" s="15" t="s">
        <v>503</v>
      </c>
      <c r="B79" s="17" t="n">
        <v>6062</v>
      </c>
      <c r="C79" s="18">
        <f>(5362.0/B79*100)</f>
        <v/>
      </c>
      <c r="D79" s="19" t="n">
        <v>700</v>
      </c>
      <c r="E79" s="18" t="n">
        <v>50.76402502</v>
      </c>
      <c r="F79" s="20" t="n">
        <v>1.96113655</v>
      </c>
      <c r="G79" s="18" t="n">
        <v>43.70857383</v>
      </c>
      <c r="H79" s="20" t="n">
        <v>1.90951151</v>
      </c>
      <c r="I79" s="18" t="n">
        <v>0</v>
      </c>
      <c r="J79" s="20" t="n">
        <v>0</v>
      </c>
      <c r="K79" s="18" t="n">
        <v>4.36615957</v>
      </c>
      <c r="L79" s="20" t="n">
        <v>0.78642232</v>
      </c>
      <c r="M79" s="18" t="n">
        <v>0</v>
      </c>
      <c r="N79" s="20" t="n">
        <v>0</v>
      </c>
      <c r="O79" s="18" t="n">
        <v>0</v>
      </c>
      <c r="P79" s="20" t="n">
        <v>0</v>
      </c>
      <c r="Q79" s="18" t="n">
        <v>1.16124157</v>
      </c>
      <c r="R79" s="20" t="n">
        <v>0.39052903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(28497.0/B82*100)</f>
        <v/>
      </c>
      <c r="D82" s="19" t="n">
        <v>3833</v>
      </c>
      <c r="E82" s="18" t="n">
        <v>29.25074504</v>
      </c>
      <c r="F82" s="20" t="n">
        <v>0.96785763</v>
      </c>
      <c r="G82" s="18" t="n">
        <v>68.90962539</v>
      </c>
      <c r="H82" s="20" t="n">
        <v>0.9686693</v>
      </c>
      <c r="I82" s="18" t="n">
        <v>0</v>
      </c>
      <c r="J82" s="20" t="n">
        <v>0</v>
      </c>
      <c r="K82" s="18" t="n">
        <v>1.31614996</v>
      </c>
      <c r="L82" s="20" t="n">
        <v>0.24681165</v>
      </c>
      <c r="M82" s="18" t="n">
        <v>0</v>
      </c>
      <c r="N82" s="20" t="n">
        <v>0</v>
      </c>
      <c r="O82" s="18" t="n">
        <v>0</v>
      </c>
      <c r="P82" s="20" t="n">
        <v>0</v>
      </c>
      <c r="Q82" s="18" t="n">
        <v>0.52347962</v>
      </c>
      <c r="R82" s="20" t="n">
        <v>0.15262936</v>
      </c>
    </row>
    <row r="83" spans="1:18">
      <c r="A83" s="15" t="s">
        <v>507</v>
      </c>
      <c r="B83" s="17" t="n">
        <v>1652</v>
      </c>
      <c r="C83" s="18">
        <f>(1427.0/B83*100)</f>
        <v/>
      </c>
      <c r="D83" s="19" t="n">
        <v>225</v>
      </c>
      <c r="E83" s="18" t="n">
        <v>33.95060991</v>
      </c>
      <c r="F83" s="20" t="n">
        <v>3.26406764</v>
      </c>
      <c r="G83" s="18" t="n">
        <v>65.24905563999999</v>
      </c>
      <c r="H83" s="20" t="n">
        <v>3.18704256</v>
      </c>
      <c r="I83" s="18" t="n">
        <v>0</v>
      </c>
      <c r="J83" s="20" t="n">
        <v>0</v>
      </c>
      <c r="K83" s="18" t="n">
        <v>0</v>
      </c>
      <c r="L83" s="20" t="n">
        <v>0</v>
      </c>
      <c r="M83" s="18" t="n">
        <v>0</v>
      </c>
      <c r="N83" s="20" t="n">
        <v>0</v>
      </c>
      <c r="O83" s="18" t="n">
        <v>0</v>
      </c>
      <c r="P83" s="20" t="n">
        <v>0</v>
      </c>
      <c r="Q83" s="18" t="n">
        <v>0.80033445</v>
      </c>
      <c r="R83" s="20" t="n">
        <v>0.56759132</v>
      </c>
    </row>
    <row r="84" spans="1:18">
      <c r="A84" s="23" t="s">
        <v>508</v>
      </c>
      <c r="B84" s="24" t="n">
        <v>1887</v>
      </c>
      <c r="C84" s="25">
        <f>(1611.0/B84*100)</f>
        <v/>
      </c>
      <c r="D84" s="19" t="n">
        <v>276</v>
      </c>
      <c r="E84" s="18" t="n">
        <v>38.95039812</v>
      </c>
      <c r="F84" s="20" t="n">
        <v>3.36600505</v>
      </c>
      <c r="G84" s="18" t="n">
        <v>60.22002974</v>
      </c>
      <c r="H84" s="20" t="n">
        <v>3.38712739</v>
      </c>
      <c r="I84" s="18" t="n">
        <v>0</v>
      </c>
      <c r="J84" s="20" t="n">
        <v>0</v>
      </c>
      <c r="K84" s="18" t="n">
        <v>0</v>
      </c>
      <c r="L84" s="20" t="n">
        <v>0</v>
      </c>
      <c r="M84" s="18" t="n">
        <v>0</v>
      </c>
      <c r="N84" s="20" t="n">
        <v>0</v>
      </c>
      <c r="O84" s="18" t="n">
        <v>0</v>
      </c>
      <c r="P84" s="20" t="n">
        <v>0</v>
      </c>
      <c r="Q84" s="18" t="n">
        <v>0.82957214</v>
      </c>
      <c r="R84" s="20" t="n">
        <v>0.61424609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(12829.0/B7*100)</f>
        <v/>
      </c>
      <c r="D7" s="19" t="n">
        <v>1701</v>
      </c>
      <c r="E7" s="18" t="n">
        <v>74.11434106</v>
      </c>
      <c r="F7" s="20" t="n">
        <v>1.48164128</v>
      </c>
      <c r="G7" s="18" t="n">
        <v>24.81834125</v>
      </c>
      <c r="H7" s="20" t="n">
        <v>1.51119944</v>
      </c>
      <c r="I7" s="18" t="n">
        <v>0</v>
      </c>
      <c r="J7" s="20" t="n">
        <v>0</v>
      </c>
      <c r="K7" s="18" t="n">
        <v>1.06731768</v>
      </c>
      <c r="L7" s="20" t="n">
        <v>0.30981936</v>
      </c>
      <c r="M7" s="18" t="n">
        <v>0</v>
      </c>
      <c r="N7" s="20" t="n">
        <v>0</v>
      </c>
      <c r="O7" s="18" t="n">
        <v>0</v>
      </c>
      <c r="P7" s="20" t="n">
        <v>0</v>
      </c>
      <c r="Q7" s="18" t="n">
        <v>0</v>
      </c>
      <c r="R7" s="20" t="n">
        <v>0</v>
      </c>
    </row>
    <row r="8" spans="1:18">
      <c r="A8" s="15" t="s">
        <v>430</v>
      </c>
      <c r="B8" s="17" t="n">
        <v>7007</v>
      </c>
      <c r="C8" s="18">
        <f>(6129.0/B8*100)</f>
        <v/>
      </c>
      <c r="D8" s="19" t="n">
        <v>878</v>
      </c>
      <c r="E8" s="18" t="n">
        <v>82.14969078</v>
      </c>
      <c r="F8" s="20" t="n">
        <v>1.24845635</v>
      </c>
      <c r="G8" s="18" t="n">
        <v>16.69459092</v>
      </c>
      <c r="H8" s="20" t="n">
        <v>1.29086796</v>
      </c>
      <c r="I8" s="18" t="n">
        <v>0</v>
      </c>
      <c r="J8" s="20" t="n">
        <v>0</v>
      </c>
      <c r="K8" s="18" t="n">
        <v>1.1557183</v>
      </c>
      <c r="L8" s="20" t="n">
        <v>0.38389566</v>
      </c>
      <c r="M8" s="18" t="n">
        <v>0</v>
      </c>
      <c r="N8" s="20" t="n">
        <v>0</v>
      </c>
      <c r="O8" s="18" t="n">
        <v>0</v>
      </c>
      <c r="P8" s="20" t="n">
        <v>0</v>
      </c>
      <c r="Q8" s="18" t="n">
        <v>0</v>
      </c>
      <c r="R8" s="20" t="n">
        <v>0</v>
      </c>
    </row>
    <row r="9" spans="1:18">
      <c r="A9" s="15" t="s">
        <v>431</v>
      </c>
      <c r="B9" s="17" t="n">
        <v>9651</v>
      </c>
      <c r="C9" s="18">
        <f>(8294.0/B9*100)</f>
        <v/>
      </c>
      <c r="D9" s="19" t="n">
        <v>1357</v>
      </c>
      <c r="E9" s="18" t="n">
        <v>72.13202179</v>
      </c>
      <c r="F9" s="20" t="n">
        <v>1.21978979</v>
      </c>
      <c r="G9" s="18" t="n">
        <v>26.04375149</v>
      </c>
      <c r="H9" s="20" t="n">
        <v>1.20598009</v>
      </c>
      <c r="I9" s="18" t="n">
        <v>0</v>
      </c>
      <c r="J9" s="20" t="n">
        <v>0</v>
      </c>
      <c r="K9" s="18" t="n">
        <v>1.82422672</v>
      </c>
      <c r="L9" s="20" t="n">
        <v>0.3804139</v>
      </c>
      <c r="M9" s="18" t="n">
        <v>0</v>
      </c>
      <c r="N9" s="20" t="n">
        <v>0</v>
      </c>
      <c r="O9" s="18" t="n">
        <v>0</v>
      </c>
      <c r="P9" s="20" t="n">
        <v>0</v>
      </c>
      <c r="Q9" s="18" t="n">
        <v>0</v>
      </c>
      <c r="R9" s="20" t="n">
        <v>0</v>
      </c>
    </row>
    <row r="10" spans="1:18">
      <c r="A10" s="15" t="s">
        <v>432</v>
      </c>
      <c r="B10" s="17" t="n">
        <v>20058</v>
      </c>
      <c r="C10" s="18">
        <f>(17562.0/B10*100)</f>
        <v/>
      </c>
      <c r="D10" s="19" t="n">
        <v>2496</v>
      </c>
      <c r="E10" s="18" t="n">
        <v>73.62737730000001</v>
      </c>
      <c r="F10" s="20" t="n">
        <v>1.07465819</v>
      </c>
      <c r="G10" s="18" t="n">
        <v>25.41673901</v>
      </c>
      <c r="H10" s="20" t="n">
        <v>1.08786353</v>
      </c>
      <c r="I10" s="18" t="n">
        <v>0</v>
      </c>
      <c r="J10" s="20" t="n">
        <v>0</v>
      </c>
      <c r="K10" s="18" t="n">
        <v>0.9558837</v>
      </c>
      <c r="L10" s="20" t="n">
        <v>0.25236755</v>
      </c>
      <c r="M10" s="18" t="n">
        <v>0</v>
      </c>
      <c r="N10" s="20" t="n">
        <v>0</v>
      </c>
      <c r="O10" s="18" t="n">
        <v>0</v>
      </c>
      <c r="P10" s="20" t="n">
        <v>0</v>
      </c>
      <c r="Q10" s="18" t="n">
        <v>0</v>
      </c>
      <c r="R10" s="20" t="n">
        <v>0</v>
      </c>
    </row>
    <row r="11" spans="1:18">
      <c r="A11" s="15" t="s">
        <v>433</v>
      </c>
      <c r="B11" s="17" t="n">
        <v>7053</v>
      </c>
      <c r="C11" s="18">
        <f>(6262.0/B11*100)</f>
        <v/>
      </c>
      <c r="D11" s="19" t="n">
        <v>791</v>
      </c>
      <c r="E11" s="18" t="n">
        <v>78.4307687</v>
      </c>
      <c r="F11" s="20" t="n">
        <v>1.46278738</v>
      </c>
      <c r="G11" s="18" t="n">
        <v>17.861858</v>
      </c>
      <c r="H11" s="20" t="n">
        <v>1.39006277</v>
      </c>
      <c r="I11" s="18" t="n">
        <v>0</v>
      </c>
      <c r="J11" s="20" t="n">
        <v>0</v>
      </c>
      <c r="K11" s="18" t="n">
        <v>3.70737331</v>
      </c>
      <c r="L11" s="20" t="n">
        <v>0.80828451</v>
      </c>
      <c r="M11" s="18" t="n">
        <v>0</v>
      </c>
      <c r="N11" s="20" t="n">
        <v>0</v>
      </c>
      <c r="O11" s="18" t="n">
        <v>0</v>
      </c>
      <c r="P11" s="20" t="n">
        <v>0</v>
      </c>
      <c r="Q11" s="18" t="n">
        <v>0</v>
      </c>
      <c r="R11" s="20" t="n">
        <v>0</v>
      </c>
    </row>
    <row r="12" spans="1:18">
      <c r="A12" s="15" t="s">
        <v>434</v>
      </c>
      <c r="B12" s="17" t="n">
        <v>6894</v>
      </c>
      <c r="C12" s="18">
        <f>(5991.0/B12*100)</f>
        <v/>
      </c>
      <c r="D12" s="19" t="n">
        <v>903</v>
      </c>
      <c r="E12" s="18" t="n">
        <v>81.3178243</v>
      </c>
      <c r="F12" s="20" t="n">
        <v>1.31502105</v>
      </c>
      <c r="G12" s="18" t="n">
        <v>17.94304154</v>
      </c>
      <c r="H12" s="20" t="n">
        <v>1.28854001</v>
      </c>
      <c r="I12" s="18" t="n">
        <v>0</v>
      </c>
      <c r="J12" s="20" t="n">
        <v>0</v>
      </c>
      <c r="K12" s="18" t="n">
        <v>0.73913416</v>
      </c>
      <c r="L12" s="20" t="n">
        <v>0.31677983</v>
      </c>
      <c r="M12" s="18" t="n">
        <v>0</v>
      </c>
      <c r="N12" s="20" t="n">
        <v>0</v>
      </c>
      <c r="O12" s="18" t="n">
        <v>0</v>
      </c>
      <c r="P12" s="20" t="n">
        <v>0</v>
      </c>
      <c r="Q12" s="18" t="n">
        <v>0</v>
      </c>
      <c r="R12" s="20" t="n">
        <v>0</v>
      </c>
    </row>
    <row r="13" spans="1:18">
      <c r="A13" s="15" t="s">
        <v>435</v>
      </c>
      <c r="B13" s="17" t="n">
        <v>7161</v>
      </c>
      <c r="C13" s="18">
        <f>(5996.0/B13*100)</f>
        <v/>
      </c>
      <c r="D13" s="19" t="n">
        <v>1165</v>
      </c>
      <c r="E13" s="18" t="n">
        <v>78.63537556999999</v>
      </c>
      <c r="F13" s="20" t="n">
        <v>1.66684779</v>
      </c>
      <c r="G13" s="18" t="n">
        <v>19.86201153</v>
      </c>
      <c r="H13" s="20" t="n">
        <v>1.65273588</v>
      </c>
      <c r="I13" s="18" t="n">
        <v>0</v>
      </c>
      <c r="J13" s="20" t="n">
        <v>0</v>
      </c>
      <c r="K13" s="18" t="n">
        <v>1.5026129</v>
      </c>
      <c r="L13" s="20" t="n">
        <v>0.40371245</v>
      </c>
      <c r="M13" s="18" t="n">
        <v>0</v>
      </c>
      <c r="N13" s="20" t="n">
        <v>0</v>
      </c>
      <c r="O13" s="18" t="n">
        <v>0</v>
      </c>
      <c r="P13" s="20" t="n">
        <v>0</v>
      </c>
      <c r="Q13" s="18" t="n">
        <v>0</v>
      </c>
      <c r="R13" s="20" t="n">
        <v>0</v>
      </c>
    </row>
    <row r="14" spans="1:18">
      <c r="A14" s="15" t="s">
        <v>436</v>
      </c>
      <c r="B14" s="17" t="n">
        <v>5587</v>
      </c>
      <c r="C14" s="18">
        <f>(4937.0/B14*100)</f>
        <v/>
      </c>
      <c r="D14" s="19" t="n">
        <v>650</v>
      </c>
      <c r="E14" s="18" t="n">
        <v>70.08383384</v>
      </c>
      <c r="F14" s="20" t="n">
        <v>2.20046279</v>
      </c>
      <c r="G14" s="18" t="n">
        <v>29.37156293</v>
      </c>
      <c r="H14" s="20" t="n">
        <v>2.18161333</v>
      </c>
      <c r="I14" s="18" t="n">
        <v>0</v>
      </c>
      <c r="J14" s="20" t="n">
        <v>0</v>
      </c>
      <c r="K14" s="18" t="n">
        <v>0.54460323</v>
      </c>
      <c r="L14" s="20" t="n">
        <v>0.27268968</v>
      </c>
      <c r="M14" s="18" t="n">
        <v>0</v>
      </c>
      <c r="N14" s="20" t="n">
        <v>0</v>
      </c>
      <c r="O14" s="18" t="n">
        <v>0</v>
      </c>
      <c r="P14" s="20" t="n">
        <v>0</v>
      </c>
      <c r="Q14" s="18" t="n">
        <v>0</v>
      </c>
      <c r="R14" s="20" t="n">
        <v>0</v>
      </c>
    </row>
    <row r="15" spans="1:18">
      <c r="A15" s="15" t="s">
        <v>437</v>
      </c>
      <c r="B15" s="17" t="n">
        <v>5882</v>
      </c>
      <c r="C15" s="18">
        <f>(5133.0/B15*100)</f>
        <v/>
      </c>
      <c r="D15" s="19" t="n">
        <v>749</v>
      </c>
      <c r="E15" s="18" t="n">
        <v>66.839341</v>
      </c>
      <c r="F15" s="20" t="n">
        <v>1.91037457</v>
      </c>
      <c r="G15" s="18" t="n">
        <v>32.15853432</v>
      </c>
      <c r="H15" s="20" t="n">
        <v>1.92026897</v>
      </c>
      <c r="I15" s="18" t="n">
        <v>0</v>
      </c>
      <c r="J15" s="20" t="n">
        <v>0</v>
      </c>
      <c r="K15" s="18" t="n">
        <v>1.00212467</v>
      </c>
      <c r="L15" s="20" t="n">
        <v>0.39964321</v>
      </c>
      <c r="M15" s="18" t="n">
        <v>0</v>
      </c>
      <c r="N15" s="20" t="n">
        <v>0</v>
      </c>
      <c r="O15" s="18" t="n">
        <v>0</v>
      </c>
      <c r="P15" s="20" t="n">
        <v>0</v>
      </c>
      <c r="Q15" s="18" t="n">
        <v>0</v>
      </c>
      <c r="R15" s="20" t="n">
        <v>0</v>
      </c>
    </row>
    <row r="16" spans="1:18">
      <c r="A16" s="15" t="s">
        <v>438</v>
      </c>
      <c r="B16" s="17" t="n">
        <v>6108</v>
      </c>
      <c r="C16" s="18">
        <f>(5396.0/B16*100)</f>
        <v/>
      </c>
      <c r="D16" s="19" t="n">
        <v>712</v>
      </c>
      <c r="E16" s="18" t="n">
        <v>80.56202695</v>
      </c>
      <c r="F16" s="20" t="n">
        <v>1.32703201</v>
      </c>
      <c r="G16" s="18" t="n">
        <v>15.2478644</v>
      </c>
      <c r="H16" s="20" t="n">
        <v>1.33298424</v>
      </c>
      <c r="I16" s="18" t="n">
        <v>0</v>
      </c>
      <c r="J16" s="20" t="n">
        <v>0</v>
      </c>
      <c r="K16" s="18" t="n">
        <v>4.19010865</v>
      </c>
      <c r="L16" s="20" t="n">
        <v>0.7168083200000001</v>
      </c>
      <c r="M16" s="18" t="n">
        <v>0</v>
      </c>
      <c r="N16" s="20" t="n">
        <v>0</v>
      </c>
      <c r="O16" s="18" t="n">
        <v>0</v>
      </c>
      <c r="P16" s="20" t="n">
        <v>0</v>
      </c>
      <c r="Q16" s="18" t="n">
        <v>0</v>
      </c>
      <c r="R16" s="20" t="n">
        <v>0</v>
      </c>
    </row>
    <row r="17" spans="1:18">
      <c r="A17" s="15" t="s">
        <v>439</v>
      </c>
      <c r="B17" s="17" t="n">
        <v>6504</v>
      </c>
      <c r="C17" s="18">
        <f>(5626.0/B17*100)</f>
        <v/>
      </c>
      <c r="D17" s="19" t="n">
        <v>878</v>
      </c>
      <c r="E17" s="18" t="n">
        <v>82.62788977</v>
      </c>
      <c r="F17" s="20" t="n">
        <v>1.3268715</v>
      </c>
      <c r="G17" s="18" t="n">
        <v>13.30061988</v>
      </c>
      <c r="H17" s="20" t="n">
        <v>1.18015112</v>
      </c>
      <c r="I17" s="18" t="n">
        <v>0</v>
      </c>
      <c r="J17" s="20" t="n">
        <v>0</v>
      </c>
      <c r="K17" s="18" t="n">
        <v>4.07149035</v>
      </c>
      <c r="L17" s="20" t="n">
        <v>0.89778539</v>
      </c>
      <c r="M17" s="18" t="n">
        <v>0</v>
      </c>
      <c r="N17" s="20" t="n">
        <v>0</v>
      </c>
      <c r="O17" s="18" t="n">
        <v>0</v>
      </c>
      <c r="P17" s="20" t="n">
        <v>0</v>
      </c>
      <c r="Q17" s="18" t="n">
        <v>0</v>
      </c>
      <c r="R17" s="20" t="n">
        <v>0</v>
      </c>
    </row>
    <row r="18" spans="1:18">
      <c r="A18" s="15" t="s">
        <v>440</v>
      </c>
      <c r="B18" s="17" t="n">
        <v>5532</v>
      </c>
      <c r="C18" s="18">
        <f>(4854.0/B18*100)</f>
        <v/>
      </c>
      <c r="D18" s="19" t="n">
        <v>678</v>
      </c>
      <c r="E18" s="18" t="n">
        <v>80.33645945000001</v>
      </c>
      <c r="F18" s="20" t="n">
        <v>1.55761765</v>
      </c>
      <c r="G18" s="18" t="n">
        <v>17.82976504</v>
      </c>
      <c r="H18" s="20" t="n">
        <v>1.52610684</v>
      </c>
      <c r="I18" s="18" t="n">
        <v>0</v>
      </c>
      <c r="J18" s="20" t="n">
        <v>0</v>
      </c>
      <c r="K18" s="18" t="n">
        <v>1.83377551</v>
      </c>
      <c r="L18" s="20" t="n">
        <v>0.6580712399999999</v>
      </c>
      <c r="M18" s="18" t="n">
        <v>0</v>
      </c>
      <c r="N18" s="20" t="n">
        <v>0</v>
      </c>
      <c r="O18" s="18" t="n">
        <v>0</v>
      </c>
      <c r="P18" s="20" t="n">
        <v>0</v>
      </c>
      <c r="Q18" s="18" t="n">
        <v>0</v>
      </c>
      <c r="R18" s="20" t="n">
        <v>0</v>
      </c>
    </row>
    <row r="19" spans="1:18">
      <c r="A19" s="15" t="s">
        <v>441</v>
      </c>
      <c r="B19" s="17" t="n">
        <v>5658</v>
      </c>
      <c r="C19" s="18">
        <f>(4991.0/B19*100)</f>
        <v/>
      </c>
      <c r="D19" s="19" t="n">
        <v>667</v>
      </c>
      <c r="E19" s="18" t="n">
        <v>84.0046384</v>
      </c>
      <c r="F19" s="20" t="n">
        <v>1.34833872</v>
      </c>
      <c r="G19" s="18" t="n">
        <v>14.77352794</v>
      </c>
      <c r="H19" s="20" t="n">
        <v>1.29799795</v>
      </c>
      <c r="I19" s="18" t="n">
        <v>0</v>
      </c>
      <c r="J19" s="20" t="n">
        <v>0</v>
      </c>
      <c r="K19" s="18" t="n">
        <v>1.22183366</v>
      </c>
      <c r="L19" s="20" t="n">
        <v>0.49781151</v>
      </c>
      <c r="M19" s="18" t="n">
        <v>0</v>
      </c>
      <c r="N19" s="20" t="n">
        <v>0</v>
      </c>
      <c r="O19" s="18" t="n">
        <v>0</v>
      </c>
      <c r="P19" s="20" t="n">
        <v>0</v>
      </c>
      <c r="Q19" s="18" t="n">
        <v>0</v>
      </c>
      <c r="R19" s="20" t="n">
        <v>0</v>
      </c>
    </row>
    <row r="20" spans="1:18">
      <c r="A20" s="15" t="s">
        <v>442</v>
      </c>
      <c r="B20" s="17" t="n">
        <v>3371</v>
      </c>
      <c r="C20" s="18">
        <f>(2974.0/B20*100)</f>
        <v/>
      </c>
      <c r="D20" s="19" t="n">
        <v>397</v>
      </c>
      <c r="E20" s="18" t="n">
        <v>71.62982178</v>
      </c>
      <c r="F20" s="20" t="n">
        <v>2.10001973</v>
      </c>
      <c r="G20" s="18" t="n">
        <v>27.48773296</v>
      </c>
      <c r="H20" s="20" t="n">
        <v>2.07650394</v>
      </c>
      <c r="I20" s="18" t="n">
        <v>0</v>
      </c>
      <c r="J20" s="20" t="n">
        <v>0</v>
      </c>
      <c r="K20" s="18" t="n">
        <v>0.88244526</v>
      </c>
      <c r="L20" s="20" t="n">
        <v>0.5243084099999999</v>
      </c>
      <c r="M20" s="18" t="n">
        <v>0</v>
      </c>
      <c r="N20" s="20" t="n">
        <v>0</v>
      </c>
      <c r="O20" s="18" t="n">
        <v>0</v>
      </c>
      <c r="P20" s="20" t="n">
        <v>0</v>
      </c>
      <c r="Q20" s="18" t="n">
        <v>0</v>
      </c>
      <c r="R20" s="20" t="n">
        <v>0</v>
      </c>
    </row>
    <row r="21" spans="1:18">
      <c r="A21" s="15" t="s">
        <v>443</v>
      </c>
      <c r="B21" s="17" t="n">
        <v>5741</v>
      </c>
      <c r="C21" s="18">
        <f>(4797.0/B21*100)</f>
        <v/>
      </c>
      <c r="D21" s="19" t="n">
        <v>944</v>
      </c>
      <c r="E21" s="18" t="n">
        <v>69.06641087</v>
      </c>
      <c r="F21" s="20" t="n">
        <v>1.55194664</v>
      </c>
      <c r="G21" s="18" t="n">
        <v>29.87279737</v>
      </c>
      <c r="H21" s="20" t="n">
        <v>1.57554011</v>
      </c>
      <c r="I21" s="18" t="n">
        <v>0</v>
      </c>
      <c r="J21" s="20" t="n">
        <v>0</v>
      </c>
      <c r="K21" s="18" t="n">
        <v>1.06079176</v>
      </c>
      <c r="L21" s="20" t="n">
        <v>0.34143715</v>
      </c>
      <c r="M21" s="18" t="n">
        <v>0</v>
      </c>
      <c r="N21" s="20" t="n">
        <v>0</v>
      </c>
      <c r="O21" s="18" t="n">
        <v>0</v>
      </c>
      <c r="P21" s="20" t="n">
        <v>0</v>
      </c>
      <c r="Q21" s="18" t="n">
        <v>0</v>
      </c>
      <c r="R21" s="20" t="n">
        <v>0</v>
      </c>
    </row>
    <row r="22" spans="1:18">
      <c r="A22" s="15" t="s">
        <v>444</v>
      </c>
      <c r="B22" s="17" t="n">
        <v>6598</v>
      </c>
      <c r="C22" s="18">
        <f>(5750.0/B22*100)</f>
        <v/>
      </c>
      <c r="D22" s="19" t="n">
        <v>848</v>
      </c>
      <c r="E22" s="18" t="n">
        <v>74.59266546000001</v>
      </c>
      <c r="F22" s="20" t="n">
        <v>1.89979069</v>
      </c>
      <c r="G22" s="18" t="n">
        <v>23.38775566</v>
      </c>
      <c r="H22" s="20" t="n">
        <v>1.92893206</v>
      </c>
      <c r="I22" s="18" t="n">
        <v>0</v>
      </c>
      <c r="J22" s="20" t="n">
        <v>0</v>
      </c>
      <c r="K22" s="18" t="n">
        <v>2.01957888</v>
      </c>
      <c r="L22" s="20" t="n">
        <v>0.55353766</v>
      </c>
      <c r="M22" s="18" t="n">
        <v>0</v>
      </c>
      <c r="N22" s="20" t="n">
        <v>0</v>
      </c>
      <c r="O22" s="18" t="n">
        <v>0</v>
      </c>
      <c r="P22" s="20" t="n">
        <v>0</v>
      </c>
      <c r="Q22" s="18" t="n">
        <v>0</v>
      </c>
      <c r="R22" s="20" t="n">
        <v>0</v>
      </c>
    </row>
    <row r="23" spans="1:18">
      <c r="A23" s="15" t="s">
        <v>445</v>
      </c>
      <c r="B23" s="17" t="n">
        <v>11583</v>
      </c>
      <c r="C23" s="18">
        <f>(10187.0/B23*100)</f>
        <v/>
      </c>
      <c r="D23" s="19" t="n">
        <v>1396</v>
      </c>
      <c r="E23" s="18" t="n">
        <v>83.58831759</v>
      </c>
      <c r="F23" s="20" t="n">
        <v>1.32101966</v>
      </c>
      <c r="G23" s="18" t="n">
        <v>14.5869295</v>
      </c>
      <c r="H23" s="20" t="n">
        <v>1.34728395</v>
      </c>
      <c r="I23" s="18" t="n">
        <v>0</v>
      </c>
      <c r="J23" s="20" t="n">
        <v>0</v>
      </c>
      <c r="K23" s="18" t="n">
        <v>1.82475291</v>
      </c>
      <c r="L23" s="20" t="n">
        <v>0.52026165</v>
      </c>
      <c r="M23" s="18" t="n">
        <v>0</v>
      </c>
      <c r="N23" s="20" t="n">
        <v>0</v>
      </c>
      <c r="O23" s="18" t="n">
        <v>0</v>
      </c>
      <c r="P23" s="20" t="n">
        <v>0</v>
      </c>
      <c r="Q23" s="18" t="n">
        <v>0</v>
      </c>
      <c r="R23" s="20" t="n">
        <v>0</v>
      </c>
    </row>
    <row r="24" spans="1:18">
      <c r="A24" s="15" t="s">
        <v>446</v>
      </c>
      <c r="B24" s="17" t="n">
        <v>6647</v>
      </c>
      <c r="C24" s="18">
        <f>(5864.0/B24*100)</f>
        <v/>
      </c>
      <c r="D24" s="19" t="n">
        <v>783</v>
      </c>
      <c r="E24" s="18" t="n">
        <v>63.54688708</v>
      </c>
      <c r="F24" s="20" t="n">
        <v>1.99858921</v>
      </c>
      <c r="G24" s="18" t="n">
        <v>35.02865711</v>
      </c>
      <c r="H24" s="20" t="n">
        <v>1.91484527</v>
      </c>
      <c r="I24" s="18" t="n">
        <v>0</v>
      </c>
      <c r="J24" s="20" t="n">
        <v>0</v>
      </c>
      <c r="K24" s="18" t="n">
        <v>1.42445582</v>
      </c>
      <c r="L24" s="20" t="n">
        <v>0.44106043</v>
      </c>
      <c r="M24" s="18" t="n">
        <v>0</v>
      </c>
      <c r="N24" s="20" t="n">
        <v>0</v>
      </c>
      <c r="O24" s="18" t="n">
        <v>0</v>
      </c>
      <c r="P24" s="20" t="n">
        <v>0</v>
      </c>
      <c r="Q24" s="18" t="n">
        <v>0</v>
      </c>
      <c r="R24" s="20" t="n">
        <v>0</v>
      </c>
    </row>
    <row r="25" spans="1:18">
      <c r="A25" s="15" t="s">
        <v>447</v>
      </c>
      <c r="B25" s="17" t="n">
        <v>5581</v>
      </c>
      <c r="C25" s="18">
        <f>(4892.0/B25*100)</f>
        <v/>
      </c>
      <c r="D25" s="19" t="n">
        <v>689</v>
      </c>
      <c r="E25" s="18" t="n">
        <v>49.49764791</v>
      </c>
      <c r="F25" s="20" t="n">
        <v>2.01811437</v>
      </c>
      <c r="G25" s="18" t="n">
        <v>49.80516609</v>
      </c>
      <c r="H25" s="20" t="n">
        <v>2.01369818</v>
      </c>
      <c r="I25" s="18" t="n">
        <v>0</v>
      </c>
      <c r="J25" s="20" t="n">
        <v>0</v>
      </c>
      <c r="K25" s="18" t="n">
        <v>0.697186</v>
      </c>
      <c r="L25" s="20" t="n">
        <v>0.31248594</v>
      </c>
      <c r="M25" s="18" t="n">
        <v>0</v>
      </c>
      <c r="N25" s="20" t="n">
        <v>0</v>
      </c>
      <c r="O25" s="18" t="n">
        <v>0</v>
      </c>
      <c r="P25" s="20" t="n">
        <v>0</v>
      </c>
      <c r="Q25" s="18" t="n">
        <v>0</v>
      </c>
      <c r="R25" s="20" t="n">
        <v>0</v>
      </c>
    </row>
    <row r="26" spans="1:18">
      <c r="A26" s="15" t="s">
        <v>448</v>
      </c>
      <c r="B26" s="17" t="n">
        <v>4869</v>
      </c>
      <c r="C26" s="18">
        <f>(4273.0/B26*100)</f>
        <v/>
      </c>
      <c r="D26" s="19" t="n">
        <v>596</v>
      </c>
      <c r="E26" s="18" t="n">
        <v>79.19524226999999</v>
      </c>
      <c r="F26" s="20" t="n">
        <v>1.65895585</v>
      </c>
      <c r="G26" s="18" t="n">
        <v>20.22791128</v>
      </c>
      <c r="H26" s="20" t="n">
        <v>1.65104394</v>
      </c>
      <c r="I26" s="18" t="n">
        <v>0</v>
      </c>
      <c r="J26" s="20" t="n">
        <v>0</v>
      </c>
      <c r="K26" s="18" t="n">
        <v>0.57684645</v>
      </c>
      <c r="L26" s="20" t="n">
        <v>0.3617051</v>
      </c>
      <c r="M26" s="18" t="n">
        <v>0</v>
      </c>
      <c r="N26" s="20" t="n">
        <v>0</v>
      </c>
      <c r="O26" s="18" t="n">
        <v>0</v>
      </c>
      <c r="P26" s="20" t="n">
        <v>0</v>
      </c>
      <c r="Q26" s="18" t="n">
        <v>0</v>
      </c>
      <c r="R26" s="20" t="n">
        <v>0</v>
      </c>
    </row>
    <row r="27" spans="1:18">
      <c r="A27" s="15" t="s">
        <v>449</v>
      </c>
      <c r="B27" s="17" t="n">
        <v>5299</v>
      </c>
      <c r="C27" s="18">
        <f>(4661.0/B27*100)</f>
        <v/>
      </c>
      <c r="D27" s="19" t="n">
        <v>638</v>
      </c>
      <c r="E27" s="18" t="n">
        <v>80.22586139000001</v>
      </c>
      <c r="F27" s="20" t="n">
        <v>1.49823909</v>
      </c>
      <c r="G27" s="18" t="n">
        <v>18.01882687</v>
      </c>
      <c r="H27" s="20" t="n">
        <v>1.43513888</v>
      </c>
      <c r="I27" s="18" t="n">
        <v>0</v>
      </c>
      <c r="J27" s="20" t="n">
        <v>0</v>
      </c>
      <c r="K27" s="18" t="n">
        <v>1.75531174</v>
      </c>
      <c r="L27" s="20" t="n">
        <v>0.53234137</v>
      </c>
      <c r="M27" s="18" t="n">
        <v>0</v>
      </c>
      <c r="N27" s="20" t="n">
        <v>0</v>
      </c>
      <c r="O27" s="18" t="n">
        <v>0</v>
      </c>
      <c r="P27" s="20" t="n">
        <v>0</v>
      </c>
      <c r="Q27" s="18" t="n">
        <v>0</v>
      </c>
      <c r="R27" s="20" t="n">
        <v>0</v>
      </c>
    </row>
    <row r="28" spans="1:18">
      <c r="A28" s="15" t="s">
        <v>450</v>
      </c>
      <c r="B28" s="17" t="n">
        <v>7568</v>
      </c>
      <c r="C28" s="18">
        <f>(6742.0/B28*100)</f>
        <v/>
      </c>
      <c r="D28" s="19" t="n">
        <v>826</v>
      </c>
      <c r="E28" s="18" t="n">
        <v>88.82557955</v>
      </c>
      <c r="F28" s="20" t="n">
        <v>1.2320875</v>
      </c>
      <c r="G28" s="18" t="n">
        <v>8.86563312</v>
      </c>
      <c r="H28" s="20" t="n">
        <v>1.08570762</v>
      </c>
      <c r="I28" s="18" t="n">
        <v>0</v>
      </c>
      <c r="J28" s="20" t="n">
        <v>0</v>
      </c>
      <c r="K28" s="18" t="n">
        <v>2.30878734</v>
      </c>
      <c r="L28" s="20" t="n">
        <v>0.73836119</v>
      </c>
      <c r="M28" s="18" t="n">
        <v>0</v>
      </c>
      <c r="N28" s="20" t="n">
        <v>0</v>
      </c>
      <c r="O28" s="18" t="n">
        <v>0</v>
      </c>
      <c r="P28" s="20" t="n">
        <v>0</v>
      </c>
      <c r="Q28" s="18" t="n">
        <v>0</v>
      </c>
      <c r="R28" s="20" t="n">
        <v>0</v>
      </c>
    </row>
    <row r="29" spans="1:18">
      <c r="A29" s="15" t="s">
        <v>451</v>
      </c>
      <c r="B29" s="17" t="n">
        <v>5385</v>
      </c>
      <c r="C29" s="18">
        <f>(4634.0/B29*100)</f>
        <v/>
      </c>
      <c r="D29" s="19" t="n">
        <v>751</v>
      </c>
      <c r="E29" s="18" t="n">
        <v>64.67234732999999</v>
      </c>
      <c r="F29" s="20" t="n">
        <v>1.59419095</v>
      </c>
      <c r="G29" s="18" t="n">
        <v>33.9517375</v>
      </c>
      <c r="H29" s="20" t="n">
        <v>1.79987688</v>
      </c>
      <c r="I29" s="18" t="n">
        <v>0</v>
      </c>
      <c r="J29" s="20" t="n">
        <v>0</v>
      </c>
      <c r="K29" s="18" t="n">
        <v>1.37591517</v>
      </c>
      <c r="L29" s="20" t="n">
        <v>0.65711945</v>
      </c>
      <c r="M29" s="18" t="n">
        <v>0</v>
      </c>
      <c r="N29" s="20" t="n">
        <v>0</v>
      </c>
      <c r="O29" s="18" t="n">
        <v>0</v>
      </c>
      <c r="P29" s="20" t="n">
        <v>0</v>
      </c>
      <c r="Q29" s="18" t="n">
        <v>0</v>
      </c>
      <c r="R29" s="20" t="n">
        <v>0</v>
      </c>
    </row>
    <row r="30" spans="1:18">
      <c r="A30" s="15" t="s">
        <v>452</v>
      </c>
      <c r="B30" s="17" t="n">
        <v>4520</v>
      </c>
      <c r="C30" s="18">
        <f>(4011.0/B30*100)</f>
        <v/>
      </c>
      <c r="D30" s="19" t="n">
        <v>509</v>
      </c>
      <c r="E30" s="18" t="n">
        <v>72.33633295999999</v>
      </c>
      <c r="F30" s="20" t="n">
        <v>1.98527575</v>
      </c>
      <c r="G30" s="18" t="n">
        <v>26.41807017</v>
      </c>
      <c r="H30" s="20" t="n">
        <v>1.92878525</v>
      </c>
      <c r="I30" s="18" t="n">
        <v>0</v>
      </c>
      <c r="J30" s="20" t="n">
        <v>0</v>
      </c>
      <c r="K30" s="18" t="n">
        <v>1.24559687</v>
      </c>
      <c r="L30" s="20" t="n">
        <v>0.3914857</v>
      </c>
      <c r="M30" s="18" t="n">
        <v>0</v>
      </c>
      <c r="N30" s="20" t="n">
        <v>0</v>
      </c>
      <c r="O30" s="18" t="n">
        <v>0</v>
      </c>
      <c r="P30" s="20" t="n">
        <v>0</v>
      </c>
      <c r="Q30" s="18" t="n">
        <v>0</v>
      </c>
      <c r="R30" s="20" t="n">
        <v>0</v>
      </c>
    </row>
    <row r="31" spans="1:18">
      <c r="A31" s="15" t="s">
        <v>453</v>
      </c>
      <c r="B31" s="17" t="n">
        <v>5456</v>
      </c>
      <c r="C31" s="18">
        <f>(4796.0/B31*100)</f>
        <v/>
      </c>
      <c r="D31" s="19" t="n">
        <v>660</v>
      </c>
      <c r="E31" s="18" t="n">
        <v>61.41876374</v>
      </c>
      <c r="F31" s="20" t="n">
        <v>1.84820304</v>
      </c>
      <c r="G31" s="18" t="n">
        <v>35.40983176</v>
      </c>
      <c r="H31" s="20" t="n">
        <v>1.69158643</v>
      </c>
      <c r="I31" s="18" t="n">
        <v>0</v>
      </c>
      <c r="J31" s="20" t="n">
        <v>0</v>
      </c>
      <c r="K31" s="18" t="n">
        <v>3.1714045</v>
      </c>
      <c r="L31" s="20" t="n">
        <v>0.68840533</v>
      </c>
      <c r="M31" s="18" t="n">
        <v>0</v>
      </c>
      <c r="N31" s="20" t="n">
        <v>0</v>
      </c>
      <c r="O31" s="18" t="n">
        <v>0</v>
      </c>
      <c r="P31" s="20" t="n">
        <v>0</v>
      </c>
      <c r="Q31" s="18" t="n">
        <v>0</v>
      </c>
      <c r="R31" s="20" t="n">
        <v>0</v>
      </c>
    </row>
    <row r="32" spans="1:18">
      <c r="A32" s="15" t="s">
        <v>454</v>
      </c>
      <c r="B32" s="17" t="n">
        <v>4478</v>
      </c>
      <c r="C32" s="18">
        <f>(3731.0/B32*100)</f>
        <v/>
      </c>
      <c r="D32" s="19" t="n">
        <v>747</v>
      </c>
      <c r="E32" s="18" t="n">
        <v>70.16068979000001</v>
      </c>
      <c r="F32" s="20" t="n">
        <v>1.85368272</v>
      </c>
      <c r="G32" s="18" t="n">
        <v>29.10777111</v>
      </c>
      <c r="H32" s="20" t="n">
        <v>1.86656824</v>
      </c>
      <c r="I32" s="18" t="n">
        <v>0</v>
      </c>
      <c r="J32" s="20" t="n">
        <v>0</v>
      </c>
      <c r="K32" s="18" t="n">
        <v>0.7315391</v>
      </c>
      <c r="L32" s="20" t="n">
        <v>0.24697723</v>
      </c>
      <c r="M32" s="18" t="n">
        <v>0</v>
      </c>
      <c r="N32" s="20" t="n">
        <v>0</v>
      </c>
      <c r="O32" s="18" t="n">
        <v>0</v>
      </c>
      <c r="P32" s="20" t="n">
        <v>0</v>
      </c>
      <c r="Q32" s="18" t="n">
        <v>0</v>
      </c>
      <c r="R32" s="20" t="n">
        <v>0</v>
      </c>
    </row>
    <row r="33" spans="1:18">
      <c r="A33" s="15" t="s">
        <v>455</v>
      </c>
      <c r="B33" s="17" t="n">
        <v>7325</v>
      </c>
      <c r="C33" s="18">
        <f>(6492.0/B33*100)</f>
        <v/>
      </c>
      <c r="D33" s="19" t="n">
        <v>833</v>
      </c>
      <c r="E33" s="18" t="n">
        <v>75.22037834</v>
      </c>
      <c r="F33" s="20" t="n">
        <v>1.85683918</v>
      </c>
      <c r="G33" s="18" t="n">
        <v>24.31008202</v>
      </c>
      <c r="H33" s="20" t="n">
        <v>1.84914831</v>
      </c>
      <c r="I33" s="18" t="n">
        <v>0</v>
      </c>
      <c r="J33" s="20" t="n">
        <v>0</v>
      </c>
      <c r="K33" s="18" t="n">
        <v>0.46953965</v>
      </c>
      <c r="L33" s="20" t="n">
        <v>0.24307568</v>
      </c>
      <c r="M33" s="18" t="n">
        <v>0</v>
      </c>
      <c r="N33" s="20" t="n">
        <v>0</v>
      </c>
      <c r="O33" s="18" t="n">
        <v>0</v>
      </c>
      <c r="P33" s="20" t="n">
        <v>0</v>
      </c>
      <c r="Q33" s="18" t="n">
        <v>0</v>
      </c>
      <c r="R33" s="20" t="n">
        <v>0</v>
      </c>
    </row>
    <row r="34" spans="1:18">
      <c r="A34" s="15" t="s">
        <v>456</v>
      </c>
      <c r="B34" s="17" t="n">
        <v>6350</v>
      </c>
      <c r="C34" s="18">
        <f>(5512.0/B34*100)</f>
        <v/>
      </c>
      <c r="D34" s="19" t="n">
        <v>838</v>
      </c>
      <c r="E34" s="18" t="n">
        <v>76.85706853000001</v>
      </c>
      <c r="F34" s="20" t="n">
        <v>1.6521801</v>
      </c>
      <c r="G34" s="18" t="n">
        <v>21.96134318</v>
      </c>
      <c r="H34" s="20" t="n">
        <v>1.60353907</v>
      </c>
      <c r="I34" s="18" t="n">
        <v>0</v>
      </c>
      <c r="J34" s="20" t="n">
        <v>0</v>
      </c>
      <c r="K34" s="18" t="n">
        <v>1.18158828</v>
      </c>
      <c r="L34" s="20" t="n">
        <v>0.38408171</v>
      </c>
      <c r="M34" s="18" t="n">
        <v>0</v>
      </c>
      <c r="N34" s="20" t="n">
        <v>0</v>
      </c>
      <c r="O34" s="18" t="n">
        <v>0</v>
      </c>
      <c r="P34" s="20" t="n">
        <v>0</v>
      </c>
      <c r="Q34" s="18" t="n">
        <v>0</v>
      </c>
      <c r="R34" s="20" t="n">
        <v>0</v>
      </c>
    </row>
    <row r="35" spans="1:18">
      <c r="A35" s="15" t="s">
        <v>457</v>
      </c>
      <c r="B35" s="17" t="n">
        <v>6406</v>
      </c>
      <c r="C35" s="18">
        <f>(5515.0/B35*100)</f>
        <v/>
      </c>
      <c r="D35" s="19" t="n">
        <v>891</v>
      </c>
      <c r="E35" s="18" t="n">
        <v>62.51999236</v>
      </c>
      <c r="F35" s="20" t="n">
        <v>1.80020339</v>
      </c>
      <c r="G35" s="18" t="n">
        <v>36.51962712</v>
      </c>
      <c r="H35" s="20" t="n">
        <v>1.79831679</v>
      </c>
      <c r="I35" s="18" t="n">
        <v>0</v>
      </c>
      <c r="J35" s="20" t="n">
        <v>0</v>
      </c>
      <c r="K35" s="18" t="n">
        <v>0.96038052</v>
      </c>
      <c r="L35" s="20" t="n">
        <v>0.33201738</v>
      </c>
      <c r="M35" s="18" t="n">
        <v>0</v>
      </c>
      <c r="N35" s="20" t="n">
        <v>0</v>
      </c>
      <c r="O35" s="18" t="n">
        <v>0</v>
      </c>
      <c r="P35" s="20" t="n">
        <v>0</v>
      </c>
      <c r="Q35" s="18" t="n">
        <v>0</v>
      </c>
      <c r="R35" s="20" t="n">
        <v>0</v>
      </c>
    </row>
    <row r="36" spans="1:18">
      <c r="A36" s="15" t="s">
        <v>458</v>
      </c>
      <c r="B36" s="17" t="n">
        <v>6736</v>
      </c>
      <c r="C36" s="18">
        <f>(5953.0/B36*100)</f>
        <v/>
      </c>
      <c r="D36" s="19" t="n">
        <v>783</v>
      </c>
      <c r="E36" s="18" t="n">
        <v>80.39207149000001</v>
      </c>
      <c r="F36" s="20" t="n">
        <v>1.40163319</v>
      </c>
      <c r="G36" s="18" t="n">
        <v>17.72978397</v>
      </c>
      <c r="H36" s="20" t="n">
        <v>1.37358577</v>
      </c>
      <c r="I36" s="18" t="n">
        <v>0</v>
      </c>
      <c r="J36" s="20" t="n">
        <v>0</v>
      </c>
      <c r="K36" s="18" t="n">
        <v>1.87814455</v>
      </c>
      <c r="L36" s="20" t="n">
        <v>0.46651567</v>
      </c>
      <c r="M36" s="18" t="n">
        <v>0</v>
      </c>
      <c r="N36" s="20" t="n">
        <v>0</v>
      </c>
      <c r="O36" s="18" t="n">
        <v>0</v>
      </c>
      <c r="P36" s="20" t="n">
        <v>0</v>
      </c>
      <c r="Q36" s="18" t="n">
        <v>0</v>
      </c>
      <c r="R36" s="20" t="n">
        <v>0</v>
      </c>
    </row>
    <row r="37" spans="1:18">
      <c r="A37" s="15" t="s">
        <v>459</v>
      </c>
      <c r="B37" s="17" t="n">
        <v>5458</v>
      </c>
      <c r="C37" s="18">
        <f>(4812.0/B37*100)</f>
        <v/>
      </c>
      <c r="D37" s="19" t="n">
        <v>646</v>
      </c>
      <c r="E37" s="18" t="n">
        <v>78.47616702000001</v>
      </c>
      <c r="F37" s="20" t="n">
        <v>1.72959768</v>
      </c>
      <c r="G37" s="18" t="n">
        <v>18.20895681</v>
      </c>
      <c r="H37" s="20" t="n">
        <v>1.60796606</v>
      </c>
      <c r="I37" s="18" t="n">
        <v>0</v>
      </c>
      <c r="J37" s="20" t="n">
        <v>0</v>
      </c>
      <c r="K37" s="18" t="n">
        <v>3.31487617</v>
      </c>
      <c r="L37" s="20" t="n">
        <v>0.71081585</v>
      </c>
      <c r="M37" s="18" t="n">
        <v>0</v>
      </c>
      <c r="N37" s="20" t="n">
        <v>0</v>
      </c>
      <c r="O37" s="18" t="n">
        <v>0</v>
      </c>
      <c r="P37" s="20" t="n">
        <v>0</v>
      </c>
      <c r="Q37" s="18" t="n">
        <v>0</v>
      </c>
      <c r="R37" s="20" t="n">
        <v>0</v>
      </c>
    </row>
    <row r="38" spans="1:18">
      <c r="A38" s="15" t="s">
        <v>460</v>
      </c>
      <c r="B38" s="17" t="n">
        <v>5860</v>
      </c>
      <c r="C38" s="18">
        <f>(4900.0/B38*100)</f>
        <v/>
      </c>
      <c r="D38" s="19" t="n">
        <v>960</v>
      </c>
      <c r="E38" s="18" t="n">
        <v>79.30844251000001</v>
      </c>
      <c r="F38" s="20" t="n">
        <v>1.29566493</v>
      </c>
      <c r="G38" s="18" t="n">
        <v>18.21048162</v>
      </c>
      <c r="H38" s="20" t="n">
        <v>1.25252595</v>
      </c>
      <c r="I38" s="18" t="n">
        <v>0</v>
      </c>
      <c r="J38" s="20" t="n">
        <v>0</v>
      </c>
      <c r="K38" s="18" t="n">
        <v>2.48107587</v>
      </c>
      <c r="L38" s="20" t="n">
        <v>0.70842209</v>
      </c>
      <c r="M38" s="18" t="n">
        <v>0</v>
      </c>
      <c r="N38" s="20" t="n">
        <v>0</v>
      </c>
      <c r="O38" s="18" t="n">
        <v>0</v>
      </c>
      <c r="P38" s="20" t="n">
        <v>0</v>
      </c>
      <c r="Q38" s="18" t="n">
        <v>0</v>
      </c>
      <c r="R38" s="20" t="n">
        <v>0</v>
      </c>
    </row>
    <row r="39" spans="1:18">
      <c r="A39" s="15" t="s">
        <v>461</v>
      </c>
      <c r="B39" s="17" t="n">
        <v>5895</v>
      </c>
      <c r="C39" s="18">
        <f>(5163.0/B39*100)</f>
        <v/>
      </c>
      <c r="D39" s="19" t="n">
        <v>732</v>
      </c>
      <c r="E39" s="18" t="n">
        <v>92.85457022999999</v>
      </c>
      <c r="F39" s="20" t="n">
        <v>1.18100922</v>
      </c>
      <c r="G39" s="18" t="n">
        <v>6.37634199</v>
      </c>
      <c r="H39" s="20" t="n">
        <v>1.19069225</v>
      </c>
      <c r="I39" s="18" t="n">
        <v>0</v>
      </c>
      <c r="J39" s="20" t="n">
        <v>0</v>
      </c>
      <c r="K39" s="18" t="n">
        <v>0.76908778</v>
      </c>
      <c r="L39" s="20" t="n">
        <v>0.37274197</v>
      </c>
      <c r="M39" s="18" t="n">
        <v>0</v>
      </c>
      <c r="N39" s="20" t="n">
        <v>0</v>
      </c>
      <c r="O39" s="18" t="n">
        <v>0</v>
      </c>
      <c r="P39" s="20" t="n">
        <v>0</v>
      </c>
      <c r="Q39" s="18" t="n">
        <v>0</v>
      </c>
      <c r="R39" s="20" t="n">
        <v>0</v>
      </c>
    </row>
    <row r="40" spans="1:18">
      <c r="A40" s="15" t="s">
        <v>462</v>
      </c>
      <c r="B40" s="17" t="n">
        <v>14157</v>
      </c>
      <c r="C40" s="18">
        <f>(12456.0/B40*100)</f>
        <v/>
      </c>
      <c r="D40" s="19" t="n">
        <v>1701</v>
      </c>
      <c r="E40" s="18" t="n">
        <v>75.55501593</v>
      </c>
      <c r="F40" s="20" t="n">
        <v>1.71358093</v>
      </c>
      <c r="G40" s="18" t="n">
        <v>22.96282162</v>
      </c>
      <c r="H40" s="20" t="n">
        <v>1.68521416</v>
      </c>
      <c r="I40" s="18" t="n">
        <v>0</v>
      </c>
      <c r="J40" s="20" t="n">
        <v>0</v>
      </c>
      <c r="K40" s="18" t="n">
        <v>1.48216245</v>
      </c>
      <c r="L40" s="20" t="n">
        <v>0.48568209</v>
      </c>
      <c r="M40" s="18" t="n">
        <v>0</v>
      </c>
      <c r="N40" s="20" t="n">
        <v>0</v>
      </c>
      <c r="O40" s="18" t="n">
        <v>0</v>
      </c>
      <c r="P40" s="20" t="n">
        <v>0</v>
      </c>
      <c r="Q40" s="18" t="n">
        <v>0</v>
      </c>
      <c r="R40" s="20" t="n">
        <v>0</v>
      </c>
    </row>
    <row r="41" spans="1:18">
      <c r="A41" s="15" t="s">
        <v>463</v>
      </c>
      <c r="B41" s="17" t="n">
        <v>5712</v>
      </c>
      <c r="C41" s="18">
        <f>(4995.0/B41*100)</f>
        <v/>
      </c>
      <c r="D41" s="19" t="n">
        <v>717</v>
      </c>
      <c r="E41" s="18" t="n">
        <v>81.80744725</v>
      </c>
      <c r="F41" s="20" t="n">
        <v>1.62012909</v>
      </c>
      <c r="G41" s="18" t="n">
        <v>17.00763826</v>
      </c>
      <c r="H41" s="20" t="n">
        <v>1.43817572</v>
      </c>
      <c r="I41" s="18" t="n">
        <v>0</v>
      </c>
      <c r="J41" s="20" t="n">
        <v>0</v>
      </c>
      <c r="K41" s="18" t="n">
        <v>1.18491449</v>
      </c>
      <c r="L41" s="20" t="n">
        <v>0.48315772</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(21167.0/B46*100)</f>
        <v/>
      </c>
      <c r="D46" s="19" t="n">
        <v>1974</v>
      </c>
      <c r="E46" s="18" t="n">
        <v>85.13205103999999</v>
      </c>
      <c r="F46" s="20" t="n">
        <v>1.07157424</v>
      </c>
      <c r="G46" s="18" t="n">
        <v>11.33771608</v>
      </c>
      <c r="H46" s="20" t="n">
        <v>0.9573967</v>
      </c>
      <c r="I46" s="18" t="n">
        <v>0</v>
      </c>
      <c r="J46" s="20" t="n">
        <v>0</v>
      </c>
      <c r="K46" s="18" t="n">
        <v>3.53023288</v>
      </c>
      <c r="L46" s="20" t="n">
        <v>0.63740808</v>
      </c>
      <c r="M46" s="18" t="n">
        <v>0</v>
      </c>
      <c r="N46" s="20" t="n">
        <v>0</v>
      </c>
      <c r="O46" s="18" t="n">
        <v>0</v>
      </c>
      <c r="P46" s="20" t="n">
        <v>0</v>
      </c>
      <c r="Q46" s="18" t="n">
        <v>0</v>
      </c>
      <c r="R46" s="20" t="n">
        <v>0</v>
      </c>
    </row>
    <row r="47" spans="1:18">
      <c r="A47" s="15" t="s">
        <v>470</v>
      </c>
      <c r="B47" s="17" t="n">
        <v>5928</v>
      </c>
      <c r="C47" s="18">
        <f>(5252.0/B47*100)</f>
        <v/>
      </c>
      <c r="D47" s="19" t="n">
        <v>676</v>
      </c>
      <c r="E47" s="18" t="n">
        <v>77.57829341999999</v>
      </c>
      <c r="F47" s="20" t="n">
        <v>1.70511073</v>
      </c>
      <c r="G47" s="18" t="n">
        <v>20.76175874</v>
      </c>
      <c r="H47" s="20" t="n">
        <v>1.66387656</v>
      </c>
      <c r="I47" s="18" t="n">
        <v>0</v>
      </c>
      <c r="J47" s="20" t="n">
        <v>0</v>
      </c>
      <c r="K47" s="18" t="n">
        <v>1.65994784</v>
      </c>
      <c r="L47" s="20" t="n">
        <v>0.56320949</v>
      </c>
      <c r="M47" s="18" t="n">
        <v>0</v>
      </c>
      <c r="N47" s="20" t="n">
        <v>0</v>
      </c>
      <c r="O47" s="18" t="n">
        <v>0</v>
      </c>
      <c r="P47" s="20" t="n">
        <v>0</v>
      </c>
      <c r="Q47" s="18" t="n">
        <v>0</v>
      </c>
      <c r="R47" s="20" t="n">
        <v>0</v>
      </c>
    </row>
    <row r="48" spans="1:18">
      <c r="A48" s="15" t="s">
        <v>471</v>
      </c>
      <c r="B48" s="17" t="n">
        <v>9841</v>
      </c>
      <c r="C48" s="18">
        <f>(8658.0/B48*100)</f>
        <v/>
      </c>
      <c r="D48" s="19" t="n">
        <v>1183</v>
      </c>
      <c r="E48" s="18" t="n">
        <v>64.33182250999999</v>
      </c>
      <c r="F48" s="20" t="n">
        <v>2.37410163</v>
      </c>
      <c r="G48" s="18" t="n">
        <v>33.52932361</v>
      </c>
      <c r="H48" s="20" t="n">
        <v>2.32198084</v>
      </c>
      <c r="I48" s="18" t="n">
        <v>0</v>
      </c>
      <c r="J48" s="20" t="n">
        <v>0</v>
      </c>
      <c r="K48" s="18" t="n">
        <v>2.13885388</v>
      </c>
      <c r="L48" s="20" t="n">
        <v>0.65876876</v>
      </c>
      <c r="M48" s="18" t="n">
        <v>0</v>
      </c>
      <c r="N48" s="20" t="n">
        <v>0</v>
      </c>
      <c r="O48" s="18" t="n">
        <v>0</v>
      </c>
      <c r="P48" s="20" t="n">
        <v>0</v>
      </c>
      <c r="Q48" s="18" t="n">
        <v>0</v>
      </c>
      <c r="R48" s="20" t="n">
        <v>0</v>
      </c>
    </row>
    <row r="49" spans="1:18">
      <c r="A49" s="15" t="s">
        <v>472</v>
      </c>
      <c r="B49" s="17" t="n">
        <v>11795</v>
      </c>
      <c r="C49" s="18">
        <f>(10436.0/B49*100)</f>
        <v/>
      </c>
      <c r="D49" s="19" t="n">
        <v>1359</v>
      </c>
      <c r="E49" s="18" t="n">
        <v>90.11402347000001</v>
      </c>
      <c r="F49" s="20" t="n">
        <v>1.08930085</v>
      </c>
      <c r="G49" s="18" t="n">
        <v>5.96021555</v>
      </c>
      <c r="H49" s="20" t="n">
        <v>0.87873929</v>
      </c>
      <c r="I49" s="18" t="n">
        <v>0</v>
      </c>
      <c r="J49" s="20" t="n">
        <v>0</v>
      </c>
      <c r="K49" s="18" t="n">
        <v>3.92576097</v>
      </c>
      <c r="L49" s="20" t="n">
        <v>0.66898831</v>
      </c>
      <c r="M49" s="18" t="n">
        <v>0</v>
      </c>
      <c r="N49" s="20" t="n">
        <v>0</v>
      </c>
      <c r="O49" s="18" t="n">
        <v>0</v>
      </c>
      <c r="P49" s="20" t="n">
        <v>0</v>
      </c>
      <c r="Q49" s="18" t="n">
        <v>0</v>
      </c>
      <c r="R49" s="20" t="n">
        <v>0</v>
      </c>
    </row>
    <row r="50" spans="1:18">
      <c r="A50" s="15" t="s">
        <v>473</v>
      </c>
      <c r="B50" s="17" t="n">
        <v>6866</v>
      </c>
      <c r="C50" s="18">
        <f>(5524.0/B50*100)</f>
        <v/>
      </c>
      <c r="D50" s="19" t="n">
        <v>1342</v>
      </c>
      <c r="E50" s="18" t="n">
        <v>91.27105286</v>
      </c>
      <c r="F50" s="20" t="n">
        <v>0.70584439</v>
      </c>
      <c r="G50" s="18" t="n">
        <v>7.68533349</v>
      </c>
      <c r="H50" s="20" t="n">
        <v>0.62635039</v>
      </c>
      <c r="I50" s="18" t="n">
        <v>0</v>
      </c>
      <c r="J50" s="20" t="n">
        <v>0</v>
      </c>
      <c r="K50" s="18" t="n">
        <v>1.04361364</v>
      </c>
      <c r="L50" s="20" t="n">
        <v>0.3116277</v>
      </c>
      <c r="M50" s="18" t="n">
        <v>0</v>
      </c>
      <c r="N50" s="20" t="n">
        <v>0</v>
      </c>
      <c r="O50" s="18" t="n">
        <v>0</v>
      </c>
      <c r="P50" s="20" t="n">
        <v>0</v>
      </c>
      <c r="Q50" s="18" t="n">
        <v>0</v>
      </c>
      <c r="R50" s="20" t="n">
        <v>0</v>
      </c>
    </row>
    <row r="51" spans="1:18">
      <c r="A51" s="15" t="s">
        <v>474</v>
      </c>
      <c r="B51" s="17" t="n">
        <v>5809</v>
      </c>
      <c r="C51" s="18">
        <f>(5101.0/B51*100)</f>
        <v/>
      </c>
      <c r="D51" s="19" t="n">
        <v>708</v>
      </c>
      <c r="E51" s="18" t="n">
        <v>78.29211239</v>
      </c>
      <c r="F51" s="20" t="n">
        <v>1.47048622</v>
      </c>
      <c r="G51" s="18" t="n">
        <v>21.49021276</v>
      </c>
      <c r="H51" s="20" t="n">
        <v>1.46511627</v>
      </c>
      <c r="I51" s="18" t="n">
        <v>0</v>
      </c>
      <c r="J51" s="20" t="n">
        <v>0</v>
      </c>
      <c r="K51" s="18" t="n">
        <v>0.21767485</v>
      </c>
      <c r="L51" s="20" t="n">
        <v>0.1562745</v>
      </c>
      <c r="M51" s="18" t="n">
        <v>0</v>
      </c>
      <c r="N51" s="20" t="n">
        <v>0</v>
      </c>
      <c r="O51" s="18" t="n">
        <v>0</v>
      </c>
      <c r="P51" s="20" t="n">
        <v>0</v>
      </c>
      <c r="Q51" s="18" t="n">
        <v>0</v>
      </c>
      <c r="R51" s="20" t="n">
        <v>0</v>
      </c>
    </row>
    <row r="52" spans="1:18">
      <c r="A52" s="15" t="s">
        <v>475</v>
      </c>
      <c r="B52" s="17" t="n">
        <v>5571</v>
      </c>
      <c r="C52" s="18">
        <f>(4899.0/B52*100)</f>
        <v/>
      </c>
      <c r="D52" s="19" t="n">
        <v>672</v>
      </c>
      <c r="E52" s="18" t="n">
        <v>82.07831065000001</v>
      </c>
      <c r="F52" s="20" t="n">
        <v>1.53323526</v>
      </c>
      <c r="G52" s="18" t="n">
        <v>15.52749229</v>
      </c>
      <c r="H52" s="20" t="n">
        <v>1.40956115</v>
      </c>
      <c r="I52" s="18" t="n">
        <v>0</v>
      </c>
      <c r="J52" s="20" t="n">
        <v>0</v>
      </c>
      <c r="K52" s="18" t="n">
        <v>2.39419707</v>
      </c>
      <c r="L52" s="20" t="n">
        <v>0.64300768</v>
      </c>
      <c r="M52" s="18" t="n">
        <v>0</v>
      </c>
      <c r="N52" s="20" t="n">
        <v>0</v>
      </c>
      <c r="O52" s="18" t="n">
        <v>0</v>
      </c>
      <c r="P52" s="20" t="n">
        <v>0</v>
      </c>
      <c r="Q52" s="18" t="n">
        <v>0</v>
      </c>
      <c r="R52" s="20" t="n">
        <v>0</v>
      </c>
    </row>
    <row r="53" spans="1:18">
      <c r="A53" s="15" t="s">
        <v>476</v>
      </c>
      <c r="B53" s="17" t="n">
        <v>4740</v>
      </c>
      <c r="C53" s="18">
        <f>(3964.0/B53*100)</f>
        <v/>
      </c>
      <c r="D53" s="19" t="n">
        <v>776</v>
      </c>
      <c r="E53" s="18" t="n">
        <v>72.34908534</v>
      </c>
      <c r="F53" s="20" t="n">
        <v>1.77904328</v>
      </c>
      <c r="G53" s="18" t="n">
        <v>5.30563478</v>
      </c>
      <c r="H53" s="20" t="n">
        <v>0.93554143</v>
      </c>
      <c r="I53" s="18" t="n">
        <v>0</v>
      </c>
      <c r="J53" s="20" t="n">
        <v>0</v>
      </c>
      <c r="K53" s="18" t="n">
        <v>22.34527988</v>
      </c>
      <c r="L53" s="20" t="n">
        <v>1.34074052</v>
      </c>
      <c r="M53" s="18" t="n">
        <v>0</v>
      </c>
      <c r="N53" s="20" t="n">
        <v>0</v>
      </c>
      <c r="O53" s="18" t="n">
        <v>0</v>
      </c>
      <c r="P53" s="20" t="n">
        <v>0</v>
      </c>
      <c r="Q53" s="18" t="n">
        <v>0</v>
      </c>
      <c r="R53" s="20" t="n">
        <v>0</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(4705.0/B55*100)</f>
        <v/>
      </c>
      <c r="D55" s="19" t="n">
        <v>654</v>
      </c>
      <c r="E55" s="18" t="n">
        <v>51.79397773</v>
      </c>
      <c r="F55" s="20" t="n">
        <v>1.69276496</v>
      </c>
      <c r="G55" s="18" t="n">
        <v>47.03052946</v>
      </c>
      <c r="H55" s="20" t="n">
        <v>1.73606041</v>
      </c>
      <c r="I55" s="18" t="n">
        <v>0</v>
      </c>
      <c r="J55" s="20" t="n">
        <v>0</v>
      </c>
      <c r="K55" s="18" t="n">
        <v>1.17549281</v>
      </c>
      <c r="L55" s="20" t="n">
        <v>0.46535517</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(5759.0/B61*100)</f>
        <v/>
      </c>
      <c r="D61" s="19" t="n">
        <v>766</v>
      </c>
      <c r="E61" s="18" t="n">
        <v>80.82387799</v>
      </c>
      <c r="F61" s="20" t="n">
        <v>1.51426108</v>
      </c>
      <c r="G61" s="18" t="n">
        <v>18.14792862</v>
      </c>
      <c r="H61" s="20" t="n">
        <v>1.43790974</v>
      </c>
      <c r="I61" s="18" t="n">
        <v>0</v>
      </c>
      <c r="J61" s="20" t="n">
        <v>0</v>
      </c>
      <c r="K61" s="18" t="n">
        <v>1.02819339</v>
      </c>
      <c r="L61" s="20" t="n">
        <v>0.40197588</v>
      </c>
      <c r="M61" s="18" t="n">
        <v>0</v>
      </c>
      <c r="N61" s="20" t="n">
        <v>0</v>
      </c>
      <c r="O61" s="18" t="n">
        <v>0</v>
      </c>
      <c r="P61" s="20" t="n">
        <v>0</v>
      </c>
      <c r="Q61" s="18" t="n">
        <v>0</v>
      </c>
      <c r="R61" s="20" t="n">
        <v>0</v>
      </c>
    </row>
    <row r="62" spans="1:18">
      <c r="A62" s="15" t="s">
        <v>486</v>
      </c>
      <c r="B62" s="17" t="n">
        <v>4476</v>
      </c>
      <c r="C62" s="18">
        <f>(3958.0/B62*100)</f>
        <v/>
      </c>
      <c r="D62" s="19" t="n">
        <v>518</v>
      </c>
      <c r="E62" s="18" t="n">
        <v>62.50554161</v>
      </c>
      <c r="F62" s="20" t="n">
        <v>2.25730393</v>
      </c>
      <c r="G62" s="18" t="n">
        <v>37.29621577</v>
      </c>
      <c r="H62" s="20" t="n">
        <v>2.29783276</v>
      </c>
      <c r="I62" s="18" t="n">
        <v>0</v>
      </c>
      <c r="J62" s="20" t="n">
        <v>0</v>
      </c>
      <c r="K62" s="18" t="n">
        <v>0.19824262</v>
      </c>
      <c r="L62" s="20" t="n">
        <v>0.19636188</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(4995.0/B67*100)</f>
        <v/>
      </c>
      <c r="D67" s="19" t="n">
        <v>670</v>
      </c>
      <c r="E67" s="18" t="n">
        <v>77.50910017</v>
      </c>
      <c r="F67" s="20" t="n">
        <v>1.69186107</v>
      </c>
      <c r="G67" s="18" t="n">
        <v>18.12730064</v>
      </c>
      <c r="H67" s="20" t="n">
        <v>1.43000568</v>
      </c>
      <c r="I67" s="18" t="n">
        <v>0</v>
      </c>
      <c r="J67" s="20" t="n">
        <v>0</v>
      </c>
      <c r="K67" s="18" t="n">
        <v>4.36359919</v>
      </c>
      <c r="L67" s="20" t="n">
        <v>0.89066492</v>
      </c>
      <c r="M67" s="18" t="n">
        <v>0</v>
      </c>
      <c r="N67" s="20" t="n">
        <v>0</v>
      </c>
      <c r="O67" s="18" t="n">
        <v>0</v>
      </c>
      <c r="P67" s="20" t="n">
        <v>0</v>
      </c>
      <c r="Q67" s="18" t="n">
        <v>0</v>
      </c>
      <c r="R67" s="20" t="n">
        <v>0</v>
      </c>
    </row>
    <row r="68" spans="1:18">
      <c r="A68" s="15" t="s">
        <v>492</v>
      </c>
      <c r="B68" s="17" t="n">
        <v>6971</v>
      </c>
      <c r="C68" s="18">
        <f>(6306.0/B68*100)</f>
        <v/>
      </c>
      <c r="D68" s="19" t="n">
        <v>665</v>
      </c>
      <c r="E68" s="18" t="n">
        <v>91.04124216</v>
      </c>
      <c r="F68" s="20" t="n">
        <v>1.16045042</v>
      </c>
      <c r="G68" s="18" t="n">
        <v>8.435852089999999</v>
      </c>
      <c r="H68" s="20" t="n">
        <v>1.15616153</v>
      </c>
      <c r="I68" s="18" t="n">
        <v>0</v>
      </c>
      <c r="J68" s="20" t="n">
        <v>0</v>
      </c>
      <c r="K68" s="18" t="n">
        <v>0.5229057499999999</v>
      </c>
      <c r="L68" s="20" t="n">
        <v>0.26314224</v>
      </c>
      <c r="M68" s="18" t="n">
        <v>0</v>
      </c>
      <c r="N68" s="20" t="n">
        <v>0</v>
      </c>
      <c r="O68" s="18" t="n">
        <v>0</v>
      </c>
      <c r="P68" s="20" t="n">
        <v>0</v>
      </c>
      <c r="Q68" s="18" t="n">
        <v>0</v>
      </c>
      <c r="R68" s="20" t="n">
        <v>0</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(10065.0/B70*100)</f>
        <v/>
      </c>
      <c r="D70" s="19" t="n">
        <v>2018</v>
      </c>
      <c r="E70" s="18" t="n">
        <v>84.49096878</v>
      </c>
      <c r="F70" s="20" t="n">
        <v>0.8679829100000001</v>
      </c>
      <c r="G70" s="18" t="n">
        <v>8.48414642</v>
      </c>
      <c r="H70" s="20" t="n">
        <v>0.66903557</v>
      </c>
      <c r="I70" s="18" t="n">
        <v>0</v>
      </c>
      <c r="J70" s="20" t="n">
        <v>0</v>
      </c>
      <c r="K70" s="18" t="n">
        <v>7.0248848</v>
      </c>
      <c r="L70" s="20" t="n">
        <v>0.58543408</v>
      </c>
      <c r="M70" s="18" t="n">
        <v>0</v>
      </c>
      <c r="N70" s="20" t="n">
        <v>0</v>
      </c>
      <c r="O70" s="18" t="n">
        <v>0</v>
      </c>
      <c r="P70" s="20" t="n">
        <v>0</v>
      </c>
      <c r="Q70" s="18" t="n">
        <v>0</v>
      </c>
      <c r="R70" s="20" t="n">
        <v>0</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(5379.0/B72*100)</f>
        <v/>
      </c>
      <c r="D72" s="19" t="n">
        <v>657</v>
      </c>
      <c r="E72" s="18" t="n">
        <v>74.32148959</v>
      </c>
      <c r="F72" s="20" t="n">
        <v>1.77354661</v>
      </c>
      <c r="G72" s="18" t="n">
        <v>24.76442679</v>
      </c>
      <c r="H72" s="20" t="n">
        <v>1.80418675</v>
      </c>
      <c r="I72" s="18" t="n">
        <v>0</v>
      </c>
      <c r="J72" s="20" t="n">
        <v>0</v>
      </c>
      <c r="K72" s="18" t="n">
        <v>0.91408362</v>
      </c>
      <c r="L72" s="20" t="n">
        <v>0.34314316</v>
      </c>
      <c r="M72" s="18" t="n">
        <v>0</v>
      </c>
      <c r="N72" s="20" t="n">
        <v>0</v>
      </c>
      <c r="O72" s="18" t="n">
        <v>0</v>
      </c>
      <c r="P72" s="20" t="n">
        <v>0</v>
      </c>
      <c r="Q72" s="18" t="n">
        <v>0</v>
      </c>
      <c r="R72" s="20" t="n">
        <v>0</v>
      </c>
    </row>
    <row r="73" spans="1:18">
      <c r="A73" s="15" t="s">
        <v>497</v>
      </c>
      <c r="B73" s="17" t="n">
        <v>6115</v>
      </c>
      <c r="C73" s="18">
        <f>(5348.0/B73*100)</f>
        <v/>
      </c>
      <c r="D73" s="19" t="n">
        <v>767</v>
      </c>
      <c r="E73" s="18" t="n">
        <v>63.76356287</v>
      </c>
      <c r="F73" s="20" t="n">
        <v>1.7803505</v>
      </c>
      <c r="G73" s="18" t="n">
        <v>35.84202937</v>
      </c>
      <c r="H73" s="20" t="n">
        <v>1.73576202</v>
      </c>
      <c r="I73" s="18" t="n">
        <v>0</v>
      </c>
      <c r="J73" s="20" t="n">
        <v>0</v>
      </c>
      <c r="K73" s="18" t="n">
        <v>0.39440777</v>
      </c>
      <c r="L73" s="20" t="n">
        <v>0.2330052</v>
      </c>
      <c r="M73" s="18" t="n">
        <v>0</v>
      </c>
      <c r="N73" s="20" t="n">
        <v>0</v>
      </c>
      <c r="O73" s="18" t="n">
        <v>0</v>
      </c>
      <c r="P73" s="20" t="n">
        <v>0</v>
      </c>
      <c r="Q73" s="18" t="n">
        <v>0</v>
      </c>
      <c r="R73" s="20" t="n">
        <v>0</v>
      </c>
    </row>
    <row r="74" spans="1:18">
      <c r="A74" s="15" t="s">
        <v>498</v>
      </c>
      <c r="B74" s="17" t="n">
        <v>7708</v>
      </c>
      <c r="C74" s="18">
        <f>(6756.0/B74*100)</f>
        <v/>
      </c>
      <c r="D74" s="19" t="n">
        <v>952</v>
      </c>
      <c r="E74" s="18" t="n">
        <v>63.40936288</v>
      </c>
      <c r="F74" s="20" t="n">
        <v>1.71057769</v>
      </c>
      <c r="G74" s="18" t="n">
        <v>36.11661808</v>
      </c>
      <c r="H74" s="20" t="n">
        <v>1.65579389</v>
      </c>
      <c r="I74" s="18" t="n">
        <v>0</v>
      </c>
      <c r="J74" s="20" t="n">
        <v>0</v>
      </c>
      <c r="K74" s="18" t="n">
        <v>0.47401904</v>
      </c>
      <c r="L74" s="20" t="n">
        <v>0.24688388</v>
      </c>
      <c r="M74" s="18" t="n">
        <v>0</v>
      </c>
      <c r="N74" s="20" t="n">
        <v>0</v>
      </c>
      <c r="O74" s="18" t="n">
        <v>0</v>
      </c>
      <c r="P74" s="20" t="n">
        <v>0</v>
      </c>
      <c r="Q74" s="18" t="n">
        <v>0</v>
      </c>
      <c r="R74" s="20" t="n">
        <v>0</v>
      </c>
    </row>
    <row r="75" spans="1:18">
      <c r="A75" s="15" t="s">
        <v>499</v>
      </c>
      <c r="B75" s="17" t="n">
        <v>8249</v>
      </c>
      <c r="C75" s="18">
        <f>(7317.0/B75*100)</f>
        <v/>
      </c>
      <c r="D75" s="19" t="n">
        <v>932</v>
      </c>
      <c r="E75" s="18" t="n">
        <v>86.22866981999999</v>
      </c>
      <c r="F75" s="20" t="n">
        <v>1.4368786</v>
      </c>
      <c r="G75" s="18" t="n">
        <v>12.9711386</v>
      </c>
      <c r="H75" s="20" t="n">
        <v>1.44444655</v>
      </c>
      <c r="I75" s="18" t="n">
        <v>0</v>
      </c>
      <c r="J75" s="20" t="n">
        <v>0</v>
      </c>
      <c r="K75" s="18" t="n">
        <v>0.80019158</v>
      </c>
      <c r="L75" s="20" t="n">
        <v>0.36677084</v>
      </c>
      <c r="M75" s="18" t="n">
        <v>0</v>
      </c>
      <c r="N75" s="20" t="n">
        <v>0</v>
      </c>
      <c r="O75" s="18" t="n">
        <v>0</v>
      </c>
      <c r="P75" s="20" t="n">
        <v>0</v>
      </c>
      <c r="Q75" s="18" t="n">
        <v>0</v>
      </c>
      <c r="R75" s="20" t="n">
        <v>0</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(4797.0/B77*100)</f>
        <v/>
      </c>
      <c r="D77" s="19" t="n">
        <v>578</v>
      </c>
      <c r="E77" s="18" t="n">
        <v>91.89345473</v>
      </c>
      <c r="F77" s="20" t="n">
        <v>1.4066523</v>
      </c>
      <c r="G77" s="18" t="n">
        <v>1.12747434</v>
      </c>
      <c r="H77" s="20" t="n">
        <v>0.4194803</v>
      </c>
      <c r="I77" s="18" t="n">
        <v>0</v>
      </c>
      <c r="J77" s="20" t="n">
        <v>0</v>
      </c>
      <c r="K77" s="18" t="n">
        <v>6.97907093</v>
      </c>
      <c r="L77" s="20" t="n">
        <v>1.2560105</v>
      </c>
      <c r="M77" s="18" t="n">
        <v>0</v>
      </c>
      <c r="N77" s="20" t="n">
        <v>0</v>
      </c>
      <c r="O77" s="18" t="n">
        <v>0</v>
      </c>
      <c r="P77" s="20" t="n">
        <v>0</v>
      </c>
      <c r="Q77" s="18" t="n">
        <v>0</v>
      </c>
      <c r="R77" s="20" t="n">
        <v>0</v>
      </c>
    </row>
    <row r="78" spans="1:18">
      <c r="A78" s="15" t="s">
        <v>502</v>
      </c>
      <c r="B78" s="17" t="n">
        <v>14167</v>
      </c>
      <c r="C78" s="18">
        <f>(12417.0/B78*100)</f>
        <v/>
      </c>
      <c r="D78" s="19" t="n">
        <v>1750</v>
      </c>
      <c r="E78" s="18" t="n">
        <v>87.83055164</v>
      </c>
      <c r="F78" s="20" t="n">
        <v>0.88475889</v>
      </c>
      <c r="G78" s="18" t="n">
        <v>9.905992210000001</v>
      </c>
      <c r="H78" s="20" t="n">
        <v>0.89802989</v>
      </c>
      <c r="I78" s="18" t="n">
        <v>0</v>
      </c>
      <c r="J78" s="20" t="n">
        <v>0</v>
      </c>
      <c r="K78" s="18" t="n">
        <v>2.26345615</v>
      </c>
      <c r="L78" s="20" t="n">
        <v>0.4560311</v>
      </c>
      <c r="M78" s="18" t="n">
        <v>0</v>
      </c>
      <c r="N78" s="20" t="n">
        <v>0</v>
      </c>
      <c r="O78" s="18" t="n">
        <v>0</v>
      </c>
      <c r="P78" s="20" t="n">
        <v>0</v>
      </c>
      <c r="Q78" s="18" t="n">
        <v>0</v>
      </c>
      <c r="R78" s="20" t="n">
        <v>0</v>
      </c>
    </row>
    <row r="79" spans="1:18">
      <c r="A79" s="15" t="s">
        <v>503</v>
      </c>
      <c r="B79" s="17" t="n">
        <v>6062</v>
      </c>
      <c r="C79" s="18">
        <f>(5368.0/B79*100)</f>
        <v/>
      </c>
      <c r="D79" s="19" t="n">
        <v>694</v>
      </c>
      <c r="E79" s="18" t="n">
        <v>88.53277418</v>
      </c>
      <c r="F79" s="20" t="n">
        <v>1.4498775</v>
      </c>
      <c r="G79" s="18" t="n">
        <v>6.18711273</v>
      </c>
      <c r="H79" s="20" t="n">
        <v>1.15060687</v>
      </c>
      <c r="I79" s="18" t="n">
        <v>0</v>
      </c>
      <c r="J79" s="20" t="n">
        <v>0</v>
      </c>
      <c r="K79" s="18" t="n">
        <v>5.28011309</v>
      </c>
      <c r="L79" s="20" t="n">
        <v>0.85752328</v>
      </c>
      <c r="M79" s="18" t="n">
        <v>0</v>
      </c>
      <c r="N79" s="20" t="n">
        <v>0</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(28519.0/B82*100)</f>
        <v/>
      </c>
      <c r="D82" s="19" t="n">
        <v>3811</v>
      </c>
      <c r="E82" s="18" t="n">
        <v>80.64060381</v>
      </c>
      <c r="F82" s="20" t="n">
        <v>0.88825501</v>
      </c>
      <c r="G82" s="18" t="n">
        <v>17.92838543</v>
      </c>
      <c r="H82" s="20" t="n">
        <v>0.8551893699999999</v>
      </c>
      <c r="I82" s="18" t="n">
        <v>0</v>
      </c>
      <c r="J82" s="20" t="n">
        <v>0</v>
      </c>
      <c r="K82" s="18" t="n">
        <v>1.43101076</v>
      </c>
      <c r="L82" s="20" t="n">
        <v>0.25352162</v>
      </c>
      <c r="M82" s="18" t="n">
        <v>0</v>
      </c>
      <c r="N82" s="20" t="n">
        <v>0</v>
      </c>
      <c r="O82" s="18" t="n">
        <v>0</v>
      </c>
      <c r="P82" s="20" t="n">
        <v>0</v>
      </c>
      <c r="Q82" s="18" t="n">
        <v>0</v>
      </c>
      <c r="R82" s="20" t="n">
        <v>0</v>
      </c>
    </row>
    <row r="83" spans="1:18">
      <c r="A83" s="15" t="s">
        <v>507</v>
      </c>
      <c r="B83" s="17" t="n">
        <v>1652</v>
      </c>
      <c r="C83" s="18">
        <f>(1427.0/B83*100)</f>
        <v/>
      </c>
      <c r="D83" s="19" t="n">
        <v>225</v>
      </c>
      <c r="E83" s="18" t="n">
        <v>74.79798372</v>
      </c>
      <c r="F83" s="20" t="n">
        <v>4.16801168</v>
      </c>
      <c r="G83" s="18" t="n">
        <v>25.20201628</v>
      </c>
      <c r="H83" s="20" t="n">
        <v>4.16801168</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(1611.0/B84*100)</f>
        <v/>
      </c>
      <c r="D84" s="19" t="n">
        <v>276</v>
      </c>
      <c r="E84" s="18" t="n">
        <v>75.49914588</v>
      </c>
      <c r="F84" s="20" t="n">
        <v>3.04425209</v>
      </c>
      <c r="G84" s="18" t="n">
        <v>24.50085412</v>
      </c>
      <c r="H84" s="20" t="n">
        <v>3.04425209</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(12699.0/B7*100)</f>
        <v/>
      </c>
      <c r="D7" s="19" t="n">
        <v>1831</v>
      </c>
      <c r="E7" s="18" t="n">
        <v>39.60947514</v>
      </c>
      <c r="F7" s="20" t="n">
        <v>1.46482315</v>
      </c>
      <c r="G7" s="18" t="n">
        <v>58.20485585</v>
      </c>
      <c r="H7" s="20" t="n">
        <v>1.51090925</v>
      </c>
      <c r="I7" s="18" t="n">
        <v>0</v>
      </c>
      <c r="J7" s="20" t="n">
        <v>0</v>
      </c>
      <c r="K7" s="18" t="n">
        <v>0.07364606999999999</v>
      </c>
      <c r="L7" s="20" t="n">
        <v>0.04168504</v>
      </c>
      <c r="M7" s="18" t="n">
        <v>0</v>
      </c>
      <c r="N7" s="20" t="n">
        <v>0</v>
      </c>
      <c r="O7" s="18" t="n">
        <v>0</v>
      </c>
      <c r="P7" s="20" t="n">
        <v>0</v>
      </c>
      <c r="Q7" s="18" t="n">
        <v>2.11202294</v>
      </c>
      <c r="R7" s="20" t="n">
        <v>0.40578123</v>
      </c>
    </row>
    <row r="8" spans="1:18">
      <c r="A8" s="15" t="s">
        <v>430</v>
      </c>
      <c r="B8" s="17" t="n">
        <v>7007</v>
      </c>
      <c r="C8" s="18">
        <f>(6154.0/B8*100)</f>
        <v/>
      </c>
      <c r="D8" s="19" t="n">
        <v>853</v>
      </c>
      <c r="E8" s="18" t="n">
        <v>33.50571756</v>
      </c>
      <c r="F8" s="20" t="n">
        <v>1.68861982</v>
      </c>
      <c r="G8" s="18" t="n">
        <v>64.45106254</v>
      </c>
      <c r="H8" s="20" t="n">
        <v>1.72894628</v>
      </c>
      <c r="I8" s="18" t="n">
        <v>0</v>
      </c>
      <c r="J8" s="20" t="n">
        <v>0</v>
      </c>
      <c r="K8" s="18" t="n">
        <v>0</v>
      </c>
      <c r="L8" s="20" t="n">
        <v>0</v>
      </c>
      <c r="M8" s="18" t="n">
        <v>0</v>
      </c>
      <c r="N8" s="20" t="n">
        <v>0</v>
      </c>
      <c r="O8" s="18" t="n">
        <v>0</v>
      </c>
      <c r="P8" s="20" t="n">
        <v>0</v>
      </c>
      <c r="Q8" s="18" t="n">
        <v>2.0432199</v>
      </c>
      <c r="R8" s="20" t="n">
        <v>0.55754788</v>
      </c>
    </row>
    <row r="9" spans="1:18">
      <c r="A9" s="15" t="s">
        <v>431</v>
      </c>
      <c r="B9" s="17" t="n">
        <v>9651</v>
      </c>
      <c r="C9" s="18">
        <f>(8472.0/B9*100)</f>
        <v/>
      </c>
      <c r="D9" s="19" t="n">
        <v>1179</v>
      </c>
      <c r="E9" s="18" t="n">
        <v>35.95172327</v>
      </c>
      <c r="F9" s="20" t="n">
        <v>1.35225965</v>
      </c>
      <c r="G9" s="18" t="n">
        <v>62.29490758</v>
      </c>
      <c r="H9" s="20" t="n">
        <v>1.36790731</v>
      </c>
      <c r="I9" s="18" t="n">
        <v>0</v>
      </c>
      <c r="J9" s="20" t="n">
        <v>0</v>
      </c>
      <c r="K9" s="18" t="n">
        <v>0.23081138</v>
      </c>
      <c r="L9" s="20" t="n">
        <v>0.16525748</v>
      </c>
      <c r="M9" s="18" t="n">
        <v>0</v>
      </c>
      <c r="N9" s="20" t="n">
        <v>0</v>
      </c>
      <c r="O9" s="18" t="n">
        <v>0</v>
      </c>
      <c r="P9" s="20" t="n">
        <v>0</v>
      </c>
      <c r="Q9" s="18" t="n">
        <v>1.52255777</v>
      </c>
      <c r="R9" s="20" t="n">
        <v>0.45357109</v>
      </c>
    </row>
    <row r="10" spans="1:18">
      <c r="A10" s="15" t="s">
        <v>432</v>
      </c>
      <c r="B10" s="17" t="n">
        <v>20058</v>
      </c>
      <c r="C10" s="18">
        <f>(17625.0/B10*100)</f>
        <v/>
      </c>
      <c r="D10" s="19" t="n">
        <v>2433</v>
      </c>
      <c r="E10" s="18" t="n">
        <v>35.65451829</v>
      </c>
      <c r="F10" s="20" t="n">
        <v>1.40187266</v>
      </c>
      <c r="G10" s="18" t="n">
        <v>62.56101645</v>
      </c>
      <c r="H10" s="20" t="n">
        <v>1.45306654</v>
      </c>
      <c r="I10" s="18" t="n">
        <v>0</v>
      </c>
      <c r="J10" s="20" t="n">
        <v>0</v>
      </c>
      <c r="K10" s="18" t="n">
        <v>0.25834259</v>
      </c>
      <c r="L10" s="20" t="n">
        <v>0.16146537</v>
      </c>
      <c r="M10" s="18" t="n">
        <v>0</v>
      </c>
      <c r="N10" s="20" t="n">
        <v>0</v>
      </c>
      <c r="O10" s="18" t="n">
        <v>0</v>
      </c>
      <c r="P10" s="20" t="n">
        <v>0</v>
      </c>
      <c r="Q10" s="18" t="n">
        <v>1.52612267</v>
      </c>
      <c r="R10" s="20" t="n">
        <v>0.34487287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(6056.0/B12*100)</f>
        <v/>
      </c>
      <c r="D12" s="19" t="n">
        <v>838</v>
      </c>
      <c r="E12" s="18" t="n">
        <v>41.70080556</v>
      </c>
      <c r="F12" s="20" t="n">
        <v>2.05232555</v>
      </c>
      <c r="G12" s="18" t="n">
        <v>57.65847309</v>
      </c>
      <c r="H12" s="20" t="n">
        <v>2.04658663</v>
      </c>
      <c r="I12" s="18" t="n">
        <v>0</v>
      </c>
      <c r="J12" s="20" t="n">
        <v>0</v>
      </c>
      <c r="K12" s="18" t="n">
        <v>0</v>
      </c>
      <c r="L12" s="20" t="n">
        <v>0</v>
      </c>
      <c r="M12" s="18" t="n">
        <v>0</v>
      </c>
      <c r="N12" s="20" t="n">
        <v>0</v>
      </c>
      <c r="O12" s="18" t="n">
        <v>0</v>
      </c>
      <c r="P12" s="20" t="n">
        <v>0</v>
      </c>
      <c r="Q12" s="18" t="n">
        <v>0.64072135</v>
      </c>
      <c r="R12" s="20" t="n">
        <v>0.21985298</v>
      </c>
    </row>
    <row r="13" spans="1:18">
      <c r="A13" s="15" t="s">
        <v>435</v>
      </c>
      <c r="B13" s="17" t="n">
        <v>7161</v>
      </c>
      <c r="C13" s="18">
        <f>(6322.0/B13*100)</f>
        <v/>
      </c>
      <c r="D13" s="19" t="n">
        <v>839</v>
      </c>
      <c r="E13" s="18" t="n">
        <v>35.79184352</v>
      </c>
      <c r="F13" s="20" t="n">
        <v>1.94392693</v>
      </c>
      <c r="G13" s="18" t="n">
        <v>62.96629641</v>
      </c>
      <c r="H13" s="20" t="n">
        <v>1.93501848</v>
      </c>
      <c r="I13" s="18" t="n">
        <v>0</v>
      </c>
      <c r="J13" s="20" t="n">
        <v>0</v>
      </c>
      <c r="K13" s="18" t="n">
        <v>0.18284529</v>
      </c>
      <c r="L13" s="20" t="n">
        <v>0.16401996</v>
      </c>
      <c r="M13" s="18" t="n">
        <v>0</v>
      </c>
      <c r="N13" s="20" t="n">
        <v>0</v>
      </c>
      <c r="O13" s="18" t="n">
        <v>0</v>
      </c>
      <c r="P13" s="20" t="n">
        <v>0</v>
      </c>
      <c r="Q13" s="18" t="n">
        <v>1.05901478</v>
      </c>
      <c r="R13" s="20" t="n">
        <v>0.81726329</v>
      </c>
    </row>
    <row r="14" spans="1:18">
      <c r="A14" s="15" t="s">
        <v>436</v>
      </c>
      <c r="B14" s="17" t="n">
        <v>5587</v>
      </c>
      <c r="C14" s="18">
        <f>(4891.0/B14*100)</f>
        <v/>
      </c>
      <c r="D14" s="19" t="n">
        <v>696</v>
      </c>
      <c r="E14" s="18" t="n">
        <v>31.22975568</v>
      </c>
      <c r="F14" s="20" t="n">
        <v>2.00916294</v>
      </c>
      <c r="G14" s="18" t="n">
        <v>67.45820092</v>
      </c>
      <c r="H14" s="20" t="n">
        <v>2.06596167</v>
      </c>
      <c r="I14" s="18" t="n">
        <v>0</v>
      </c>
      <c r="J14" s="20" t="n">
        <v>0</v>
      </c>
      <c r="K14" s="18" t="n">
        <v>0</v>
      </c>
      <c r="L14" s="20" t="n">
        <v>0</v>
      </c>
      <c r="M14" s="18" t="n">
        <v>0</v>
      </c>
      <c r="N14" s="20" t="n">
        <v>0</v>
      </c>
      <c r="O14" s="18" t="n">
        <v>0</v>
      </c>
      <c r="P14" s="20" t="n">
        <v>0</v>
      </c>
      <c r="Q14" s="18" t="n">
        <v>1.31204341</v>
      </c>
      <c r="R14" s="20" t="n">
        <v>0.58803819</v>
      </c>
    </row>
    <row r="15" spans="1:18">
      <c r="A15" s="15" t="s">
        <v>437</v>
      </c>
      <c r="B15" s="17" t="n">
        <v>5882</v>
      </c>
      <c r="C15" s="18">
        <f>(5157.0/B15*100)</f>
        <v/>
      </c>
      <c r="D15" s="19" t="n">
        <v>725</v>
      </c>
      <c r="E15" s="18" t="n">
        <v>36.96568744</v>
      </c>
      <c r="F15" s="20" t="n">
        <v>1.97783589</v>
      </c>
      <c r="G15" s="18" t="n">
        <v>61.43414054</v>
      </c>
      <c r="H15" s="20" t="n">
        <v>2.00244239</v>
      </c>
      <c r="I15" s="18" t="n">
        <v>0</v>
      </c>
      <c r="J15" s="20" t="n">
        <v>0</v>
      </c>
      <c r="K15" s="18" t="n">
        <v>0.54622801</v>
      </c>
      <c r="L15" s="20" t="n">
        <v>0.27154931</v>
      </c>
      <c r="M15" s="18" t="n">
        <v>0</v>
      </c>
      <c r="N15" s="20" t="n">
        <v>0</v>
      </c>
      <c r="O15" s="18" t="n">
        <v>0</v>
      </c>
      <c r="P15" s="20" t="n">
        <v>0</v>
      </c>
      <c r="Q15" s="18" t="n">
        <v>1.05394401</v>
      </c>
      <c r="R15" s="20" t="n">
        <v>0.38151354</v>
      </c>
    </row>
    <row r="16" spans="1:18">
      <c r="A16" s="15" t="s">
        <v>438</v>
      </c>
      <c r="B16" s="17" t="n">
        <v>6108</v>
      </c>
      <c r="C16" s="18">
        <f>(5353.0/B16*100)</f>
        <v/>
      </c>
      <c r="D16" s="19" t="n">
        <v>755</v>
      </c>
      <c r="E16" s="18" t="n">
        <v>34.30461219</v>
      </c>
      <c r="F16" s="20" t="n">
        <v>1.75026984</v>
      </c>
      <c r="G16" s="18" t="n">
        <v>62.9655124</v>
      </c>
      <c r="H16" s="20" t="n">
        <v>1.78353732</v>
      </c>
      <c r="I16" s="18" t="n">
        <v>0</v>
      </c>
      <c r="J16" s="20" t="n">
        <v>0</v>
      </c>
      <c r="K16" s="18" t="n">
        <v>0.46528148</v>
      </c>
      <c r="L16" s="20" t="n">
        <v>0.27085142</v>
      </c>
      <c r="M16" s="18" t="n">
        <v>0</v>
      </c>
      <c r="N16" s="20" t="n">
        <v>0</v>
      </c>
      <c r="O16" s="18" t="n">
        <v>0</v>
      </c>
      <c r="P16" s="20" t="n">
        <v>0</v>
      </c>
      <c r="Q16" s="18" t="n">
        <v>2.26459394</v>
      </c>
      <c r="R16" s="20" t="n">
        <v>0.45269002</v>
      </c>
    </row>
    <row r="17" spans="1:18">
      <c r="A17" s="15" t="s">
        <v>439</v>
      </c>
      <c r="B17" s="17" t="n">
        <v>6504</v>
      </c>
      <c r="C17" s="18">
        <f>(5708.0/B17*100)</f>
        <v/>
      </c>
      <c r="D17" s="19" t="n">
        <v>796</v>
      </c>
      <c r="E17" s="18" t="n">
        <v>33.69774145</v>
      </c>
      <c r="F17" s="20" t="n">
        <v>1.59251394</v>
      </c>
      <c r="G17" s="18" t="n">
        <v>64.73543273</v>
      </c>
      <c r="H17" s="20" t="n">
        <v>1.61455149</v>
      </c>
      <c r="I17" s="18" t="n">
        <v>0</v>
      </c>
      <c r="J17" s="20" t="n">
        <v>0</v>
      </c>
      <c r="K17" s="18" t="n">
        <v>0.15635</v>
      </c>
      <c r="L17" s="20" t="n">
        <v>0.15143033</v>
      </c>
      <c r="M17" s="18" t="n">
        <v>0</v>
      </c>
      <c r="N17" s="20" t="n">
        <v>0</v>
      </c>
      <c r="O17" s="18" t="n">
        <v>0</v>
      </c>
      <c r="P17" s="20" t="n">
        <v>0</v>
      </c>
      <c r="Q17" s="18" t="n">
        <v>1.41047582</v>
      </c>
      <c r="R17" s="20" t="n">
        <v>0.4399886</v>
      </c>
    </row>
    <row r="18" spans="1:18">
      <c r="A18" s="15" t="s">
        <v>440</v>
      </c>
      <c r="B18" s="17" t="n">
        <v>5532</v>
      </c>
      <c r="C18" s="18">
        <f>(4854.0/B18*100)</f>
        <v/>
      </c>
      <c r="D18" s="19" t="n">
        <v>678</v>
      </c>
      <c r="E18" s="18" t="n">
        <v>35.90114641</v>
      </c>
      <c r="F18" s="20" t="n">
        <v>2.08867037</v>
      </c>
      <c r="G18" s="18" t="n">
        <v>60.50638035</v>
      </c>
      <c r="H18" s="20" t="n">
        <v>2.21260918</v>
      </c>
      <c r="I18" s="18" t="n">
        <v>0</v>
      </c>
      <c r="J18" s="20" t="n">
        <v>0</v>
      </c>
      <c r="K18" s="18" t="n">
        <v>0.12198341</v>
      </c>
      <c r="L18" s="20" t="n">
        <v>0.12062493</v>
      </c>
      <c r="M18" s="18" t="n">
        <v>0</v>
      </c>
      <c r="N18" s="20" t="n">
        <v>0</v>
      </c>
      <c r="O18" s="18" t="n">
        <v>0</v>
      </c>
      <c r="P18" s="20" t="n">
        <v>0</v>
      </c>
      <c r="Q18" s="18" t="n">
        <v>3.47048983</v>
      </c>
      <c r="R18" s="20" t="n">
        <v>0.93177875</v>
      </c>
    </row>
    <row r="19" spans="1:18">
      <c r="A19" s="15" t="s">
        <v>441</v>
      </c>
      <c r="B19" s="17" t="n">
        <v>5658</v>
      </c>
      <c r="C19" s="18">
        <f>(4971.0/B19*100)</f>
        <v/>
      </c>
      <c r="D19" s="19" t="n">
        <v>687</v>
      </c>
      <c r="E19" s="18" t="n">
        <v>51.4704879</v>
      </c>
      <c r="F19" s="20" t="n">
        <v>1.78492306</v>
      </c>
      <c r="G19" s="18" t="n">
        <v>47.13346265</v>
      </c>
      <c r="H19" s="20" t="n">
        <v>1.94364415</v>
      </c>
      <c r="I19" s="18" t="n">
        <v>0</v>
      </c>
      <c r="J19" s="20" t="n">
        <v>0</v>
      </c>
      <c r="K19" s="18" t="n">
        <v>0</v>
      </c>
      <c r="L19" s="20" t="n">
        <v>0</v>
      </c>
      <c r="M19" s="18" t="n">
        <v>0</v>
      </c>
      <c r="N19" s="20" t="n">
        <v>0</v>
      </c>
      <c r="O19" s="18" t="n">
        <v>0</v>
      </c>
      <c r="P19" s="20" t="n">
        <v>0</v>
      </c>
      <c r="Q19" s="18" t="n">
        <v>1.39604946</v>
      </c>
      <c r="R19" s="20" t="n">
        <v>0.54820319</v>
      </c>
    </row>
    <row r="20" spans="1:18">
      <c r="A20" s="15" t="s">
        <v>442</v>
      </c>
      <c r="B20" s="17" t="n">
        <v>3371</v>
      </c>
      <c r="C20" s="18">
        <f>(2967.0/B20*100)</f>
        <v/>
      </c>
      <c r="D20" s="19" t="n">
        <v>404</v>
      </c>
      <c r="E20" s="18" t="n">
        <v>37.11107905</v>
      </c>
      <c r="F20" s="20" t="n">
        <v>2.5343207</v>
      </c>
      <c r="G20" s="18" t="n">
        <v>61.06495755</v>
      </c>
      <c r="H20" s="20" t="n">
        <v>2.45279995</v>
      </c>
      <c r="I20" s="18" t="n">
        <v>0</v>
      </c>
      <c r="J20" s="20" t="n">
        <v>0</v>
      </c>
      <c r="K20" s="18" t="n">
        <v>0.2349491</v>
      </c>
      <c r="L20" s="20" t="n">
        <v>0.23678279</v>
      </c>
      <c r="M20" s="18" t="n">
        <v>0</v>
      </c>
      <c r="N20" s="20" t="n">
        <v>0</v>
      </c>
      <c r="O20" s="18" t="n">
        <v>0</v>
      </c>
      <c r="P20" s="20" t="n">
        <v>0</v>
      </c>
      <c r="Q20" s="18" t="n">
        <v>1.5890143</v>
      </c>
      <c r="R20" s="20" t="n">
        <v>0.60710577</v>
      </c>
    </row>
    <row r="21" spans="1:18">
      <c r="A21" s="15" t="s">
        <v>443</v>
      </c>
      <c r="B21" s="17" t="n">
        <v>5741</v>
      </c>
      <c r="C21" s="18">
        <f>(4792.0/B21*100)</f>
        <v/>
      </c>
      <c r="D21" s="19" t="n">
        <v>949</v>
      </c>
      <c r="E21" s="18" t="n">
        <v>36.14733239</v>
      </c>
      <c r="F21" s="20" t="n">
        <v>1.71871921</v>
      </c>
      <c r="G21" s="18" t="n">
        <v>61.88897717</v>
      </c>
      <c r="H21" s="20" t="n">
        <v>1.68258324</v>
      </c>
      <c r="I21" s="18" t="n">
        <v>0</v>
      </c>
      <c r="J21" s="20" t="n">
        <v>0</v>
      </c>
      <c r="K21" s="18" t="n">
        <v>0.09076263</v>
      </c>
      <c r="L21" s="20" t="n">
        <v>0.06537836</v>
      </c>
      <c r="M21" s="18" t="n">
        <v>0</v>
      </c>
      <c r="N21" s="20" t="n">
        <v>0</v>
      </c>
      <c r="O21" s="18" t="n">
        <v>0</v>
      </c>
      <c r="P21" s="20" t="n">
        <v>0</v>
      </c>
      <c r="Q21" s="18" t="n">
        <v>1.87292781</v>
      </c>
      <c r="R21" s="20" t="n">
        <v>0.45132758</v>
      </c>
    </row>
    <row r="22" spans="1:18">
      <c r="A22" s="15" t="s">
        <v>444</v>
      </c>
      <c r="B22" s="17" t="n">
        <v>6598</v>
      </c>
      <c r="C22" s="18">
        <f>(5770.0/B22*100)</f>
        <v/>
      </c>
      <c r="D22" s="19" t="n">
        <v>828</v>
      </c>
      <c r="E22" s="18" t="n">
        <v>38.01128337</v>
      </c>
      <c r="F22" s="20" t="n">
        <v>2.18872551</v>
      </c>
      <c r="G22" s="18" t="n">
        <v>56.88492743</v>
      </c>
      <c r="H22" s="20" t="n">
        <v>2.30673362</v>
      </c>
      <c r="I22" s="18" t="n">
        <v>0</v>
      </c>
      <c r="J22" s="20" t="n">
        <v>0</v>
      </c>
      <c r="K22" s="18" t="n">
        <v>0.35862263</v>
      </c>
      <c r="L22" s="20" t="n">
        <v>0.1850772</v>
      </c>
      <c r="M22" s="18" t="n">
        <v>0</v>
      </c>
      <c r="N22" s="20" t="n">
        <v>0</v>
      </c>
      <c r="O22" s="18" t="n">
        <v>0</v>
      </c>
      <c r="P22" s="20" t="n">
        <v>0</v>
      </c>
      <c r="Q22" s="18" t="n">
        <v>4.74516656</v>
      </c>
      <c r="R22" s="20" t="n">
        <v>0.88441017</v>
      </c>
    </row>
    <row r="23" spans="1:18">
      <c r="A23" s="15" t="s">
        <v>445</v>
      </c>
      <c r="B23" s="17" t="n">
        <v>11583</v>
      </c>
      <c r="C23" s="18">
        <f>(10178.0/B23*100)</f>
        <v/>
      </c>
      <c r="D23" s="19" t="n">
        <v>1405</v>
      </c>
      <c r="E23" s="18" t="n">
        <v>35.4094794</v>
      </c>
      <c r="F23" s="20" t="n">
        <v>1.79184799</v>
      </c>
      <c r="G23" s="18" t="n">
        <v>62.88691927</v>
      </c>
      <c r="H23" s="20" t="n">
        <v>1.89291916</v>
      </c>
      <c r="I23" s="18" t="n">
        <v>0</v>
      </c>
      <c r="J23" s="20" t="n">
        <v>0</v>
      </c>
      <c r="K23" s="18" t="n">
        <v>0.1848483</v>
      </c>
      <c r="L23" s="20" t="n">
        <v>0.13446658</v>
      </c>
      <c r="M23" s="18" t="n">
        <v>0</v>
      </c>
      <c r="N23" s="20" t="n">
        <v>0</v>
      </c>
      <c r="O23" s="18" t="n">
        <v>0</v>
      </c>
      <c r="P23" s="20" t="n">
        <v>0</v>
      </c>
      <c r="Q23" s="18" t="n">
        <v>1.51875303</v>
      </c>
      <c r="R23" s="20" t="n">
        <v>0.41887086</v>
      </c>
    </row>
    <row r="24" spans="1:18">
      <c r="A24" s="15" t="s">
        <v>446</v>
      </c>
      <c r="B24" s="17" t="n">
        <v>6647</v>
      </c>
      <c r="C24" s="18">
        <f>(5841.0/B24*100)</f>
        <v/>
      </c>
      <c r="D24" s="19" t="n">
        <v>806</v>
      </c>
      <c r="E24" s="18" t="n">
        <v>44.01326175</v>
      </c>
      <c r="F24" s="20" t="n">
        <v>1.99354579</v>
      </c>
      <c r="G24" s="18" t="n">
        <v>55.28866019</v>
      </c>
      <c r="H24" s="20" t="n">
        <v>2.05240392</v>
      </c>
      <c r="I24" s="18" t="n">
        <v>0</v>
      </c>
      <c r="J24" s="20" t="n">
        <v>0</v>
      </c>
      <c r="K24" s="18" t="n">
        <v>0</v>
      </c>
      <c r="L24" s="20" t="n">
        <v>0</v>
      </c>
      <c r="M24" s="18" t="n">
        <v>0</v>
      </c>
      <c r="N24" s="20" t="n">
        <v>0</v>
      </c>
      <c r="O24" s="18" t="n">
        <v>0</v>
      </c>
      <c r="P24" s="20" t="n">
        <v>0</v>
      </c>
      <c r="Q24" s="18" t="n">
        <v>0.6980780599999999</v>
      </c>
      <c r="R24" s="20" t="n">
        <v>0.28588935</v>
      </c>
    </row>
    <row r="25" spans="1:18">
      <c r="A25" s="15" t="s">
        <v>447</v>
      </c>
      <c r="B25" s="17" t="n">
        <v>5581</v>
      </c>
      <c r="C25" s="18">
        <f>(4886.0/B25*100)</f>
        <v/>
      </c>
      <c r="D25" s="19" t="n">
        <v>695</v>
      </c>
      <c r="E25" s="18" t="n">
        <v>31.88249306</v>
      </c>
      <c r="F25" s="20" t="n">
        <v>1.59240366</v>
      </c>
      <c r="G25" s="18" t="n">
        <v>67.69168743</v>
      </c>
      <c r="H25" s="20" t="n">
        <v>1.56333217</v>
      </c>
      <c r="I25" s="18" t="n">
        <v>0</v>
      </c>
      <c r="J25" s="20" t="n">
        <v>0</v>
      </c>
      <c r="K25" s="18" t="n">
        <v>0.13402635</v>
      </c>
      <c r="L25" s="20" t="n">
        <v>0.13398772</v>
      </c>
      <c r="M25" s="18" t="n">
        <v>0</v>
      </c>
      <c r="N25" s="20" t="n">
        <v>0</v>
      </c>
      <c r="O25" s="18" t="n">
        <v>0</v>
      </c>
      <c r="P25" s="20" t="n">
        <v>0</v>
      </c>
      <c r="Q25" s="18" t="n">
        <v>0.29179317</v>
      </c>
      <c r="R25" s="20" t="n">
        <v>0.20841266</v>
      </c>
    </row>
    <row r="26" spans="1:18">
      <c r="A26" s="15" t="s">
        <v>448</v>
      </c>
      <c r="B26" s="17" t="n">
        <v>4869</v>
      </c>
      <c r="C26" s="18">
        <f>(4264.0/B26*100)</f>
        <v/>
      </c>
      <c r="D26" s="19" t="n">
        <v>605</v>
      </c>
      <c r="E26" s="18" t="n">
        <v>38.30884532</v>
      </c>
      <c r="F26" s="20" t="n">
        <v>2.04817438</v>
      </c>
      <c r="G26" s="18" t="n">
        <v>60.31552302</v>
      </c>
      <c r="H26" s="20" t="n">
        <v>2.0798246</v>
      </c>
      <c r="I26" s="18" t="n">
        <v>0</v>
      </c>
      <c r="J26" s="20" t="n">
        <v>0</v>
      </c>
      <c r="K26" s="18" t="n">
        <v>0</v>
      </c>
      <c r="L26" s="20" t="n">
        <v>0</v>
      </c>
      <c r="M26" s="18" t="n">
        <v>0</v>
      </c>
      <c r="N26" s="20" t="n">
        <v>0</v>
      </c>
      <c r="O26" s="18" t="n">
        <v>0</v>
      </c>
      <c r="P26" s="20" t="n">
        <v>0</v>
      </c>
      <c r="Q26" s="18" t="n">
        <v>1.37563166</v>
      </c>
      <c r="R26" s="20" t="n">
        <v>0.5120736</v>
      </c>
    </row>
    <row r="27" spans="1:18">
      <c r="A27" s="15" t="s">
        <v>449</v>
      </c>
      <c r="B27" s="17" t="n">
        <v>5299</v>
      </c>
      <c r="C27" s="18">
        <f>(4629.0/B27*100)</f>
        <v/>
      </c>
      <c r="D27" s="19" t="n">
        <v>670</v>
      </c>
      <c r="E27" s="18" t="n">
        <v>36.60530632</v>
      </c>
      <c r="F27" s="20" t="n">
        <v>2.01961632</v>
      </c>
      <c r="G27" s="18" t="n">
        <v>61.25045068</v>
      </c>
      <c r="H27" s="20" t="n">
        <v>2.10952514</v>
      </c>
      <c r="I27" s="18" t="n">
        <v>0</v>
      </c>
      <c r="J27" s="20" t="n">
        <v>0</v>
      </c>
      <c r="K27" s="18" t="n">
        <v>0.14970308</v>
      </c>
      <c r="L27" s="20" t="n">
        <v>0.1506315</v>
      </c>
      <c r="M27" s="18" t="n">
        <v>0</v>
      </c>
      <c r="N27" s="20" t="n">
        <v>0</v>
      </c>
      <c r="O27" s="18" t="n">
        <v>0</v>
      </c>
      <c r="P27" s="20" t="n">
        <v>0</v>
      </c>
      <c r="Q27" s="18" t="n">
        <v>1.99453991</v>
      </c>
      <c r="R27" s="20" t="n">
        <v>0.50225074</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39.66340764</v>
      </c>
      <c r="F29" s="20" t="n">
        <v>2.12229505</v>
      </c>
      <c r="G29" s="18" t="n">
        <v>59.0938645</v>
      </c>
      <c r="H29" s="20" t="n">
        <v>2.01069468</v>
      </c>
      <c r="I29" s="18" t="n">
        <v>0</v>
      </c>
      <c r="J29" s="20" t="n">
        <v>0</v>
      </c>
      <c r="K29" s="18" t="n">
        <v>0.20244904</v>
      </c>
      <c r="L29" s="20" t="n">
        <v>0.20101285</v>
      </c>
      <c r="M29" s="18" t="n">
        <v>0</v>
      </c>
      <c r="N29" s="20" t="n">
        <v>0</v>
      </c>
      <c r="O29" s="18" t="n">
        <v>0</v>
      </c>
      <c r="P29" s="20" t="n">
        <v>0</v>
      </c>
      <c r="Q29" s="18" t="n">
        <v>1.04027881</v>
      </c>
      <c r="R29" s="20" t="n">
        <v>0.39445732</v>
      </c>
    </row>
    <row r="30" spans="1:18">
      <c r="A30" s="15" t="s">
        <v>452</v>
      </c>
      <c r="B30" s="17" t="n">
        <v>4520</v>
      </c>
      <c r="C30" s="18">
        <f>(3953.0/B30*100)</f>
        <v/>
      </c>
      <c r="D30" s="19" t="n">
        <v>567</v>
      </c>
      <c r="E30" s="18" t="n">
        <v>38.64668225</v>
      </c>
      <c r="F30" s="20" t="n">
        <v>2.00586521</v>
      </c>
      <c r="G30" s="18" t="n">
        <v>60.31629031</v>
      </c>
      <c r="H30" s="20" t="n">
        <v>2.01775943</v>
      </c>
      <c r="I30" s="18" t="n">
        <v>0</v>
      </c>
      <c r="J30" s="20" t="n">
        <v>0</v>
      </c>
      <c r="K30" s="18" t="n">
        <v>0</v>
      </c>
      <c r="L30" s="20" t="n">
        <v>0</v>
      </c>
      <c r="M30" s="18" t="n">
        <v>0</v>
      </c>
      <c r="N30" s="20" t="n">
        <v>0</v>
      </c>
      <c r="O30" s="18" t="n">
        <v>0</v>
      </c>
      <c r="P30" s="20" t="n">
        <v>0</v>
      </c>
      <c r="Q30" s="18" t="n">
        <v>1.03702743</v>
      </c>
      <c r="R30" s="20" t="n">
        <v>0.42728986</v>
      </c>
    </row>
    <row r="31" spans="1:18">
      <c r="A31" s="15" t="s">
        <v>453</v>
      </c>
      <c r="B31" s="17" t="n">
        <v>5456</v>
      </c>
      <c r="C31" s="18">
        <f>(4777.0/B31*100)</f>
        <v/>
      </c>
      <c r="D31" s="19" t="n">
        <v>679</v>
      </c>
      <c r="E31" s="18" t="n">
        <v>47.61148975</v>
      </c>
      <c r="F31" s="20" t="n">
        <v>2.06774272</v>
      </c>
      <c r="G31" s="18" t="n">
        <v>50.38175604</v>
      </c>
      <c r="H31" s="20" t="n">
        <v>2.16388056</v>
      </c>
      <c r="I31" s="18" t="n">
        <v>0</v>
      </c>
      <c r="J31" s="20" t="n">
        <v>0</v>
      </c>
      <c r="K31" s="18" t="n">
        <v>0</v>
      </c>
      <c r="L31" s="20" t="n">
        <v>0</v>
      </c>
      <c r="M31" s="18" t="n">
        <v>0</v>
      </c>
      <c r="N31" s="20" t="n">
        <v>0</v>
      </c>
      <c r="O31" s="18" t="n">
        <v>0</v>
      </c>
      <c r="P31" s="20" t="n">
        <v>0</v>
      </c>
      <c r="Q31" s="18" t="n">
        <v>2.00675421</v>
      </c>
      <c r="R31" s="20" t="n">
        <v>0.50410549</v>
      </c>
    </row>
    <row r="32" spans="1:18">
      <c r="A32" s="15" t="s">
        <v>454</v>
      </c>
      <c r="B32" s="17" t="n">
        <v>4478</v>
      </c>
      <c r="C32" s="18">
        <f>(3717.0/B32*100)</f>
        <v/>
      </c>
      <c r="D32" s="19" t="n">
        <v>761</v>
      </c>
      <c r="E32" s="18" t="n">
        <v>36.80737232</v>
      </c>
      <c r="F32" s="20" t="n">
        <v>1.86739778</v>
      </c>
      <c r="G32" s="18" t="n">
        <v>61.98540504</v>
      </c>
      <c r="H32" s="20" t="n">
        <v>1.84690367</v>
      </c>
      <c r="I32" s="18" t="n">
        <v>0</v>
      </c>
      <c r="J32" s="20" t="n">
        <v>0</v>
      </c>
      <c r="K32" s="18" t="n">
        <v>0.13577066</v>
      </c>
      <c r="L32" s="20" t="n">
        <v>0.11848184</v>
      </c>
      <c r="M32" s="18" t="n">
        <v>0</v>
      </c>
      <c r="N32" s="20" t="n">
        <v>0</v>
      </c>
      <c r="O32" s="18" t="n">
        <v>0</v>
      </c>
      <c r="P32" s="20" t="n">
        <v>0</v>
      </c>
      <c r="Q32" s="18" t="n">
        <v>1.07145198</v>
      </c>
      <c r="R32" s="20" t="n">
        <v>0.32350055</v>
      </c>
    </row>
    <row r="33" spans="1:18">
      <c r="A33" s="15" t="s">
        <v>455</v>
      </c>
      <c r="B33" s="17" t="n">
        <v>7325</v>
      </c>
      <c r="C33" s="18">
        <f>(6416.0/B33*100)</f>
        <v/>
      </c>
      <c r="D33" s="19" t="n">
        <v>909</v>
      </c>
      <c r="E33" s="18" t="n">
        <v>36.65137129</v>
      </c>
      <c r="F33" s="20" t="n">
        <v>1.99420262</v>
      </c>
      <c r="G33" s="18" t="n">
        <v>62.04480304</v>
      </c>
      <c r="H33" s="20" t="n">
        <v>1.9828842</v>
      </c>
      <c r="I33" s="18" t="n">
        <v>0</v>
      </c>
      <c r="J33" s="20" t="n">
        <v>0</v>
      </c>
      <c r="K33" s="18" t="n">
        <v>0</v>
      </c>
      <c r="L33" s="20" t="n">
        <v>0</v>
      </c>
      <c r="M33" s="18" t="n">
        <v>0</v>
      </c>
      <c r="N33" s="20" t="n">
        <v>0</v>
      </c>
      <c r="O33" s="18" t="n">
        <v>0</v>
      </c>
      <c r="P33" s="20" t="n">
        <v>0</v>
      </c>
      <c r="Q33" s="18" t="n">
        <v>1.30382566</v>
      </c>
      <c r="R33" s="20" t="n">
        <v>0.51899606</v>
      </c>
    </row>
    <row r="34" spans="1:18">
      <c r="A34" s="15" t="s">
        <v>456</v>
      </c>
      <c r="B34" s="17" t="n">
        <v>6350</v>
      </c>
      <c r="C34" s="18">
        <f>(5568.0/B34*100)</f>
        <v/>
      </c>
      <c r="D34" s="19" t="n">
        <v>782</v>
      </c>
      <c r="E34" s="18" t="n">
        <v>42.44186357</v>
      </c>
      <c r="F34" s="20" t="n">
        <v>2.03047583</v>
      </c>
      <c r="G34" s="18" t="n">
        <v>55.65652617</v>
      </c>
      <c r="H34" s="20" t="n">
        <v>2.04634869</v>
      </c>
      <c r="I34" s="18" t="n">
        <v>0</v>
      </c>
      <c r="J34" s="20" t="n">
        <v>0</v>
      </c>
      <c r="K34" s="18" t="n">
        <v>0.09651052</v>
      </c>
      <c r="L34" s="20" t="n">
        <v>0.09681284</v>
      </c>
      <c r="M34" s="18" t="n">
        <v>0</v>
      </c>
      <c r="N34" s="20" t="n">
        <v>0</v>
      </c>
      <c r="O34" s="18" t="n">
        <v>0</v>
      </c>
      <c r="P34" s="20" t="n">
        <v>0</v>
      </c>
      <c r="Q34" s="18" t="n">
        <v>1.80509974</v>
      </c>
      <c r="R34" s="20" t="n">
        <v>0.56971052</v>
      </c>
    </row>
    <row r="35" spans="1:18">
      <c r="A35" s="15" t="s">
        <v>457</v>
      </c>
      <c r="B35" s="17" t="n">
        <v>6406</v>
      </c>
      <c r="C35" s="18">
        <f>(5612.0/B35*100)</f>
        <v/>
      </c>
      <c r="D35" s="19" t="n">
        <v>794</v>
      </c>
      <c r="E35" s="18" t="n">
        <v>30.23104943</v>
      </c>
      <c r="F35" s="20" t="n">
        <v>1.70928168</v>
      </c>
      <c r="G35" s="18" t="n">
        <v>68.22919557</v>
      </c>
      <c r="H35" s="20" t="n">
        <v>1.77635537</v>
      </c>
      <c r="I35" s="18" t="n">
        <v>0</v>
      </c>
      <c r="J35" s="20" t="n">
        <v>0</v>
      </c>
      <c r="K35" s="18" t="n">
        <v>0.06735104</v>
      </c>
      <c r="L35" s="20" t="n">
        <v>0.06721689</v>
      </c>
      <c r="M35" s="18" t="n">
        <v>0</v>
      </c>
      <c r="N35" s="20" t="n">
        <v>0</v>
      </c>
      <c r="O35" s="18" t="n">
        <v>0</v>
      </c>
      <c r="P35" s="20" t="n">
        <v>0</v>
      </c>
      <c r="Q35" s="18" t="n">
        <v>1.47240396</v>
      </c>
      <c r="R35" s="20" t="n">
        <v>0.36898303</v>
      </c>
    </row>
    <row r="36" spans="1:18">
      <c r="A36" s="15" t="s">
        <v>458</v>
      </c>
      <c r="B36" s="17" t="n">
        <v>6736</v>
      </c>
      <c r="C36" s="18">
        <f>(5915.0/B36*100)</f>
        <v/>
      </c>
      <c r="D36" s="19" t="n">
        <v>821</v>
      </c>
      <c r="E36" s="18" t="n">
        <v>36.03549907</v>
      </c>
      <c r="F36" s="20" t="n">
        <v>1.73440871</v>
      </c>
      <c r="G36" s="18" t="n">
        <v>63.00465588</v>
      </c>
      <c r="H36" s="20" t="n">
        <v>1.74196273</v>
      </c>
      <c r="I36" s="18" t="n">
        <v>0</v>
      </c>
      <c r="J36" s="20" t="n">
        <v>0</v>
      </c>
      <c r="K36" s="18" t="n">
        <v>0</v>
      </c>
      <c r="L36" s="20" t="n">
        <v>0</v>
      </c>
      <c r="M36" s="18" t="n">
        <v>0</v>
      </c>
      <c r="N36" s="20" t="n">
        <v>0</v>
      </c>
      <c r="O36" s="18" t="n">
        <v>0</v>
      </c>
      <c r="P36" s="20" t="n">
        <v>0</v>
      </c>
      <c r="Q36" s="18" t="n">
        <v>0.95984505</v>
      </c>
      <c r="R36" s="20" t="n">
        <v>0.35520595</v>
      </c>
    </row>
    <row r="37" spans="1:18">
      <c r="A37" s="15" t="s">
        <v>459</v>
      </c>
      <c r="B37" s="17" t="n">
        <v>5458</v>
      </c>
      <c r="C37" s="18">
        <f>(4786.0/B37*100)</f>
        <v/>
      </c>
      <c r="D37" s="19" t="n">
        <v>672</v>
      </c>
      <c r="E37" s="18" t="n">
        <v>30.14028506</v>
      </c>
      <c r="F37" s="20" t="n">
        <v>1.98343631</v>
      </c>
      <c r="G37" s="18" t="n">
        <v>67.30382897</v>
      </c>
      <c r="H37" s="20" t="n">
        <v>2.01870363</v>
      </c>
      <c r="I37" s="18" t="n">
        <v>0</v>
      </c>
      <c r="J37" s="20" t="n">
        <v>0</v>
      </c>
      <c r="K37" s="18" t="n">
        <v>0.17702528</v>
      </c>
      <c r="L37" s="20" t="n">
        <v>0.17563032</v>
      </c>
      <c r="M37" s="18" t="n">
        <v>0</v>
      </c>
      <c r="N37" s="20" t="n">
        <v>0</v>
      </c>
      <c r="O37" s="18" t="n">
        <v>0</v>
      </c>
      <c r="P37" s="20" t="n">
        <v>0</v>
      </c>
      <c r="Q37" s="18" t="n">
        <v>2.37886069</v>
      </c>
      <c r="R37" s="20" t="n">
        <v>0.63881157</v>
      </c>
    </row>
    <row r="38" spans="1:18">
      <c r="A38" s="15" t="s">
        <v>460</v>
      </c>
      <c r="B38" s="17" t="n">
        <v>5860</v>
      </c>
      <c r="C38" s="18">
        <f>(4879.0/B38*100)</f>
        <v/>
      </c>
      <c r="D38" s="19" t="n">
        <v>981</v>
      </c>
      <c r="E38" s="18" t="n">
        <v>37.09486663</v>
      </c>
      <c r="F38" s="20" t="n">
        <v>1.75354196</v>
      </c>
      <c r="G38" s="18" t="n">
        <v>61.36531809</v>
      </c>
      <c r="H38" s="20" t="n">
        <v>1.71005638</v>
      </c>
      <c r="I38" s="18" t="n">
        <v>0</v>
      </c>
      <c r="J38" s="20" t="n">
        <v>0</v>
      </c>
      <c r="K38" s="18" t="n">
        <v>0.09832546</v>
      </c>
      <c r="L38" s="20" t="n">
        <v>0.09873393</v>
      </c>
      <c r="M38" s="18" t="n">
        <v>0</v>
      </c>
      <c r="N38" s="20" t="n">
        <v>0</v>
      </c>
      <c r="O38" s="18" t="n">
        <v>0</v>
      </c>
      <c r="P38" s="20" t="n">
        <v>0</v>
      </c>
      <c r="Q38" s="18" t="n">
        <v>1.44148982</v>
      </c>
      <c r="R38" s="20" t="n">
        <v>0.37763114</v>
      </c>
    </row>
    <row r="39" spans="1:18">
      <c r="A39" s="15" t="s">
        <v>461</v>
      </c>
      <c r="B39" s="17" t="n">
        <v>5895</v>
      </c>
      <c r="C39" s="18">
        <f>(5157.0/B39*100)</f>
        <v/>
      </c>
      <c r="D39" s="19" t="n">
        <v>738</v>
      </c>
      <c r="E39" s="18" t="n">
        <v>53.8891527</v>
      </c>
      <c r="F39" s="20" t="n">
        <v>2.06010056</v>
      </c>
      <c r="G39" s="18" t="n">
        <v>43.6822776</v>
      </c>
      <c r="H39" s="20" t="n">
        <v>2.09701529</v>
      </c>
      <c r="I39" s="18" t="n">
        <v>0</v>
      </c>
      <c r="J39" s="20" t="n">
        <v>0</v>
      </c>
      <c r="K39" s="18" t="n">
        <v>0.15099617</v>
      </c>
      <c r="L39" s="20" t="n">
        <v>0.21478173</v>
      </c>
      <c r="M39" s="18" t="n">
        <v>0</v>
      </c>
      <c r="N39" s="20" t="n">
        <v>0</v>
      </c>
      <c r="O39" s="18" t="n">
        <v>0</v>
      </c>
      <c r="P39" s="20" t="n">
        <v>0</v>
      </c>
      <c r="Q39" s="18" t="n">
        <v>2.27757353</v>
      </c>
      <c r="R39" s="20" t="n">
        <v>0.44702482</v>
      </c>
    </row>
    <row r="40" spans="1:18">
      <c r="A40" s="15" t="s">
        <v>462</v>
      </c>
      <c r="B40" s="17" t="n">
        <v>14157</v>
      </c>
      <c r="C40" s="18">
        <f>(12374.0/B40*100)</f>
        <v/>
      </c>
      <c r="D40" s="19" t="n">
        <v>1783</v>
      </c>
      <c r="E40" s="18" t="n">
        <v>44.367712</v>
      </c>
      <c r="F40" s="20" t="n">
        <v>1.97146069</v>
      </c>
      <c r="G40" s="18" t="n">
        <v>53.91568461</v>
      </c>
      <c r="H40" s="20" t="n">
        <v>1.99380893</v>
      </c>
      <c r="I40" s="18" t="n">
        <v>0</v>
      </c>
      <c r="J40" s="20" t="n">
        <v>0</v>
      </c>
      <c r="K40" s="18" t="n">
        <v>0.02406381</v>
      </c>
      <c r="L40" s="20" t="n">
        <v>0.02000421</v>
      </c>
      <c r="M40" s="18" t="n">
        <v>0</v>
      </c>
      <c r="N40" s="20" t="n">
        <v>0</v>
      </c>
      <c r="O40" s="18" t="n">
        <v>0</v>
      </c>
      <c r="P40" s="20" t="n">
        <v>0</v>
      </c>
      <c r="Q40" s="18" t="n">
        <v>1.69253959</v>
      </c>
      <c r="R40" s="20" t="n">
        <v>0.51452553</v>
      </c>
    </row>
    <row r="41" spans="1:18">
      <c r="A41" s="15" t="s">
        <v>463</v>
      </c>
      <c r="B41" s="17" t="n">
        <v>5712</v>
      </c>
      <c r="C41" s="18">
        <f>(5031.0/B41*100)</f>
        <v/>
      </c>
      <c r="D41" s="19" t="n">
        <v>681</v>
      </c>
      <c r="E41" s="18" t="n">
        <v>46.82139573</v>
      </c>
      <c r="F41" s="20" t="n">
        <v>2.20614571</v>
      </c>
      <c r="G41" s="18" t="n">
        <v>52.81497369</v>
      </c>
      <c r="H41" s="20" t="n">
        <v>2.25989946</v>
      </c>
      <c r="I41" s="18" t="n">
        <v>0</v>
      </c>
      <c r="J41" s="20" t="n">
        <v>0</v>
      </c>
      <c r="K41" s="18" t="n">
        <v>0</v>
      </c>
      <c r="L41" s="20" t="n">
        <v>0</v>
      </c>
      <c r="M41" s="18" t="n">
        <v>0</v>
      </c>
      <c r="N41" s="20" t="n">
        <v>0</v>
      </c>
      <c r="O41" s="18" t="n">
        <v>0</v>
      </c>
      <c r="P41" s="20" t="n">
        <v>0</v>
      </c>
      <c r="Q41" s="18" t="n">
        <v>0.36363058</v>
      </c>
      <c r="R41" s="20" t="n">
        <v>0.24057928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(8629.0/B48*100)</f>
        <v/>
      </c>
      <c r="D48" s="19" t="n">
        <v>1212</v>
      </c>
      <c r="E48" s="18" t="n">
        <v>42.4310474</v>
      </c>
      <c r="F48" s="20" t="n">
        <v>2.1745402</v>
      </c>
      <c r="G48" s="18" t="n">
        <v>55.54632832</v>
      </c>
      <c r="H48" s="20" t="n">
        <v>2.1921131</v>
      </c>
      <c r="I48" s="18" t="n">
        <v>0</v>
      </c>
      <c r="J48" s="20" t="n">
        <v>0</v>
      </c>
      <c r="K48" s="18" t="n">
        <v>0.29131179</v>
      </c>
      <c r="L48" s="20" t="n">
        <v>0.25334254</v>
      </c>
      <c r="M48" s="18" t="n">
        <v>0</v>
      </c>
      <c r="N48" s="20" t="n">
        <v>0</v>
      </c>
      <c r="O48" s="18" t="n">
        <v>0</v>
      </c>
      <c r="P48" s="20" t="n">
        <v>0</v>
      </c>
      <c r="Q48" s="18" t="n">
        <v>1.73131249</v>
      </c>
      <c r="R48" s="20" t="n">
        <v>0.44348025</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(5083.0/B51*100)</f>
        <v/>
      </c>
      <c r="D51" s="19" t="n">
        <v>726</v>
      </c>
      <c r="E51" s="18" t="n">
        <v>36.41702595</v>
      </c>
      <c r="F51" s="20" t="n">
        <v>1.9291113</v>
      </c>
      <c r="G51" s="18" t="n">
        <v>61.83844235</v>
      </c>
      <c r="H51" s="20" t="n">
        <v>1.95060766</v>
      </c>
      <c r="I51" s="18" t="n">
        <v>0</v>
      </c>
      <c r="J51" s="20" t="n">
        <v>0</v>
      </c>
      <c r="K51" s="18" t="n">
        <v>0</v>
      </c>
      <c r="L51" s="20" t="n">
        <v>0</v>
      </c>
      <c r="M51" s="18" t="n">
        <v>0</v>
      </c>
      <c r="N51" s="20" t="n">
        <v>0</v>
      </c>
      <c r="O51" s="18" t="n">
        <v>0</v>
      </c>
      <c r="P51" s="20" t="n">
        <v>0</v>
      </c>
      <c r="Q51" s="18" t="n">
        <v>1.7445317</v>
      </c>
      <c r="R51" s="20" t="n">
        <v>0.5404858</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36.18835325</v>
      </c>
      <c r="F55" s="20" t="n">
        <v>1.95208302</v>
      </c>
      <c r="G55" s="18" t="n">
        <v>61.81145894</v>
      </c>
      <c r="H55" s="20" t="n">
        <v>1.97407129</v>
      </c>
      <c r="I55" s="18" t="n">
        <v>0</v>
      </c>
      <c r="J55" s="20" t="n">
        <v>0</v>
      </c>
      <c r="K55" s="18" t="n">
        <v>0.43320348</v>
      </c>
      <c r="L55" s="20" t="n">
        <v>0.32024206</v>
      </c>
      <c r="M55" s="18" t="n">
        <v>0</v>
      </c>
      <c r="N55" s="20" t="n">
        <v>0</v>
      </c>
      <c r="O55" s="18" t="n">
        <v>0</v>
      </c>
      <c r="P55" s="20" t="n">
        <v>0</v>
      </c>
      <c r="Q55" s="18" t="n">
        <v>1.56698433</v>
      </c>
      <c r="R55" s="20" t="n">
        <v>0.59291441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(5677.0/B61*100)</f>
        <v/>
      </c>
      <c r="D61" s="19" t="n">
        <v>848</v>
      </c>
      <c r="E61" s="18" t="n">
        <v>44.0315445</v>
      </c>
      <c r="F61" s="20" t="n">
        <v>1.84797025</v>
      </c>
      <c r="G61" s="18" t="n">
        <v>54.38818585</v>
      </c>
      <c r="H61" s="20" t="n">
        <v>1.84017184</v>
      </c>
      <c r="I61" s="18" t="n">
        <v>0</v>
      </c>
      <c r="J61" s="20" t="n">
        <v>0</v>
      </c>
      <c r="K61" s="18" t="n">
        <v>0.18269893</v>
      </c>
      <c r="L61" s="20" t="n">
        <v>0.1579156</v>
      </c>
      <c r="M61" s="18" t="n">
        <v>0</v>
      </c>
      <c r="N61" s="20" t="n">
        <v>0</v>
      </c>
      <c r="O61" s="18" t="n">
        <v>0</v>
      </c>
      <c r="P61" s="20" t="n">
        <v>0</v>
      </c>
      <c r="Q61" s="18" t="n">
        <v>1.39757072</v>
      </c>
      <c r="R61" s="20" t="n">
        <v>0.50751865</v>
      </c>
    </row>
    <row r="62" spans="1:18">
      <c r="A62" s="15" t="s">
        <v>486</v>
      </c>
      <c r="B62" s="17" t="n">
        <v>4476</v>
      </c>
      <c r="C62" s="18">
        <f>(3923.0/B62*100)</f>
        <v/>
      </c>
      <c r="D62" s="19" t="n">
        <v>553</v>
      </c>
      <c r="E62" s="18" t="n">
        <v>35.82886935</v>
      </c>
      <c r="F62" s="20" t="n">
        <v>1.94380028</v>
      </c>
      <c r="G62" s="18" t="n">
        <v>63.08324575</v>
      </c>
      <c r="H62" s="20" t="n">
        <v>1.94504838</v>
      </c>
      <c r="I62" s="18" t="n">
        <v>0</v>
      </c>
      <c r="J62" s="20" t="n">
        <v>0</v>
      </c>
      <c r="K62" s="18" t="n">
        <v>0.18576119</v>
      </c>
      <c r="L62" s="20" t="n">
        <v>0.18528316</v>
      </c>
      <c r="M62" s="18" t="n">
        <v>0</v>
      </c>
      <c r="N62" s="20" t="n">
        <v>0</v>
      </c>
      <c r="O62" s="18" t="n">
        <v>0</v>
      </c>
      <c r="P62" s="20" t="n">
        <v>0</v>
      </c>
      <c r="Q62" s="18" t="n">
        <v>0.90212371</v>
      </c>
      <c r="R62" s="20" t="n">
        <v>0.40791121</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(4994.0/B67*100)</f>
        <v/>
      </c>
      <c r="D67" s="19" t="n">
        <v>671</v>
      </c>
      <c r="E67" s="18" t="n">
        <v>47.71542519</v>
      </c>
      <c r="F67" s="20" t="n">
        <v>1.9951496</v>
      </c>
      <c r="G67" s="18" t="n">
        <v>46.7627231</v>
      </c>
      <c r="H67" s="20" t="n">
        <v>1.89798811</v>
      </c>
      <c r="I67" s="18" t="n">
        <v>0</v>
      </c>
      <c r="J67" s="20" t="n">
        <v>0</v>
      </c>
      <c r="K67" s="18" t="n">
        <v>0.70526954</v>
      </c>
      <c r="L67" s="20" t="n">
        <v>0.31821482</v>
      </c>
      <c r="M67" s="18" t="n">
        <v>0</v>
      </c>
      <c r="N67" s="20" t="n">
        <v>0</v>
      </c>
      <c r="O67" s="18" t="n">
        <v>0</v>
      </c>
      <c r="P67" s="20" t="n">
        <v>0</v>
      </c>
      <c r="Q67" s="18" t="n">
        <v>4.81658217</v>
      </c>
      <c r="R67" s="20" t="n">
        <v>0.81589835</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(5308.0/B72*100)</f>
        <v/>
      </c>
      <c r="D72" s="19" t="n">
        <v>728</v>
      </c>
      <c r="E72" s="18" t="n">
        <v>33.08827899</v>
      </c>
      <c r="F72" s="20" t="n">
        <v>2.31175151</v>
      </c>
      <c r="G72" s="18" t="n">
        <v>64.56142462</v>
      </c>
      <c r="H72" s="20" t="n">
        <v>2.55911964</v>
      </c>
      <c r="I72" s="18" t="n">
        <v>0</v>
      </c>
      <c r="J72" s="20" t="n">
        <v>0</v>
      </c>
      <c r="K72" s="18" t="n">
        <v>0.1144432</v>
      </c>
      <c r="L72" s="20" t="n">
        <v>0.1618503</v>
      </c>
      <c r="M72" s="18" t="n">
        <v>0</v>
      </c>
      <c r="N72" s="20" t="n">
        <v>0</v>
      </c>
      <c r="O72" s="18" t="n">
        <v>0</v>
      </c>
      <c r="P72" s="20" t="n">
        <v>0</v>
      </c>
      <c r="Q72" s="18" t="n">
        <v>2.2358532</v>
      </c>
      <c r="R72" s="20" t="n">
        <v>0.69217217</v>
      </c>
    </row>
    <row r="73" spans="1:18">
      <c r="A73" s="15" t="s">
        <v>497</v>
      </c>
      <c r="B73" s="17" t="n">
        <v>6115</v>
      </c>
      <c r="C73" s="18">
        <f>(5346.0/B73*100)</f>
        <v/>
      </c>
      <c r="D73" s="19" t="n">
        <v>769</v>
      </c>
      <c r="E73" s="18" t="n">
        <v>38.65318734</v>
      </c>
      <c r="F73" s="20" t="n">
        <v>1.74649391</v>
      </c>
      <c r="G73" s="18" t="n">
        <v>60.05529064</v>
      </c>
      <c r="H73" s="20" t="n">
        <v>1.80582233</v>
      </c>
      <c r="I73" s="18" t="n">
        <v>0</v>
      </c>
      <c r="J73" s="20" t="n">
        <v>0</v>
      </c>
      <c r="K73" s="18" t="n">
        <v>0.53615832</v>
      </c>
      <c r="L73" s="20" t="n">
        <v>0.17501433</v>
      </c>
      <c r="M73" s="18" t="n">
        <v>0</v>
      </c>
      <c r="N73" s="20" t="n">
        <v>0</v>
      </c>
      <c r="O73" s="18" t="n">
        <v>0</v>
      </c>
      <c r="P73" s="20" t="n">
        <v>0</v>
      </c>
      <c r="Q73" s="18" t="n">
        <v>0.75536369</v>
      </c>
      <c r="R73" s="20" t="n">
        <v>0.31885683</v>
      </c>
    </row>
    <row r="74" spans="1:18">
      <c r="A74" s="15" t="s">
        <v>498</v>
      </c>
      <c r="B74" s="17" t="n">
        <v>7708</v>
      </c>
      <c r="C74" s="18">
        <f>(6749.0/B74*100)</f>
        <v/>
      </c>
      <c r="D74" s="19" t="n">
        <v>959</v>
      </c>
      <c r="E74" s="18" t="n">
        <v>41.80394282</v>
      </c>
      <c r="F74" s="20" t="n">
        <v>1.51525516</v>
      </c>
      <c r="G74" s="18" t="n">
        <v>56.99827307</v>
      </c>
      <c r="H74" s="20" t="n">
        <v>1.50211168</v>
      </c>
      <c r="I74" s="18" t="n">
        <v>0</v>
      </c>
      <c r="J74" s="20" t="n">
        <v>0</v>
      </c>
      <c r="K74" s="18" t="n">
        <v>0.2634154</v>
      </c>
      <c r="L74" s="20" t="n">
        <v>0.14042673</v>
      </c>
      <c r="M74" s="18" t="n">
        <v>0</v>
      </c>
      <c r="N74" s="20" t="n">
        <v>0</v>
      </c>
      <c r="O74" s="18" t="n">
        <v>0</v>
      </c>
      <c r="P74" s="20" t="n">
        <v>0</v>
      </c>
      <c r="Q74" s="18" t="n">
        <v>0.93436871</v>
      </c>
      <c r="R74" s="20" t="n">
        <v>0.31824289</v>
      </c>
    </row>
    <row r="75" spans="1:18">
      <c r="A75" s="15" t="s">
        <v>499</v>
      </c>
      <c r="B75" s="17" t="n">
        <v>8249</v>
      </c>
      <c r="C75" s="18">
        <f>(7241.0/B75*100)</f>
        <v/>
      </c>
      <c r="D75" s="19" t="n">
        <v>1008</v>
      </c>
      <c r="E75" s="18" t="n">
        <v>63.46112911</v>
      </c>
      <c r="F75" s="20" t="n">
        <v>1.87238207</v>
      </c>
      <c r="G75" s="18" t="n">
        <v>34.86045966</v>
      </c>
      <c r="H75" s="20" t="n">
        <v>1.97125158</v>
      </c>
      <c r="I75" s="18" t="n">
        <v>0</v>
      </c>
      <c r="J75" s="20" t="n">
        <v>0</v>
      </c>
      <c r="K75" s="18" t="n">
        <v>0</v>
      </c>
      <c r="L75" s="20" t="n">
        <v>0</v>
      </c>
      <c r="M75" s="18" t="n">
        <v>0</v>
      </c>
      <c r="N75" s="20" t="n">
        <v>0</v>
      </c>
      <c r="O75" s="18" t="n">
        <v>0</v>
      </c>
      <c r="P75" s="20" t="n">
        <v>0</v>
      </c>
      <c r="Q75" s="18" t="n">
        <v>1.67841123</v>
      </c>
      <c r="R75" s="20" t="n">
        <v>0.52596985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(28400.0/B82*100)</f>
        <v/>
      </c>
      <c r="D82" s="19" t="n">
        <v>3930</v>
      </c>
      <c r="E82" s="18" t="n">
        <v>35.52196565</v>
      </c>
      <c r="F82" s="20" t="n">
        <v>1.22645031</v>
      </c>
      <c r="G82" s="18" t="n">
        <v>63.27536117</v>
      </c>
      <c r="H82" s="20" t="n">
        <v>1.20843101</v>
      </c>
      <c r="I82" s="18" t="n">
        <v>0</v>
      </c>
      <c r="J82" s="20" t="n">
        <v>0</v>
      </c>
      <c r="K82" s="18" t="n">
        <v>0.05151063</v>
      </c>
      <c r="L82" s="20" t="n">
        <v>0.02749963</v>
      </c>
      <c r="M82" s="18" t="n">
        <v>0</v>
      </c>
      <c r="N82" s="20" t="n">
        <v>0</v>
      </c>
      <c r="O82" s="18" t="n">
        <v>0</v>
      </c>
      <c r="P82" s="20" t="n">
        <v>0</v>
      </c>
      <c r="Q82" s="18" t="n">
        <v>1.15116255</v>
      </c>
      <c r="R82" s="20" t="n">
        <v>0.21514863</v>
      </c>
    </row>
    <row r="83" spans="1:18">
      <c r="A83" s="15" t="s">
        <v>507</v>
      </c>
      <c r="B83" s="17" t="n">
        <v>1652</v>
      </c>
      <c r="C83" s="18">
        <f>(1465.0/B83*100)</f>
        <v/>
      </c>
      <c r="D83" s="19" t="n">
        <v>187</v>
      </c>
      <c r="E83" s="18" t="n">
        <v>32.25550029</v>
      </c>
      <c r="F83" s="20" t="n">
        <v>3.74641222</v>
      </c>
      <c r="G83" s="18" t="n">
        <v>66.78223269999999</v>
      </c>
      <c r="H83" s="20" t="n">
        <v>3.74049391</v>
      </c>
      <c r="I83" s="18" t="n">
        <v>0</v>
      </c>
      <c r="J83" s="20" t="n">
        <v>0</v>
      </c>
      <c r="K83" s="18" t="n">
        <v>0</v>
      </c>
      <c r="L83" s="20" t="n">
        <v>0</v>
      </c>
      <c r="M83" s="18" t="n">
        <v>0</v>
      </c>
      <c r="N83" s="20" t="n">
        <v>0</v>
      </c>
      <c r="O83" s="18" t="n">
        <v>0</v>
      </c>
      <c r="P83" s="20" t="n">
        <v>0</v>
      </c>
      <c r="Q83" s="18" t="n">
        <v>0.96226701</v>
      </c>
      <c r="R83" s="20" t="n">
        <v>0.6742616299999999</v>
      </c>
    </row>
    <row r="84" spans="1:18">
      <c r="A84" s="23" t="s">
        <v>508</v>
      </c>
      <c r="B84" s="24" t="n">
        <v>1887</v>
      </c>
      <c r="C84" s="25">
        <f>(1656.0/B84*100)</f>
        <v/>
      </c>
      <c r="D84" s="19" t="n">
        <v>231</v>
      </c>
      <c r="E84" s="18" t="n">
        <v>44.06038707</v>
      </c>
      <c r="F84" s="20" t="n">
        <v>3.39106852</v>
      </c>
      <c r="G84" s="18" t="n">
        <v>55.05171481</v>
      </c>
      <c r="H84" s="20" t="n">
        <v>3.39903339</v>
      </c>
      <c r="I84" s="18" t="n">
        <v>0</v>
      </c>
      <c r="J84" s="20" t="n">
        <v>0</v>
      </c>
      <c r="K84" s="18" t="n">
        <v>0</v>
      </c>
      <c r="L84" s="20" t="n">
        <v>0</v>
      </c>
      <c r="M84" s="18" t="n">
        <v>0</v>
      </c>
      <c r="N84" s="20" t="n">
        <v>0</v>
      </c>
      <c r="O84" s="18" t="n">
        <v>0</v>
      </c>
      <c r="P84" s="20" t="n">
        <v>0</v>
      </c>
      <c r="Q84" s="18" t="n">
        <v>0.88789812</v>
      </c>
      <c r="R84" s="20" t="n">
        <v>0.60537525</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(12699.0/B7*100)</f>
        <v/>
      </c>
      <c r="D7" s="19" t="n">
        <v>1831</v>
      </c>
      <c r="E7" s="18" t="n">
        <v>16.56986782</v>
      </c>
      <c r="F7" s="20" t="n">
        <v>0.87202336</v>
      </c>
      <c r="G7" s="18" t="n">
        <v>80.59414554</v>
      </c>
      <c r="H7" s="20" t="n">
        <v>0.9124828</v>
      </c>
      <c r="I7" s="18" t="n">
        <v>0</v>
      </c>
      <c r="J7" s="20" t="n">
        <v>0</v>
      </c>
      <c r="K7" s="18" t="n">
        <v>0.07364606999999999</v>
      </c>
      <c r="L7" s="20" t="n">
        <v>0.04168504</v>
      </c>
      <c r="M7" s="18" t="n">
        <v>0</v>
      </c>
      <c r="N7" s="20" t="n">
        <v>0</v>
      </c>
      <c r="O7" s="18" t="n">
        <v>0</v>
      </c>
      <c r="P7" s="20" t="n">
        <v>0</v>
      </c>
      <c r="Q7" s="18" t="n">
        <v>2.76234057</v>
      </c>
      <c r="R7" s="20" t="n">
        <v>0.40677335</v>
      </c>
    </row>
    <row r="8" spans="1:18">
      <c r="A8" s="15" t="s">
        <v>430</v>
      </c>
      <c r="B8" s="17" t="n">
        <v>7007</v>
      </c>
      <c r="C8" s="18">
        <f>(6154.0/B8*100)</f>
        <v/>
      </c>
      <c r="D8" s="19" t="n">
        <v>853</v>
      </c>
      <c r="E8" s="18" t="n">
        <v>23.26851509</v>
      </c>
      <c r="F8" s="20" t="n">
        <v>1.50426362</v>
      </c>
      <c r="G8" s="18" t="n">
        <v>74.6058665</v>
      </c>
      <c r="H8" s="20" t="n">
        <v>1.61477865</v>
      </c>
      <c r="I8" s="18" t="n">
        <v>0</v>
      </c>
      <c r="J8" s="20" t="n">
        <v>0</v>
      </c>
      <c r="K8" s="18" t="n">
        <v>0</v>
      </c>
      <c r="L8" s="20" t="n">
        <v>0</v>
      </c>
      <c r="M8" s="18" t="n">
        <v>0</v>
      </c>
      <c r="N8" s="20" t="n">
        <v>0</v>
      </c>
      <c r="O8" s="18" t="n">
        <v>0</v>
      </c>
      <c r="P8" s="20" t="n">
        <v>0</v>
      </c>
      <c r="Q8" s="18" t="n">
        <v>2.12561841</v>
      </c>
      <c r="R8" s="20" t="n">
        <v>0.60467895</v>
      </c>
    </row>
    <row r="9" spans="1:18">
      <c r="A9" s="15" t="s">
        <v>431</v>
      </c>
      <c r="B9" s="17" t="n">
        <v>9651</v>
      </c>
      <c r="C9" s="18">
        <f>(8472.0/B9*100)</f>
        <v/>
      </c>
      <c r="D9" s="19" t="n">
        <v>1179</v>
      </c>
      <c r="E9" s="18" t="n">
        <v>13.68553767</v>
      </c>
      <c r="F9" s="20" t="n">
        <v>1.02393998</v>
      </c>
      <c r="G9" s="18" t="n">
        <v>83.71774044999999</v>
      </c>
      <c r="H9" s="20" t="n">
        <v>1.21908055</v>
      </c>
      <c r="I9" s="18" t="n">
        <v>0</v>
      </c>
      <c r="J9" s="20" t="n">
        <v>0</v>
      </c>
      <c r="K9" s="18" t="n">
        <v>0.23081138</v>
      </c>
      <c r="L9" s="20" t="n">
        <v>0.16525748</v>
      </c>
      <c r="M9" s="18" t="n">
        <v>0</v>
      </c>
      <c r="N9" s="20" t="n">
        <v>0</v>
      </c>
      <c r="O9" s="18" t="n">
        <v>0</v>
      </c>
      <c r="P9" s="20" t="n">
        <v>0</v>
      </c>
      <c r="Q9" s="18" t="n">
        <v>2.36591051</v>
      </c>
      <c r="R9" s="20" t="n">
        <v>0.5433033900000001</v>
      </c>
    </row>
    <row r="10" spans="1:18">
      <c r="A10" s="15" t="s">
        <v>432</v>
      </c>
      <c r="B10" s="17" t="n">
        <v>20058</v>
      </c>
      <c r="C10" s="18">
        <f>(17625.0/B10*100)</f>
        <v/>
      </c>
      <c r="D10" s="19" t="n">
        <v>2433</v>
      </c>
      <c r="E10" s="18" t="n">
        <v>14.87203952</v>
      </c>
      <c r="F10" s="20" t="n">
        <v>1.10690223</v>
      </c>
      <c r="G10" s="18" t="n">
        <v>83.09741224</v>
      </c>
      <c r="H10" s="20" t="n">
        <v>1.16457608</v>
      </c>
      <c r="I10" s="18" t="n">
        <v>0</v>
      </c>
      <c r="J10" s="20" t="n">
        <v>0</v>
      </c>
      <c r="K10" s="18" t="n">
        <v>0.25834259</v>
      </c>
      <c r="L10" s="20" t="n">
        <v>0.16146537</v>
      </c>
      <c r="M10" s="18" t="n">
        <v>0</v>
      </c>
      <c r="N10" s="20" t="n">
        <v>0</v>
      </c>
      <c r="O10" s="18" t="n">
        <v>0</v>
      </c>
      <c r="P10" s="20" t="n">
        <v>0</v>
      </c>
      <c r="Q10" s="18" t="n">
        <v>1.77220564</v>
      </c>
      <c r="R10" s="20" t="n">
        <v>0.38526209</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(6057.0/B12*100)</f>
        <v/>
      </c>
      <c r="D12" s="19" t="n">
        <v>837</v>
      </c>
      <c r="E12" s="18" t="n">
        <v>17.53358334</v>
      </c>
      <c r="F12" s="20" t="n">
        <v>1.49130302</v>
      </c>
      <c r="G12" s="18" t="n">
        <v>81.40731861</v>
      </c>
      <c r="H12" s="20" t="n">
        <v>1.51876657</v>
      </c>
      <c r="I12" s="18" t="n">
        <v>0</v>
      </c>
      <c r="J12" s="20" t="n">
        <v>0</v>
      </c>
      <c r="K12" s="18" t="n">
        <v>0</v>
      </c>
      <c r="L12" s="20" t="n">
        <v>0</v>
      </c>
      <c r="M12" s="18" t="n">
        <v>0</v>
      </c>
      <c r="N12" s="20" t="n">
        <v>0</v>
      </c>
      <c r="O12" s="18" t="n">
        <v>0</v>
      </c>
      <c r="P12" s="20" t="n">
        <v>0</v>
      </c>
      <c r="Q12" s="18" t="n">
        <v>1.05909804</v>
      </c>
      <c r="R12" s="20" t="n">
        <v>0.30198283</v>
      </c>
    </row>
    <row r="13" spans="1:18">
      <c r="A13" s="15" t="s">
        <v>435</v>
      </c>
      <c r="B13" s="17" t="n">
        <v>7161</v>
      </c>
      <c r="C13" s="18">
        <f>(6322.0/B13*100)</f>
        <v/>
      </c>
      <c r="D13" s="19" t="n">
        <v>839</v>
      </c>
      <c r="E13" s="18" t="n">
        <v>15.91015625</v>
      </c>
      <c r="F13" s="20" t="n">
        <v>1.48347781</v>
      </c>
      <c r="G13" s="18" t="n">
        <v>82.69825655</v>
      </c>
      <c r="H13" s="20" t="n">
        <v>1.58791037</v>
      </c>
      <c r="I13" s="18" t="n">
        <v>0</v>
      </c>
      <c r="J13" s="20" t="n">
        <v>0</v>
      </c>
      <c r="K13" s="18" t="n">
        <v>0.38658582</v>
      </c>
      <c r="L13" s="20" t="n">
        <v>0.28270038</v>
      </c>
      <c r="M13" s="18" t="n">
        <v>0</v>
      </c>
      <c r="N13" s="20" t="n">
        <v>0</v>
      </c>
      <c r="O13" s="18" t="n">
        <v>0</v>
      </c>
      <c r="P13" s="20" t="n">
        <v>0</v>
      </c>
      <c r="Q13" s="18" t="n">
        <v>1.00500138</v>
      </c>
      <c r="R13" s="20" t="n">
        <v>0.39984881</v>
      </c>
    </row>
    <row r="14" spans="1:18">
      <c r="A14" s="15" t="s">
        <v>436</v>
      </c>
      <c r="B14" s="17" t="n">
        <v>5587</v>
      </c>
      <c r="C14" s="18">
        <f>(4891.0/B14*100)</f>
        <v/>
      </c>
      <c r="D14" s="19" t="n">
        <v>696</v>
      </c>
      <c r="E14" s="18" t="n">
        <v>12.09091956</v>
      </c>
      <c r="F14" s="20" t="n">
        <v>1.31169483</v>
      </c>
      <c r="G14" s="18" t="n">
        <v>87.57761800999999</v>
      </c>
      <c r="H14" s="20" t="n">
        <v>1.32666467</v>
      </c>
      <c r="I14" s="18" t="n">
        <v>0</v>
      </c>
      <c r="J14" s="20" t="n">
        <v>0</v>
      </c>
      <c r="K14" s="18" t="n">
        <v>0</v>
      </c>
      <c r="L14" s="20" t="n">
        <v>0</v>
      </c>
      <c r="M14" s="18" t="n">
        <v>0</v>
      </c>
      <c r="N14" s="20" t="n">
        <v>0</v>
      </c>
      <c r="O14" s="18" t="n">
        <v>0</v>
      </c>
      <c r="P14" s="20" t="n">
        <v>0</v>
      </c>
      <c r="Q14" s="18" t="n">
        <v>0.33146243</v>
      </c>
      <c r="R14" s="20" t="n">
        <v>0.19422144</v>
      </c>
    </row>
    <row r="15" spans="1:18">
      <c r="A15" s="15" t="s">
        <v>437</v>
      </c>
      <c r="B15" s="17" t="n">
        <v>5882</v>
      </c>
      <c r="C15" s="18">
        <f>(5157.0/B15*100)</f>
        <v/>
      </c>
      <c r="D15" s="19" t="n">
        <v>725</v>
      </c>
      <c r="E15" s="18" t="n">
        <v>24.3812572</v>
      </c>
      <c r="F15" s="20" t="n">
        <v>1.60762237</v>
      </c>
      <c r="G15" s="18" t="n">
        <v>73.4707106</v>
      </c>
      <c r="H15" s="20" t="n">
        <v>1.57997941</v>
      </c>
      <c r="I15" s="18" t="n">
        <v>0</v>
      </c>
      <c r="J15" s="20" t="n">
        <v>0</v>
      </c>
      <c r="K15" s="18" t="n">
        <v>0.54622801</v>
      </c>
      <c r="L15" s="20" t="n">
        <v>0.27154931</v>
      </c>
      <c r="M15" s="18" t="n">
        <v>0</v>
      </c>
      <c r="N15" s="20" t="n">
        <v>0</v>
      </c>
      <c r="O15" s="18" t="n">
        <v>0</v>
      </c>
      <c r="P15" s="20" t="n">
        <v>0</v>
      </c>
      <c r="Q15" s="18" t="n">
        <v>1.60180419</v>
      </c>
      <c r="R15" s="20" t="n">
        <v>0.50728087</v>
      </c>
    </row>
    <row r="16" spans="1:18">
      <c r="A16" s="15" t="s">
        <v>438</v>
      </c>
      <c r="B16" s="17" t="n">
        <v>6108</v>
      </c>
      <c r="C16" s="18">
        <f>(5353.0/B16*100)</f>
        <v/>
      </c>
      <c r="D16" s="19" t="n">
        <v>755</v>
      </c>
      <c r="E16" s="18" t="n">
        <v>15.98099337</v>
      </c>
      <c r="F16" s="20" t="n">
        <v>1.36135958</v>
      </c>
      <c r="G16" s="18" t="n">
        <v>80.77280325</v>
      </c>
      <c r="H16" s="20" t="n">
        <v>1.54098439</v>
      </c>
      <c r="I16" s="18" t="n">
        <v>0</v>
      </c>
      <c r="J16" s="20" t="n">
        <v>0</v>
      </c>
      <c r="K16" s="18" t="n">
        <v>0.46528148</v>
      </c>
      <c r="L16" s="20" t="n">
        <v>0.27085142</v>
      </c>
      <c r="M16" s="18" t="n">
        <v>0</v>
      </c>
      <c r="N16" s="20" t="n">
        <v>0</v>
      </c>
      <c r="O16" s="18" t="n">
        <v>0</v>
      </c>
      <c r="P16" s="20" t="n">
        <v>0</v>
      </c>
      <c r="Q16" s="18" t="n">
        <v>2.78092191</v>
      </c>
      <c r="R16" s="20" t="n">
        <v>0.562652</v>
      </c>
    </row>
    <row r="17" spans="1:18">
      <c r="A17" s="15" t="s">
        <v>439</v>
      </c>
      <c r="B17" s="17" t="n">
        <v>6504</v>
      </c>
      <c r="C17" s="18">
        <f>(5708.0/B17*100)</f>
        <v/>
      </c>
      <c r="D17" s="19" t="n">
        <v>796</v>
      </c>
      <c r="E17" s="18" t="n">
        <v>22.36276382</v>
      </c>
      <c r="F17" s="20" t="n">
        <v>1.56282638</v>
      </c>
      <c r="G17" s="18" t="n">
        <v>75.37368503</v>
      </c>
      <c r="H17" s="20" t="n">
        <v>1.55194235</v>
      </c>
      <c r="I17" s="18" t="n">
        <v>0</v>
      </c>
      <c r="J17" s="20" t="n">
        <v>0</v>
      </c>
      <c r="K17" s="18" t="n">
        <v>0.15635</v>
      </c>
      <c r="L17" s="20" t="n">
        <v>0.15143033</v>
      </c>
      <c r="M17" s="18" t="n">
        <v>0</v>
      </c>
      <c r="N17" s="20" t="n">
        <v>0</v>
      </c>
      <c r="O17" s="18" t="n">
        <v>0</v>
      </c>
      <c r="P17" s="20" t="n">
        <v>0</v>
      </c>
      <c r="Q17" s="18" t="n">
        <v>2.10720116</v>
      </c>
      <c r="R17" s="20" t="n">
        <v>0.47481181</v>
      </c>
    </row>
    <row r="18" spans="1:18">
      <c r="A18" s="15" t="s">
        <v>440</v>
      </c>
      <c r="B18" s="17" t="n">
        <v>5532</v>
      </c>
      <c r="C18" s="18">
        <f>(4854.0/B18*100)</f>
        <v/>
      </c>
      <c r="D18" s="19" t="n">
        <v>678</v>
      </c>
      <c r="E18" s="18" t="n">
        <v>25.62570865</v>
      </c>
      <c r="F18" s="20" t="n">
        <v>1.84814921</v>
      </c>
      <c r="G18" s="18" t="n">
        <v>69.64252077</v>
      </c>
      <c r="H18" s="20" t="n">
        <v>2.0297475</v>
      </c>
      <c r="I18" s="18" t="n">
        <v>0</v>
      </c>
      <c r="J18" s="20" t="n">
        <v>0</v>
      </c>
      <c r="K18" s="18" t="n">
        <v>0.12198341</v>
      </c>
      <c r="L18" s="20" t="n">
        <v>0.12062493</v>
      </c>
      <c r="M18" s="18" t="n">
        <v>0</v>
      </c>
      <c r="N18" s="20" t="n">
        <v>0</v>
      </c>
      <c r="O18" s="18" t="n">
        <v>0</v>
      </c>
      <c r="P18" s="20" t="n">
        <v>0</v>
      </c>
      <c r="Q18" s="18" t="n">
        <v>4.60978717</v>
      </c>
      <c r="R18" s="20" t="n">
        <v>1.09669502</v>
      </c>
    </row>
    <row r="19" spans="1:18">
      <c r="A19" s="15" t="s">
        <v>441</v>
      </c>
      <c r="B19" s="17" t="n">
        <v>5658</v>
      </c>
      <c r="C19" s="18">
        <f>(4971.0/B19*100)</f>
        <v/>
      </c>
      <c r="D19" s="19" t="n">
        <v>687</v>
      </c>
      <c r="E19" s="18" t="n">
        <v>24.48461825</v>
      </c>
      <c r="F19" s="20" t="n">
        <v>1.68711366</v>
      </c>
      <c r="G19" s="18" t="n">
        <v>73.08757556</v>
      </c>
      <c r="H19" s="20" t="n">
        <v>1.81077362</v>
      </c>
      <c r="I19" s="18" t="n">
        <v>0</v>
      </c>
      <c r="J19" s="20" t="n">
        <v>0</v>
      </c>
      <c r="K19" s="18" t="n">
        <v>0</v>
      </c>
      <c r="L19" s="20" t="n">
        <v>0</v>
      </c>
      <c r="M19" s="18" t="n">
        <v>0</v>
      </c>
      <c r="N19" s="20" t="n">
        <v>0</v>
      </c>
      <c r="O19" s="18" t="n">
        <v>0</v>
      </c>
      <c r="P19" s="20" t="n">
        <v>0</v>
      </c>
      <c r="Q19" s="18" t="n">
        <v>2.4278062</v>
      </c>
      <c r="R19" s="20" t="n">
        <v>0.74401116</v>
      </c>
    </row>
    <row r="20" spans="1:18">
      <c r="A20" s="15" t="s">
        <v>442</v>
      </c>
      <c r="B20" s="17" t="n">
        <v>3371</v>
      </c>
      <c r="C20" s="18">
        <f>(2967.0/B20*100)</f>
        <v/>
      </c>
      <c r="D20" s="19" t="n">
        <v>404</v>
      </c>
      <c r="E20" s="18" t="n">
        <v>21.80092798</v>
      </c>
      <c r="F20" s="20" t="n">
        <v>2.14438659</v>
      </c>
      <c r="G20" s="18" t="n">
        <v>76.11761635000001</v>
      </c>
      <c r="H20" s="20" t="n">
        <v>2.20363926</v>
      </c>
      <c r="I20" s="18" t="n">
        <v>0</v>
      </c>
      <c r="J20" s="20" t="n">
        <v>0</v>
      </c>
      <c r="K20" s="18" t="n">
        <v>0.2349491</v>
      </c>
      <c r="L20" s="20" t="n">
        <v>0.23678279</v>
      </c>
      <c r="M20" s="18" t="n">
        <v>0</v>
      </c>
      <c r="N20" s="20" t="n">
        <v>0</v>
      </c>
      <c r="O20" s="18" t="n">
        <v>0</v>
      </c>
      <c r="P20" s="20" t="n">
        <v>0</v>
      </c>
      <c r="Q20" s="18" t="n">
        <v>1.84650656</v>
      </c>
      <c r="R20" s="20" t="n">
        <v>0.5423348099999999</v>
      </c>
    </row>
    <row r="21" spans="1:18">
      <c r="A21" s="15" t="s">
        <v>443</v>
      </c>
      <c r="B21" s="17" t="n">
        <v>5741</v>
      </c>
      <c r="C21" s="18">
        <f>(4792.0/B21*100)</f>
        <v/>
      </c>
      <c r="D21" s="19" t="n">
        <v>949</v>
      </c>
      <c r="E21" s="18" t="n">
        <v>16.04463638</v>
      </c>
      <c r="F21" s="20" t="n">
        <v>1.21116232</v>
      </c>
      <c r="G21" s="18" t="n">
        <v>82.07878904</v>
      </c>
      <c r="H21" s="20" t="n">
        <v>1.19464139</v>
      </c>
      <c r="I21" s="18" t="n">
        <v>0</v>
      </c>
      <c r="J21" s="20" t="n">
        <v>0</v>
      </c>
      <c r="K21" s="18" t="n">
        <v>0.09076263</v>
      </c>
      <c r="L21" s="20" t="n">
        <v>0.06537836</v>
      </c>
      <c r="M21" s="18" t="n">
        <v>0</v>
      </c>
      <c r="N21" s="20" t="n">
        <v>0</v>
      </c>
      <c r="O21" s="18" t="n">
        <v>0</v>
      </c>
      <c r="P21" s="20" t="n">
        <v>0</v>
      </c>
      <c r="Q21" s="18" t="n">
        <v>1.78581195</v>
      </c>
      <c r="R21" s="20" t="n">
        <v>0.45335429</v>
      </c>
    </row>
    <row r="22" spans="1:18">
      <c r="A22" s="15" t="s">
        <v>444</v>
      </c>
      <c r="B22" s="17" t="n">
        <v>6598</v>
      </c>
      <c r="C22" s="18">
        <f>(5770.0/B22*100)</f>
        <v/>
      </c>
      <c r="D22" s="19" t="n">
        <v>828</v>
      </c>
      <c r="E22" s="18" t="n">
        <v>25.06786022</v>
      </c>
      <c r="F22" s="20" t="n">
        <v>2.12831025</v>
      </c>
      <c r="G22" s="18" t="n">
        <v>69.98408204</v>
      </c>
      <c r="H22" s="20" t="n">
        <v>2.11371988</v>
      </c>
      <c r="I22" s="18" t="n">
        <v>0</v>
      </c>
      <c r="J22" s="20" t="n">
        <v>0</v>
      </c>
      <c r="K22" s="18" t="n">
        <v>0.35862263</v>
      </c>
      <c r="L22" s="20" t="n">
        <v>0.1850772</v>
      </c>
      <c r="M22" s="18" t="n">
        <v>0</v>
      </c>
      <c r="N22" s="20" t="n">
        <v>0</v>
      </c>
      <c r="O22" s="18" t="n">
        <v>0</v>
      </c>
      <c r="P22" s="20" t="n">
        <v>0</v>
      </c>
      <c r="Q22" s="18" t="n">
        <v>4.58943511</v>
      </c>
      <c r="R22" s="20" t="n">
        <v>1.00764003</v>
      </c>
    </row>
    <row r="23" spans="1:18">
      <c r="A23" s="15" t="s">
        <v>445</v>
      </c>
      <c r="B23" s="17" t="n">
        <v>11583</v>
      </c>
      <c r="C23" s="18">
        <f>(10179.0/B23*100)</f>
        <v/>
      </c>
      <c r="D23" s="19" t="n">
        <v>1404</v>
      </c>
      <c r="E23" s="18" t="n">
        <v>19.60552103</v>
      </c>
      <c r="F23" s="20" t="n">
        <v>1.73720972</v>
      </c>
      <c r="G23" s="18" t="n">
        <v>76.73626396</v>
      </c>
      <c r="H23" s="20" t="n">
        <v>1.86960245</v>
      </c>
      <c r="I23" s="18" t="n">
        <v>0</v>
      </c>
      <c r="J23" s="20" t="n">
        <v>0</v>
      </c>
      <c r="K23" s="18" t="n">
        <v>0.18485455</v>
      </c>
      <c r="L23" s="20" t="n">
        <v>0.13447091</v>
      </c>
      <c r="M23" s="18" t="n">
        <v>0</v>
      </c>
      <c r="N23" s="20" t="n">
        <v>0</v>
      </c>
      <c r="O23" s="18" t="n">
        <v>0</v>
      </c>
      <c r="P23" s="20" t="n">
        <v>0</v>
      </c>
      <c r="Q23" s="18" t="n">
        <v>3.47336045</v>
      </c>
      <c r="R23" s="20" t="n">
        <v>0.6630548000000001</v>
      </c>
    </row>
    <row r="24" spans="1:18">
      <c r="A24" s="15" t="s">
        <v>446</v>
      </c>
      <c r="B24" s="17" t="n">
        <v>6647</v>
      </c>
      <c r="C24" s="18">
        <f>(5841.0/B24*100)</f>
        <v/>
      </c>
      <c r="D24" s="19" t="n">
        <v>806</v>
      </c>
      <c r="E24" s="18" t="n">
        <v>13.8376499</v>
      </c>
      <c r="F24" s="20" t="n">
        <v>1.08331784</v>
      </c>
      <c r="G24" s="18" t="n">
        <v>84.5491857</v>
      </c>
      <c r="H24" s="20" t="n">
        <v>1.17855526</v>
      </c>
      <c r="I24" s="18" t="n">
        <v>0</v>
      </c>
      <c r="J24" s="20" t="n">
        <v>0</v>
      </c>
      <c r="K24" s="18" t="n">
        <v>0</v>
      </c>
      <c r="L24" s="20" t="n">
        <v>0</v>
      </c>
      <c r="M24" s="18" t="n">
        <v>0</v>
      </c>
      <c r="N24" s="20" t="n">
        <v>0</v>
      </c>
      <c r="O24" s="18" t="n">
        <v>0</v>
      </c>
      <c r="P24" s="20" t="n">
        <v>0</v>
      </c>
      <c r="Q24" s="18" t="n">
        <v>1.61316439</v>
      </c>
      <c r="R24" s="20" t="n">
        <v>0.48266957</v>
      </c>
    </row>
    <row r="25" spans="1:18">
      <c r="A25" s="15" t="s">
        <v>447</v>
      </c>
      <c r="B25" s="17" t="n">
        <v>5581</v>
      </c>
      <c r="C25" s="18">
        <f>(4886.0/B25*100)</f>
        <v/>
      </c>
      <c r="D25" s="19" t="n">
        <v>695</v>
      </c>
      <c r="E25" s="18" t="n">
        <v>13.44388657</v>
      </c>
      <c r="F25" s="20" t="n">
        <v>1.31667068</v>
      </c>
      <c r="G25" s="18" t="n">
        <v>85.10827481</v>
      </c>
      <c r="H25" s="20" t="n">
        <v>1.36630125</v>
      </c>
      <c r="I25" s="18" t="n">
        <v>0</v>
      </c>
      <c r="J25" s="20" t="n">
        <v>0</v>
      </c>
      <c r="K25" s="18" t="n">
        <v>0.13402635</v>
      </c>
      <c r="L25" s="20" t="n">
        <v>0.13398772</v>
      </c>
      <c r="M25" s="18" t="n">
        <v>0</v>
      </c>
      <c r="N25" s="20" t="n">
        <v>0</v>
      </c>
      <c r="O25" s="18" t="n">
        <v>0</v>
      </c>
      <c r="P25" s="20" t="n">
        <v>0</v>
      </c>
      <c r="Q25" s="18" t="n">
        <v>1.31381227</v>
      </c>
      <c r="R25" s="20" t="n">
        <v>0.37109191</v>
      </c>
    </row>
    <row r="26" spans="1:18">
      <c r="A26" s="15" t="s">
        <v>448</v>
      </c>
      <c r="B26" s="17" t="n">
        <v>4869</v>
      </c>
      <c r="C26" s="18">
        <f>(4264.0/B26*100)</f>
        <v/>
      </c>
      <c r="D26" s="19" t="n">
        <v>605</v>
      </c>
      <c r="E26" s="18" t="n">
        <v>17.61949008</v>
      </c>
      <c r="F26" s="20" t="n">
        <v>1.61508353</v>
      </c>
      <c r="G26" s="18" t="n">
        <v>80.15461344000001</v>
      </c>
      <c r="H26" s="20" t="n">
        <v>1.60856519</v>
      </c>
      <c r="I26" s="18" t="n">
        <v>0</v>
      </c>
      <c r="J26" s="20" t="n">
        <v>0</v>
      </c>
      <c r="K26" s="18" t="n">
        <v>0</v>
      </c>
      <c r="L26" s="20" t="n">
        <v>0</v>
      </c>
      <c r="M26" s="18" t="n">
        <v>0</v>
      </c>
      <c r="N26" s="20" t="n">
        <v>0</v>
      </c>
      <c r="O26" s="18" t="n">
        <v>0</v>
      </c>
      <c r="P26" s="20" t="n">
        <v>0</v>
      </c>
      <c r="Q26" s="18" t="n">
        <v>2.22589648</v>
      </c>
      <c r="R26" s="20" t="n">
        <v>0.56164671</v>
      </c>
    </row>
    <row r="27" spans="1:18">
      <c r="A27" s="15" t="s">
        <v>449</v>
      </c>
      <c r="B27" s="17" t="n">
        <v>5299</v>
      </c>
      <c r="C27" s="18">
        <f>(4629.0/B27*100)</f>
        <v/>
      </c>
      <c r="D27" s="19" t="n">
        <v>670</v>
      </c>
      <c r="E27" s="18" t="n">
        <v>22.30404969</v>
      </c>
      <c r="F27" s="20" t="n">
        <v>1.80105047</v>
      </c>
      <c r="G27" s="18" t="n">
        <v>74.98861244</v>
      </c>
      <c r="H27" s="20" t="n">
        <v>1.75328135</v>
      </c>
      <c r="I27" s="18" t="n">
        <v>0</v>
      </c>
      <c r="J27" s="20" t="n">
        <v>0</v>
      </c>
      <c r="K27" s="18" t="n">
        <v>0.14970308</v>
      </c>
      <c r="L27" s="20" t="n">
        <v>0.1506315</v>
      </c>
      <c r="M27" s="18" t="n">
        <v>0</v>
      </c>
      <c r="N27" s="20" t="n">
        <v>0</v>
      </c>
      <c r="O27" s="18" t="n">
        <v>0</v>
      </c>
      <c r="P27" s="20" t="n">
        <v>0</v>
      </c>
      <c r="Q27" s="18" t="n">
        <v>2.55763479</v>
      </c>
      <c r="R27" s="20" t="n">
        <v>0.60253768</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17.09025922</v>
      </c>
      <c r="F29" s="20" t="n">
        <v>1.75281908</v>
      </c>
      <c r="G29" s="18" t="n">
        <v>81.37341107</v>
      </c>
      <c r="H29" s="20" t="n">
        <v>1.76192286</v>
      </c>
      <c r="I29" s="18" t="n">
        <v>0</v>
      </c>
      <c r="J29" s="20" t="n">
        <v>0</v>
      </c>
      <c r="K29" s="18" t="n">
        <v>0.33875531</v>
      </c>
      <c r="L29" s="20" t="n">
        <v>0.23990196</v>
      </c>
      <c r="M29" s="18" t="n">
        <v>0</v>
      </c>
      <c r="N29" s="20" t="n">
        <v>0</v>
      </c>
      <c r="O29" s="18" t="n">
        <v>0</v>
      </c>
      <c r="P29" s="20" t="n">
        <v>0</v>
      </c>
      <c r="Q29" s="18" t="n">
        <v>1.1975744</v>
      </c>
      <c r="R29" s="20" t="n">
        <v>0.35937043</v>
      </c>
    </row>
    <row r="30" spans="1:18">
      <c r="A30" s="15" t="s">
        <v>452</v>
      </c>
      <c r="B30" s="17" t="n">
        <v>4520</v>
      </c>
      <c r="C30" s="18">
        <f>(3953.0/B30*100)</f>
        <v/>
      </c>
      <c r="D30" s="19" t="n">
        <v>567</v>
      </c>
      <c r="E30" s="18" t="n">
        <v>20.57060146</v>
      </c>
      <c r="F30" s="20" t="n">
        <v>1.8673474</v>
      </c>
      <c r="G30" s="18" t="n">
        <v>77.21284932</v>
      </c>
      <c r="H30" s="20" t="n">
        <v>2.06271684</v>
      </c>
      <c r="I30" s="18" t="n">
        <v>0</v>
      </c>
      <c r="J30" s="20" t="n">
        <v>0</v>
      </c>
      <c r="K30" s="18" t="n">
        <v>0</v>
      </c>
      <c r="L30" s="20" t="n">
        <v>0</v>
      </c>
      <c r="M30" s="18" t="n">
        <v>0</v>
      </c>
      <c r="N30" s="20" t="n">
        <v>0</v>
      </c>
      <c r="O30" s="18" t="n">
        <v>0</v>
      </c>
      <c r="P30" s="20" t="n">
        <v>0</v>
      </c>
      <c r="Q30" s="18" t="n">
        <v>2.21654922</v>
      </c>
      <c r="R30" s="20" t="n">
        <v>0.65845672</v>
      </c>
    </row>
    <row r="31" spans="1:18">
      <c r="A31" s="15" t="s">
        <v>453</v>
      </c>
      <c r="B31" s="17" t="n">
        <v>5456</v>
      </c>
      <c r="C31" s="18">
        <f>(4777.0/B31*100)</f>
        <v/>
      </c>
      <c r="D31" s="19" t="n">
        <v>679</v>
      </c>
      <c r="E31" s="18" t="n">
        <v>23.18663104</v>
      </c>
      <c r="F31" s="20" t="n">
        <v>1.48917023</v>
      </c>
      <c r="G31" s="18" t="n">
        <v>75.4093105</v>
      </c>
      <c r="H31" s="20" t="n">
        <v>1.58724644</v>
      </c>
      <c r="I31" s="18" t="n">
        <v>0</v>
      </c>
      <c r="J31" s="20" t="n">
        <v>0</v>
      </c>
      <c r="K31" s="18" t="n">
        <v>0</v>
      </c>
      <c r="L31" s="20" t="n">
        <v>0</v>
      </c>
      <c r="M31" s="18" t="n">
        <v>0</v>
      </c>
      <c r="N31" s="20" t="n">
        <v>0</v>
      </c>
      <c r="O31" s="18" t="n">
        <v>0</v>
      </c>
      <c r="P31" s="20" t="n">
        <v>0</v>
      </c>
      <c r="Q31" s="18" t="n">
        <v>1.40405846</v>
      </c>
      <c r="R31" s="20" t="n">
        <v>0.55495795</v>
      </c>
    </row>
    <row r="32" spans="1:18">
      <c r="A32" s="15" t="s">
        <v>454</v>
      </c>
      <c r="B32" s="17" t="n">
        <v>4478</v>
      </c>
      <c r="C32" s="18">
        <f>(3717.0/B32*100)</f>
        <v/>
      </c>
      <c r="D32" s="19" t="n">
        <v>761</v>
      </c>
      <c r="E32" s="18" t="n">
        <v>14.6445075</v>
      </c>
      <c r="F32" s="20" t="n">
        <v>1.2680457</v>
      </c>
      <c r="G32" s="18" t="n">
        <v>82.94887989999999</v>
      </c>
      <c r="H32" s="20" t="n">
        <v>1.48580614</v>
      </c>
      <c r="I32" s="18" t="n">
        <v>0</v>
      </c>
      <c r="J32" s="20" t="n">
        <v>0</v>
      </c>
      <c r="K32" s="18" t="n">
        <v>0.13577066</v>
      </c>
      <c r="L32" s="20" t="n">
        <v>0.11848184</v>
      </c>
      <c r="M32" s="18" t="n">
        <v>0</v>
      </c>
      <c r="N32" s="20" t="n">
        <v>0</v>
      </c>
      <c r="O32" s="18" t="n">
        <v>0</v>
      </c>
      <c r="P32" s="20" t="n">
        <v>0</v>
      </c>
      <c r="Q32" s="18" t="n">
        <v>2.27084194</v>
      </c>
      <c r="R32" s="20" t="n">
        <v>0.53793102</v>
      </c>
    </row>
    <row r="33" spans="1:18">
      <c r="A33" s="15" t="s">
        <v>455</v>
      </c>
      <c r="B33" s="17" t="n">
        <v>7325</v>
      </c>
      <c r="C33" s="18">
        <f>(6416.0/B33*100)</f>
        <v/>
      </c>
      <c r="D33" s="19" t="n">
        <v>909</v>
      </c>
      <c r="E33" s="18" t="n">
        <v>16.86997208</v>
      </c>
      <c r="F33" s="20" t="n">
        <v>1.50625614</v>
      </c>
      <c r="G33" s="18" t="n">
        <v>80.83831234</v>
      </c>
      <c r="H33" s="20" t="n">
        <v>1.5255021</v>
      </c>
      <c r="I33" s="18" t="n">
        <v>0</v>
      </c>
      <c r="J33" s="20" t="n">
        <v>0</v>
      </c>
      <c r="K33" s="18" t="n">
        <v>0</v>
      </c>
      <c r="L33" s="20" t="n">
        <v>0</v>
      </c>
      <c r="M33" s="18" t="n">
        <v>0</v>
      </c>
      <c r="N33" s="20" t="n">
        <v>0</v>
      </c>
      <c r="O33" s="18" t="n">
        <v>0</v>
      </c>
      <c r="P33" s="20" t="n">
        <v>0</v>
      </c>
      <c r="Q33" s="18" t="n">
        <v>2.29171557</v>
      </c>
      <c r="R33" s="20" t="n">
        <v>0.49474726</v>
      </c>
    </row>
    <row r="34" spans="1:18">
      <c r="A34" s="15" t="s">
        <v>456</v>
      </c>
      <c r="B34" s="17" t="n">
        <v>6350</v>
      </c>
      <c r="C34" s="18">
        <f>(5568.0/B34*100)</f>
        <v/>
      </c>
      <c r="D34" s="19" t="n">
        <v>782</v>
      </c>
      <c r="E34" s="18" t="n">
        <v>20.27876136</v>
      </c>
      <c r="F34" s="20" t="n">
        <v>1.76681945</v>
      </c>
      <c r="G34" s="18" t="n">
        <v>75.79587739999999</v>
      </c>
      <c r="H34" s="20" t="n">
        <v>2.12017517</v>
      </c>
      <c r="I34" s="18" t="n">
        <v>0</v>
      </c>
      <c r="J34" s="20" t="n">
        <v>0</v>
      </c>
      <c r="K34" s="18" t="n">
        <v>0.09651052</v>
      </c>
      <c r="L34" s="20" t="n">
        <v>0.09681284</v>
      </c>
      <c r="M34" s="18" t="n">
        <v>0</v>
      </c>
      <c r="N34" s="20" t="n">
        <v>0</v>
      </c>
      <c r="O34" s="18" t="n">
        <v>0</v>
      </c>
      <c r="P34" s="20" t="n">
        <v>0</v>
      </c>
      <c r="Q34" s="18" t="n">
        <v>3.82885072</v>
      </c>
      <c r="R34" s="20" t="n">
        <v>0.80590046</v>
      </c>
    </row>
    <row r="35" spans="1:18">
      <c r="A35" s="15" t="s">
        <v>457</v>
      </c>
      <c r="B35" s="17" t="n">
        <v>6406</v>
      </c>
      <c r="C35" s="18">
        <f>(5612.0/B35*100)</f>
        <v/>
      </c>
      <c r="D35" s="19" t="n">
        <v>794</v>
      </c>
      <c r="E35" s="18" t="n">
        <v>15.02816048</v>
      </c>
      <c r="F35" s="20" t="n">
        <v>1.28483968</v>
      </c>
      <c r="G35" s="18" t="n">
        <v>83.43397511000001</v>
      </c>
      <c r="H35" s="20" t="n">
        <v>1.46869447</v>
      </c>
      <c r="I35" s="18" t="n">
        <v>0</v>
      </c>
      <c r="J35" s="20" t="n">
        <v>0</v>
      </c>
      <c r="K35" s="18" t="n">
        <v>0.11626179</v>
      </c>
      <c r="L35" s="20" t="n">
        <v>0.08258689</v>
      </c>
      <c r="M35" s="18" t="n">
        <v>0</v>
      </c>
      <c r="N35" s="20" t="n">
        <v>0</v>
      </c>
      <c r="O35" s="18" t="n">
        <v>0</v>
      </c>
      <c r="P35" s="20" t="n">
        <v>0</v>
      </c>
      <c r="Q35" s="18" t="n">
        <v>1.42160262</v>
      </c>
      <c r="R35" s="20" t="n">
        <v>0.49873658</v>
      </c>
    </row>
    <row r="36" spans="1:18">
      <c r="A36" s="15" t="s">
        <v>458</v>
      </c>
      <c r="B36" s="17" t="n">
        <v>6736</v>
      </c>
      <c r="C36" s="18">
        <f>(5915.0/B36*100)</f>
        <v/>
      </c>
      <c r="D36" s="19" t="n">
        <v>821</v>
      </c>
      <c r="E36" s="18" t="n">
        <v>17.36200711</v>
      </c>
      <c r="F36" s="20" t="n">
        <v>1.56848415</v>
      </c>
      <c r="G36" s="18" t="n">
        <v>79.56822158</v>
      </c>
      <c r="H36" s="20" t="n">
        <v>1.72850142</v>
      </c>
      <c r="I36" s="18" t="n">
        <v>0</v>
      </c>
      <c r="J36" s="20" t="n">
        <v>0</v>
      </c>
      <c r="K36" s="18" t="n">
        <v>0</v>
      </c>
      <c r="L36" s="20" t="n">
        <v>0</v>
      </c>
      <c r="M36" s="18" t="n">
        <v>0</v>
      </c>
      <c r="N36" s="20" t="n">
        <v>0</v>
      </c>
      <c r="O36" s="18" t="n">
        <v>0</v>
      </c>
      <c r="P36" s="20" t="n">
        <v>0</v>
      </c>
      <c r="Q36" s="18" t="n">
        <v>3.06977132</v>
      </c>
      <c r="R36" s="20" t="n">
        <v>0.66395959</v>
      </c>
    </row>
    <row r="37" spans="1:18">
      <c r="A37" s="15" t="s">
        <v>459</v>
      </c>
      <c r="B37" s="17" t="n">
        <v>5458</v>
      </c>
      <c r="C37" s="18">
        <f>(4786.0/B37*100)</f>
        <v/>
      </c>
      <c r="D37" s="19" t="n">
        <v>672</v>
      </c>
      <c r="E37" s="18" t="n">
        <v>13.60449866</v>
      </c>
      <c r="F37" s="20" t="n">
        <v>1.57561494</v>
      </c>
      <c r="G37" s="18" t="n">
        <v>83.07267809</v>
      </c>
      <c r="H37" s="20" t="n">
        <v>1.69751039</v>
      </c>
      <c r="I37" s="18" t="n">
        <v>0</v>
      </c>
      <c r="J37" s="20" t="n">
        <v>0</v>
      </c>
      <c r="K37" s="18" t="n">
        <v>0.17702528</v>
      </c>
      <c r="L37" s="20" t="n">
        <v>0.17563032</v>
      </c>
      <c r="M37" s="18" t="n">
        <v>0</v>
      </c>
      <c r="N37" s="20" t="n">
        <v>0</v>
      </c>
      <c r="O37" s="18" t="n">
        <v>0</v>
      </c>
      <c r="P37" s="20" t="n">
        <v>0</v>
      </c>
      <c r="Q37" s="18" t="n">
        <v>3.14579797</v>
      </c>
      <c r="R37" s="20" t="n">
        <v>0.69823238</v>
      </c>
    </row>
    <row r="38" spans="1:18">
      <c r="A38" s="15" t="s">
        <v>460</v>
      </c>
      <c r="B38" s="17" t="n">
        <v>5860</v>
      </c>
      <c r="C38" s="18">
        <f>(4879.0/B38*100)</f>
        <v/>
      </c>
      <c r="D38" s="19" t="n">
        <v>981</v>
      </c>
      <c r="E38" s="18" t="n">
        <v>18.51839369</v>
      </c>
      <c r="F38" s="20" t="n">
        <v>1.48024021</v>
      </c>
      <c r="G38" s="18" t="n">
        <v>79.52417807</v>
      </c>
      <c r="H38" s="20" t="n">
        <v>1.47194534</v>
      </c>
      <c r="I38" s="18" t="n">
        <v>0</v>
      </c>
      <c r="J38" s="20" t="n">
        <v>0</v>
      </c>
      <c r="K38" s="18" t="n">
        <v>0.09832546</v>
      </c>
      <c r="L38" s="20" t="n">
        <v>0.09873393</v>
      </c>
      <c r="M38" s="18" t="n">
        <v>0</v>
      </c>
      <c r="N38" s="20" t="n">
        <v>0</v>
      </c>
      <c r="O38" s="18" t="n">
        <v>0</v>
      </c>
      <c r="P38" s="20" t="n">
        <v>0</v>
      </c>
      <c r="Q38" s="18" t="n">
        <v>1.85910278</v>
      </c>
      <c r="R38" s="20" t="n">
        <v>0.37852254</v>
      </c>
    </row>
    <row r="39" spans="1:18">
      <c r="A39" s="15" t="s">
        <v>461</v>
      </c>
      <c r="B39" s="17" t="n">
        <v>5895</v>
      </c>
      <c r="C39" s="18">
        <f>(5157.0/B39*100)</f>
        <v/>
      </c>
      <c r="D39" s="19" t="n">
        <v>738</v>
      </c>
      <c r="E39" s="18" t="n">
        <v>36.50545754</v>
      </c>
      <c r="F39" s="20" t="n">
        <v>2.10749982</v>
      </c>
      <c r="G39" s="18" t="n">
        <v>61.2682198</v>
      </c>
      <c r="H39" s="20" t="n">
        <v>2.07831212</v>
      </c>
      <c r="I39" s="18" t="n">
        <v>0</v>
      </c>
      <c r="J39" s="20" t="n">
        <v>0</v>
      </c>
      <c r="K39" s="18" t="n">
        <v>0.15099617</v>
      </c>
      <c r="L39" s="20" t="n">
        <v>0.21478173</v>
      </c>
      <c r="M39" s="18" t="n">
        <v>0</v>
      </c>
      <c r="N39" s="20" t="n">
        <v>0</v>
      </c>
      <c r="O39" s="18" t="n">
        <v>0</v>
      </c>
      <c r="P39" s="20" t="n">
        <v>0</v>
      </c>
      <c r="Q39" s="18" t="n">
        <v>2.07532649</v>
      </c>
      <c r="R39" s="20" t="n">
        <v>0.51245266</v>
      </c>
    </row>
    <row r="40" spans="1:18">
      <c r="A40" s="15" t="s">
        <v>462</v>
      </c>
      <c r="B40" s="17" t="n">
        <v>14157</v>
      </c>
      <c r="C40" s="18">
        <f>(12374.0/B40*100)</f>
        <v/>
      </c>
      <c r="D40" s="19" t="n">
        <v>1783</v>
      </c>
      <c r="E40" s="18" t="n">
        <v>19.63148771</v>
      </c>
      <c r="F40" s="20" t="n">
        <v>1.36246216</v>
      </c>
      <c r="G40" s="18" t="n">
        <v>78.38143624999999</v>
      </c>
      <c r="H40" s="20" t="n">
        <v>1.43459879</v>
      </c>
      <c r="I40" s="18" t="n">
        <v>0</v>
      </c>
      <c r="J40" s="20" t="n">
        <v>0</v>
      </c>
      <c r="K40" s="18" t="n">
        <v>0.02406381</v>
      </c>
      <c r="L40" s="20" t="n">
        <v>0.02000421</v>
      </c>
      <c r="M40" s="18" t="n">
        <v>0</v>
      </c>
      <c r="N40" s="20" t="n">
        <v>0</v>
      </c>
      <c r="O40" s="18" t="n">
        <v>0</v>
      </c>
      <c r="P40" s="20" t="n">
        <v>0</v>
      </c>
      <c r="Q40" s="18" t="n">
        <v>1.96301223</v>
      </c>
      <c r="R40" s="20" t="n">
        <v>0.43255073</v>
      </c>
    </row>
    <row r="41" spans="1:18">
      <c r="A41" s="15" t="s">
        <v>463</v>
      </c>
      <c r="B41" s="17" t="n">
        <v>5712</v>
      </c>
      <c r="C41" s="18">
        <f>(5031.0/B41*100)</f>
        <v/>
      </c>
      <c r="D41" s="19" t="n">
        <v>681</v>
      </c>
      <c r="E41" s="18" t="n">
        <v>16.57873207</v>
      </c>
      <c r="F41" s="20" t="n">
        <v>1.40001274</v>
      </c>
      <c r="G41" s="18" t="n">
        <v>82.88821871</v>
      </c>
      <c r="H41" s="20" t="n">
        <v>1.39317028</v>
      </c>
      <c r="I41" s="18" t="n">
        <v>0</v>
      </c>
      <c r="J41" s="20" t="n">
        <v>0</v>
      </c>
      <c r="K41" s="18" t="n">
        <v>0</v>
      </c>
      <c r="L41" s="20" t="n">
        <v>0</v>
      </c>
      <c r="M41" s="18" t="n">
        <v>0</v>
      </c>
      <c r="N41" s="20" t="n">
        <v>0</v>
      </c>
      <c r="O41" s="18" t="n">
        <v>0</v>
      </c>
      <c r="P41" s="20" t="n">
        <v>0</v>
      </c>
      <c r="Q41" s="18" t="n">
        <v>0.53304923</v>
      </c>
      <c r="R41" s="20" t="n">
        <v>0.32976899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(8629.0/B48*100)</f>
        <v/>
      </c>
      <c r="D48" s="19" t="n">
        <v>1212</v>
      </c>
      <c r="E48" s="18" t="n">
        <v>26.22055161</v>
      </c>
      <c r="F48" s="20" t="n">
        <v>1.92607445</v>
      </c>
      <c r="G48" s="18" t="n">
        <v>71.9204501</v>
      </c>
      <c r="H48" s="20" t="n">
        <v>1.94470432</v>
      </c>
      <c r="I48" s="18" t="n">
        <v>0</v>
      </c>
      <c r="J48" s="20" t="n">
        <v>0</v>
      </c>
      <c r="K48" s="18" t="n">
        <v>0.29131179</v>
      </c>
      <c r="L48" s="20" t="n">
        <v>0.25334254</v>
      </c>
      <c r="M48" s="18" t="n">
        <v>0</v>
      </c>
      <c r="N48" s="20" t="n">
        <v>0</v>
      </c>
      <c r="O48" s="18" t="n">
        <v>0</v>
      </c>
      <c r="P48" s="20" t="n">
        <v>0</v>
      </c>
      <c r="Q48" s="18" t="n">
        <v>1.5676865</v>
      </c>
      <c r="R48" s="20" t="n">
        <v>0.42180432</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(5083.0/B51*100)</f>
        <v/>
      </c>
      <c r="D51" s="19" t="n">
        <v>726</v>
      </c>
      <c r="E51" s="18" t="n">
        <v>30.64148935</v>
      </c>
      <c r="F51" s="20" t="n">
        <v>1.47603028</v>
      </c>
      <c r="G51" s="18" t="n">
        <v>65.38928088</v>
      </c>
      <c r="H51" s="20" t="n">
        <v>1.66269621</v>
      </c>
      <c r="I51" s="18" t="n">
        <v>0</v>
      </c>
      <c r="J51" s="20" t="n">
        <v>0</v>
      </c>
      <c r="K51" s="18" t="n">
        <v>0</v>
      </c>
      <c r="L51" s="20" t="n">
        <v>0</v>
      </c>
      <c r="M51" s="18" t="n">
        <v>0</v>
      </c>
      <c r="N51" s="20" t="n">
        <v>0</v>
      </c>
      <c r="O51" s="18" t="n">
        <v>0</v>
      </c>
      <c r="P51" s="20" t="n">
        <v>0</v>
      </c>
      <c r="Q51" s="18" t="n">
        <v>3.96922976</v>
      </c>
      <c r="R51" s="20" t="n">
        <v>0.79178949</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16.65246272</v>
      </c>
      <c r="F55" s="20" t="n">
        <v>1.45301423</v>
      </c>
      <c r="G55" s="18" t="n">
        <v>81.74182172</v>
      </c>
      <c r="H55" s="20" t="n">
        <v>1.71117657</v>
      </c>
      <c r="I55" s="18" t="n">
        <v>0</v>
      </c>
      <c r="J55" s="20" t="n">
        <v>0</v>
      </c>
      <c r="K55" s="18" t="n">
        <v>0.43320348</v>
      </c>
      <c r="L55" s="20" t="n">
        <v>0.32024206</v>
      </c>
      <c r="M55" s="18" t="n">
        <v>0</v>
      </c>
      <c r="N55" s="20" t="n">
        <v>0</v>
      </c>
      <c r="O55" s="18" t="n">
        <v>0</v>
      </c>
      <c r="P55" s="20" t="n">
        <v>0</v>
      </c>
      <c r="Q55" s="18" t="n">
        <v>1.17251208</v>
      </c>
      <c r="R55" s="20" t="n">
        <v>0.46381545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(5677.0/B61*100)</f>
        <v/>
      </c>
      <c r="D61" s="19" t="n">
        <v>848</v>
      </c>
      <c r="E61" s="18" t="n">
        <v>23.00744483</v>
      </c>
      <c r="F61" s="20" t="n">
        <v>1.6331869</v>
      </c>
      <c r="G61" s="18" t="n">
        <v>75.07614312</v>
      </c>
      <c r="H61" s="20" t="n">
        <v>1.57793885</v>
      </c>
      <c r="I61" s="18" t="n">
        <v>0</v>
      </c>
      <c r="J61" s="20" t="n">
        <v>0</v>
      </c>
      <c r="K61" s="18" t="n">
        <v>0.18269893</v>
      </c>
      <c r="L61" s="20" t="n">
        <v>0.1579156</v>
      </c>
      <c r="M61" s="18" t="n">
        <v>0</v>
      </c>
      <c r="N61" s="20" t="n">
        <v>0</v>
      </c>
      <c r="O61" s="18" t="n">
        <v>0</v>
      </c>
      <c r="P61" s="20" t="n">
        <v>0</v>
      </c>
      <c r="Q61" s="18" t="n">
        <v>1.73371312</v>
      </c>
      <c r="R61" s="20" t="n">
        <v>0.48034653</v>
      </c>
    </row>
    <row r="62" spans="1:18">
      <c r="A62" s="15" t="s">
        <v>486</v>
      </c>
      <c r="B62" s="17" t="n">
        <v>4476</v>
      </c>
      <c r="C62" s="18">
        <f>(3923.0/B62*100)</f>
        <v/>
      </c>
      <c r="D62" s="19" t="n">
        <v>553</v>
      </c>
      <c r="E62" s="18" t="n">
        <v>16.89829952</v>
      </c>
      <c r="F62" s="20" t="n">
        <v>1.70530416</v>
      </c>
      <c r="G62" s="18" t="n">
        <v>82.3772304</v>
      </c>
      <c r="H62" s="20" t="n">
        <v>1.71103321</v>
      </c>
      <c r="I62" s="18" t="n">
        <v>0</v>
      </c>
      <c r="J62" s="20" t="n">
        <v>0</v>
      </c>
      <c r="K62" s="18" t="n">
        <v>0.18576119</v>
      </c>
      <c r="L62" s="20" t="n">
        <v>0.18528316</v>
      </c>
      <c r="M62" s="18" t="n">
        <v>0</v>
      </c>
      <c r="N62" s="20" t="n">
        <v>0</v>
      </c>
      <c r="O62" s="18" t="n">
        <v>0</v>
      </c>
      <c r="P62" s="20" t="n">
        <v>0</v>
      </c>
      <c r="Q62" s="18" t="n">
        <v>0.53870889</v>
      </c>
      <c r="R62" s="20" t="n">
        <v>0.31349469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(4995.0/B67*100)</f>
        <v/>
      </c>
      <c r="D67" s="19" t="n">
        <v>670</v>
      </c>
      <c r="E67" s="18" t="n">
        <v>22.98796556</v>
      </c>
      <c r="F67" s="20" t="n">
        <v>1.86424861</v>
      </c>
      <c r="G67" s="18" t="n">
        <v>66.37202875</v>
      </c>
      <c r="H67" s="20" t="n">
        <v>2.01633367</v>
      </c>
      <c r="I67" s="18" t="n">
        <v>0</v>
      </c>
      <c r="J67" s="20" t="n">
        <v>0</v>
      </c>
      <c r="K67" s="18" t="n">
        <v>0.7061786</v>
      </c>
      <c r="L67" s="20" t="n">
        <v>0.31861622</v>
      </c>
      <c r="M67" s="18" t="n">
        <v>0</v>
      </c>
      <c r="N67" s="20" t="n">
        <v>0</v>
      </c>
      <c r="O67" s="18" t="n">
        <v>0</v>
      </c>
      <c r="P67" s="20" t="n">
        <v>0</v>
      </c>
      <c r="Q67" s="18" t="n">
        <v>9.933827089999999</v>
      </c>
      <c r="R67" s="20" t="n">
        <v>1.17176744</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(5308.0/B72*100)</f>
        <v/>
      </c>
      <c r="D72" s="19" t="n">
        <v>728</v>
      </c>
      <c r="E72" s="18" t="n">
        <v>18.43501117</v>
      </c>
      <c r="F72" s="20" t="n">
        <v>1.66639806</v>
      </c>
      <c r="G72" s="18" t="n">
        <v>79.17086897999999</v>
      </c>
      <c r="H72" s="20" t="n">
        <v>1.74950641</v>
      </c>
      <c r="I72" s="18" t="n">
        <v>0</v>
      </c>
      <c r="J72" s="20" t="n">
        <v>0</v>
      </c>
      <c r="K72" s="18" t="n">
        <v>0.1144432</v>
      </c>
      <c r="L72" s="20" t="n">
        <v>0.1618503</v>
      </c>
      <c r="M72" s="18" t="n">
        <v>0</v>
      </c>
      <c r="N72" s="20" t="n">
        <v>0</v>
      </c>
      <c r="O72" s="18" t="n">
        <v>0</v>
      </c>
      <c r="P72" s="20" t="n">
        <v>0</v>
      </c>
      <c r="Q72" s="18" t="n">
        <v>2.27967665</v>
      </c>
      <c r="R72" s="20" t="n">
        <v>0.60918792</v>
      </c>
    </row>
    <row r="73" spans="1:18">
      <c r="A73" s="15" t="s">
        <v>497</v>
      </c>
      <c r="B73" s="17" t="n">
        <v>6115</v>
      </c>
      <c r="C73" s="18">
        <f>(5346.0/B73*100)</f>
        <v/>
      </c>
      <c r="D73" s="19" t="n">
        <v>769</v>
      </c>
      <c r="E73" s="18" t="n">
        <v>15.18660087</v>
      </c>
      <c r="F73" s="20" t="n">
        <v>1.28889859</v>
      </c>
      <c r="G73" s="18" t="n">
        <v>83.79580654</v>
      </c>
      <c r="H73" s="20" t="n">
        <v>1.32500216</v>
      </c>
      <c r="I73" s="18" t="n">
        <v>0</v>
      </c>
      <c r="J73" s="20" t="n">
        <v>0</v>
      </c>
      <c r="K73" s="18" t="n">
        <v>0.53615832</v>
      </c>
      <c r="L73" s="20" t="n">
        <v>0.17501433</v>
      </c>
      <c r="M73" s="18" t="n">
        <v>0</v>
      </c>
      <c r="N73" s="20" t="n">
        <v>0</v>
      </c>
      <c r="O73" s="18" t="n">
        <v>0</v>
      </c>
      <c r="P73" s="20" t="n">
        <v>0</v>
      </c>
      <c r="Q73" s="18" t="n">
        <v>0.48143427</v>
      </c>
      <c r="R73" s="20" t="n">
        <v>0.23938119</v>
      </c>
    </row>
    <row r="74" spans="1:18">
      <c r="A74" s="15" t="s">
        <v>498</v>
      </c>
      <c r="B74" s="17" t="n">
        <v>7708</v>
      </c>
      <c r="C74" s="18">
        <f>(6749.0/B74*100)</f>
        <v/>
      </c>
      <c r="D74" s="19" t="n">
        <v>959</v>
      </c>
      <c r="E74" s="18" t="n">
        <v>27.22583929</v>
      </c>
      <c r="F74" s="20" t="n">
        <v>1.63913843</v>
      </c>
      <c r="G74" s="18" t="n">
        <v>70.48743220999999</v>
      </c>
      <c r="H74" s="20" t="n">
        <v>1.7109756</v>
      </c>
      <c r="I74" s="18" t="n">
        <v>0</v>
      </c>
      <c r="J74" s="20" t="n">
        <v>0</v>
      </c>
      <c r="K74" s="18" t="n">
        <v>0.2634154</v>
      </c>
      <c r="L74" s="20" t="n">
        <v>0.14042673</v>
      </c>
      <c r="M74" s="18" t="n">
        <v>0</v>
      </c>
      <c r="N74" s="20" t="n">
        <v>0</v>
      </c>
      <c r="O74" s="18" t="n">
        <v>0</v>
      </c>
      <c r="P74" s="20" t="n">
        <v>0</v>
      </c>
      <c r="Q74" s="18" t="n">
        <v>2.02331311</v>
      </c>
      <c r="R74" s="20" t="n">
        <v>0.49545437</v>
      </c>
    </row>
    <row r="75" spans="1:18">
      <c r="A75" s="15" t="s">
        <v>499</v>
      </c>
      <c r="B75" s="17" t="n">
        <v>8249</v>
      </c>
      <c r="C75" s="18">
        <f>(7241.0/B75*100)</f>
        <v/>
      </c>
      <c r="D75" s="19" t="n">
        <v>1008</v>
      </c>
      <c r="E75" s="18" t="n">
        <v>32.49931705</v>
      </c>
      <c r="F75" s="20" t="n">
        <v>1.87899459</v>
      </c>
      <c r="G75" s="18" t="n">
        <v>66.11200331000001</v>
      </c>
      <c r="H75" s="20" t="n">
        <v>2.02266501</v>
      </c>
      <c r="I75" s="18" t="n">
        <v>0</v>
      </c>
      <c r="J75" s="20" t="n">
        <v>0</v>
      </c>
      <c r="K75" s="18" t="n">
        <v>0</v>
      </c>
      <c r="L75" s="20" t="n">
        <v>0</v>
      </c>
      <c r="M75" s="18" t="n">
        <v>0</v>
      </c>
      <c r="N75" s="20" t="n">
        <v>0</v>
      </c>
      <c r="O75" s="18" t="n">
        <v>0</v>
      </c>
      <c r="P75" s="20" t="n">
        <v>0</v>
      </c>
      <c r="Q75" s="18" t="n">
        <v>1.38867964</v>
      </c>
      <c r="R75" s="20" t="n">
        <v>0.42572188</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(28399.0/B82*100)</f>
        <v/>
      </c>
      <c r="D82" s="19" t="n">
        <v>3931</v>
      </c>
      <c r="E82" s="18" t="n">
        <v>17.26373301</v>
      </c>
      <c r="F82" s="20" t="n">
        <v>1.00687332</v>
      </c>
      <c r="G82" s="18" t="n">
        <v>80.06437635</v>
      </c>
      <c r="H82" s="20" t="n">
        <v>1.04150069</v>
      </c>
      <c r="I82" s="18" t="n">
        <v>0</v>
      </c>
      <c r="J82" s="20" t="n">
        <v>0</v>
      </c>
      <c r="K82" s="18" t="n">
        <v>0.09091123</v>
      </c>
      <c r="L82" s="20" t="n">
        <v>0.04606603</v>
      </c>
      <c r="M82" s="18" t="n">
        <v>0</v>
      </c>
      <c r="N82" s="20" t="n">
        <v>0</v>
      </c>
      <c r="O82" s="18" t="n">
        <v>0</v>
      </c>
      <c r="P82" s="20" t="n">
        <v>0</v>
      </c>
      <c r="Q82" s="18" t="n">
        <v>2.58097941</v>
      </c>
      <c r="R82" s="20" t="n">
        <v>0.39565717</v>
      </c>
    </row>
    <row r="83" spans="1:18">
      <c r="A83" s="15" t="s">
        <v>507</v>
      </c>
      <c r="B83" s="17" t="n">
        <v>1652</v>
      </c>
      <c r="C83" s="18">
        <f>(1465.0/B83*100)</f>
        <v/>
      </c>
      <c r="D83" s="19" t="n">
        <v>187</v>
      </c>
      <c r="E83" s="18" t="n">
        <v>14.71844285</v>
      </c>
      <c r="F83" s="20" t="n">
        <v>2.48831208</v>
      </c>
      <c r="G83" s="18" t="n">
        <v>84.60168942</v>
      </c>
      <c r="H83" s="20" t="n">
        <v>2.48440843</v>
      </c>
      <c r="I83" s="18" t="n">
        <v>0</v>
      </c>
      <c r="J83" s="20" t="n">
        <v>0</v>
      </c>
      <c r="K83" s="18" t="n">
        <v>0</v>
      </c>
      <c r="L83" s="20" t="n">
        <v>0</v>
      </c>
      <c r="M83" s="18" t="n">
        <v>0</v>
      </c>
      <c r="N83" s="20" t="n">
        <v>0</v>
      </c>
      <c r="O83" s="18" t="n">
        <v>0</v>
      </c>
      <c r="P83" s="20" t="n">
        <v>0</v>
      </c>
      <c r="Q83" s="18" t="n">
        <v>0.67986773</v>
      </c>
      <c r="R83" s="20" t="n">
        <v>0.55276584</v>
      </c>
    </row>
    <row r="84" spans="1:18">
      <c r="A84" s="23" t="s">
        <v>508</v>
      </c>
      <c r="B84" s="24" t="n">
        <v>1887</v>
      </c>
      <c r="C84" s="25">
        <f>(1656.0/B84*100)</f>
        <v/>
      </c>
      <c r="D84" s="19" t="n">
        <v>231</v>
      </c>
      <c r="E84" s="18" t="n">
        <v>12.87100356</v>
      </c>
      <c r="F84" s="20" t="n">
        <v>2.38144435</v>
      </c>
      <c r="G84" s="18" t="n">
        <v>85.32912803000001</v>
      </c>
      <c r="H84" s="20" t="n">
        <v>2.35252492</v>
      </c>
      <c r="I84" s="18" t="n">
        <v>0</v>
      </c>
      <c r="J84" s="20" t="n">
        <v>0</v>
      </c>
      <c r="K84" s="18" t="n">
        <v>0</v>
      </c>
      <c r="L84" s="20" t="n">
        <v>0</v>
      </c>
      <c r="M84" s="18" t="n">
        <v>0</v>
      </c>
      <c r="N84" s="20" t="n">
        <v>0</v>
      </c>
      <c r="O84" s="18" t="n">
        <v>0</v>
      </c>
      <c r="P84" s="20" t="n">
        <v>0</v>
      </c>
      <c r="Q84" s="18" t="n">
        <v>1.79986841</v>
      </c>
      <c r="R84" s="20" t="n">
        <v>0.85653291</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(12699.0/B7*100)</f>
        <v/>
      </c>
      <c r="D7" s="19" t="n">
        <v>1831</v>
      </c>
      <c r="E7" s="18" t="n">
        <v>26.80762836</v>
      </c>
      <c r="F7" s="20" t="n">
        <v>1.21350626</v>
      </c>
      <c r="G7" s="18" t="n">
        <v>71.61344321999999</v>
      </c>
      <c r="H7" s="20" t="n">
        <v>1.20394659</v>
      </c>
      <c r="I7" s="18" t="n">
        <v>0</v>
      </c>
      <c r="J7" s="20" t="n">
        <v>0</v>
      </c>
      <c r="K7" s="18" t="n">
        <v>0.07364606999999999</v>
      </c>
      <c r="L7" s="20" t="n">
        <v>0.04168504</v>
      </c>
      <c r="M7" s="18" t="n">
        <v>0</v>
      </c>
      <c r="N7" s="20" t="n">
        <v>0</v>
      </c>
      <c r="O7" s="18" t="n">
        <v>0</v>
      </c>
      <c r="P7" s="20" t="n">
        <v>0</v>
      </c>
      <c r="Q7" s="18" t="n">
        <v>1.50528234</v>
      </c>
      <c r="R7" s="20" t="n">
        <v>0.27622529</v>
      </c>
    </row>
    <row r="8" spans="1:18">
      <c r="A8" s="15" t="s">
        <v>430</v>
      </c>
      <c r="B8" s="17" t="n">
        <v>7007</v>
      </c>
      <c r="C8" s="18">
        <f>(6154.0/B8*100)</f>
        <v/>
      </c>
      <c r="D8" s="19" t="n">
        <v>853</v>
      </c>
      <c r="E8" s="18" t="n">
        <v>30.27293621</v>
      </c>
      <c r="F8" s="20" t="n">
        <v>1.41871987</v>
      </c>
      <c r="G8" s="18" t="n">
        <v>68.52770753999999</v>
      </c>
      <c r="H8" s="20" t="n">
        <v>1.42657339</v>
      </c>
      <c r="I8" s="18" t="n">
        <v>0</v>
      </c>
      <c r="J8" s="20" t="n">
        <v>0</v>
      </c>
      <c r="K8" s="18" t="n">
        <v>0</v>
      </c>
      <c r="L8" s="20" t="n">
        <v>0</v>
      </c>
      <c r="M8" s="18" t="n">
        <v>0</v>
      </c>
      <c r="N8" s="20" t="n">
        <v>0</v>
      </c>
      <c r="O8" s="18" t="n">
        <v>0</v>
      </c>
      <c r="P8" s="20" t="n">
        <v>0</v>
      </c>
      <c r="Q8" s="18" t="n">
        <v>1.19935625</v>
      </c>
      <c r="R8" s="20" t="n">
        <v>0.34258684</v>
      </c>
    </row>
    <row r="9" spans="1:18">
      <c r="A9" s="15" t="s">
        <v>431</v>
      </c>
      <c r="B9" s="17" t="n">
        <v>9651</v>
      </c>
      <c r="C9" s="18">
        <f>(8472.0/B9*100)</f>
        <v/>
      </c>
      <c r="D9" s="19" t="n">
        <v>1179</v>
      </c>
      <c r="E9" s="18" t="n">
        <v>21.90694466</v>
      </c>
      <c r="F9" s="20" t="n">
        <v>0.99816859</v>
      </c>
      <c r="G9" s="18" t="n">
        <v>76.96292984999999</v>
      </c>
      <c r="H9" s="20" t="n">
        <v>1.07780798</v>
      </c>
      <c r="I9" s="18" t="n">
        <v>0</v>
      </c>
      <c r="J9" s="20" t="n">
        <v>0</v>
      </c>
      <c r="K9" s="18" t="n">
        <v>0.23081138</v>
      </c>
      <c r="L9" s="20" t="n">
        <v>0.16525748</v>
      </c>
      <c r="M9" s="18" t="n">
        <v>0</v>
      </c>
      <c r="N9" s="20" t="n">
        <v>0</v>
      </c>
      <c r="O9" s="18" t="n">
        <v>0</v>
      </c>
      <c r="P9" s="20" t="n">
        <v>0</v>
      </c>
      <c r="Q9" s="18" t="n">
        <v>0.8993141100000001</v>
      </c>
      <c r="R9" s="20" t="n">
        <v>0.32088037</v>
      </c>
    </row>
    <row r="10" spans="1:18">
      <c r="A10" s="15" t="s">
        <v>432</v>
      </c>
      <c r="B10" s="17" t="n">
        <v>20058</v>
      </c>
      <c r="C10" s="18">
        <f>(17625.0/B10*100)</f>
        <v/>
      </c>
      <c r="D10" s="19" t="n">
        <v>2433</v>
      </c>
      <c r="E10" s="18" t="n">
        <v>22.31127036</v>
      </c>
      <c r="F10" s="20" t="n">
        <v>1.28415122</v>
      </c>
      <c r="G10" s="18" t="n">
        <v>76.57161717</v>
      </c>
      <c r="H10" s="20" t="n">
        <v>1.35594489</v>
      </c>
      <c r="I10" s="18" t="n">
        <v>0</v>
      </c>
      <c r="J10" s="20" t="n">
        <v>0</v>
      </c>
      <c r="K10" s="18" t="n">
        <v>0.25834259</v>
      </c>
      <c r="L10" s="20" t="n">
        <v>0.16146537</v>
      </c>
      <c r="M10" s="18" t="n">
        <v>0</v>
      </c>
      <c r="N10" s="20" t="n">
        <v>0</v>
      </c>
      <c r="O10" s="18" t="n">
        <v>0</v>
      </c>
      <c r="P10" s="20" t="n">
        <v>0</v>
      </c>
      <c r="Q10" s="18" t="n">
        <v>0.85876988</v>
      </c>
      <c r="R10" s="20" t="n">
        <v>0.24680706</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(6056.0/B12*100)</f>
        <v/>
      </c>
      <c r="D12" s="19" t="n">
        <v>838</v>
      </c>
      <c r="E12" s="18" t="n">
        <v>27.42994589</v>
      </c>
      <c r="F12" s="20" t="n">
        <v>1.454518</v>
      </c>
      <c r="G12" s="18" t="n">
        <v>71.98081413</v>
      </c>
      <c r="H12" s="20" t="n">
        <v>1.49967552</v>
      </c>
      <c r="I12" s="18" t="n">
        <v>0</v>
      </c>
      <c r="J12" s="20" t="n">
        <v>0</v>
      </c>
      <c r="K12" s="18" t="n">
        <v>0</v>
      </c>
      <c r="L12" s="20" t="n">
        <v>0</v>
      </c>
      <c r="M12" s="18" t="n">
        <v>0</v>
      </c>
      <c r="N12" s="20" t="n">
        <v>0</v>
      </c>
      <c r="O12" s="18" t="n">
        <v>0</v>
      </c>
      <c r="P12" s="20" t="n">
        <v>0</v>
      </c>
      <c r="Q12" s="18" t="n">
        <v>0.58923998</v>
      </c>
      <c r="R12" s="20" t="n">
        <v>0.28446709</v>
      </c>
    </row>
    <row r="13" spans="1:18">
      <c r="A13" s="15" t="s">
        <v>435</v>
      </c>
      <c r="B13" s="17" t="n">
        <v>7161</v>
      </c>
      <c r="C13" s="18">
        <f>(6322.0/B13*100)</f>
        <v/>
      </c>
      <c r="D13" s="19" t="n">
        <v>839</v>
      </c>
      <c r="E13" s="18" t="n">
        <v>22.38448104</v>
      </c>
      <c r="F13" s="20" t="n">
        <v>2.06129657</v>
      </c>
      <c r="G13" s="18" t="n">
        <v>76.47495313</v>
      </c>
      <c r="H13" s="20" t="n">
        <v>1.92113295</v>
      </c>
      <c r="I13" s="18" t="n">
        <v>0</v>
      </c>
      <c r="J13" s="20" t="n">
        <v>0</v>
      </c>
      <c r="K13" s="18" t="n">
        <v>0.38658582</v>
      </c>
      <c r="L13" s="20" t="n">
        <v>0.28270038</v>
      </c>
      <c r="M13" s="18" t="n">
        <v>0</v>
      </c>
      <c r="N13" s="20" t="n">
        <v>0</v>
      </c>
      <c r="O13" s="18" t="n">
        <v>0</v>
      </c>
      <c r="P13" s="20" t="n">
        <v>0</v>
      </c>
      <c r="Q13" s="18" t="n">
        <v>0.75398001</v>
      </c>
      <c r="R13" s="20" t="n">
        <v>0.29508017</v>
      </c>
    </row>
    <row r="14" spans="1:18">
      <c r="A14" s="15" t="s">
        <v>436</v>
      </c>
      <c r="B14" s="17" t="n">
        <v>5587</v>
      </c>
      <c r="C14" s="18">
        <f>(4891.0/B14*100)</f>
        <v/>
      </c>
      <c r="D14" s="19" t="n">
        <v>696</v>
      </c>
      <c r="E14" s="18" t="n">
        <v>18.89949264</v>
      </c>
      <c r="F14" s="20" t="n">
        <v>1.46828275</v>
      </c>
      <c r="G14" s="18" t="n">
        <v>80.55688578</v>
      </c>
      <c r="H14" s="20" t="n">
        <v>1.5092582</v>
      </c>
      <c r="I14" s="18" t="n">
        <v>0</v>
      </c>
      <c r="J14" s="20" t="n">
        <v>0</v>
      </c>
      <c r="K14" s="18" t="n">
        <v>0</v>
      </c>
      <c r="L14" s="20" t="n">
        <v>0</v>
      </c>
      <c r="M14" s="18" t="n">
        <v>0</v>
      </c>
      <c r="N14" s="20" t="n">
        <v>0</v>
      </c>
      <c r="O14" s="18" t="n">
        <v>0</v>
      </c>
      <c r="P14" s="20" t="n">
        <v>0</v>
      </c>
      <c r="Q14" s="18" t="n">
        <v>0.54362159</v>
      </c>
      <c r="R14" s="20" t="n">
        <v>0.34694746</v>
      </c>
    </row>
    <row r="15" spans="1:18">
      <c r="A15" s="15" t="s">
        <v>437</v>
      </c>
      <c r="B15" s="17" t="n">
        <v>5882</v>
      </c>
      <c r="C15" s="18">
        <f>(5157.0/B15*100)</f>
        <v/>
      </c>
      <c r="D15" s="19" t="n">
        <v>725</v>
      </c>
      <c r="E15" s="18" t="n">
        <v>30.21883456</v>
      </c>
      <c r="F15" s="20" t="n">
        <v>1.73104852</v>
      </c>
      <c r="G15" s="18" t="n">
        <v>68.18560763000001</v>
      </c>
      <c r="H15" s="20" t="n">
        <v>1.71605178</v>
      </c>
      <c r="I15" s="18" t="n">
        <v>0</v>
      </c>
      <c r="J15" s="20" t="n">
        <v>0</v>
      </c>
      <c r="K15" s="18" t="n">
        <v>0.54622801</v>
      </c>
      <c r="L15" s="20" t="n">
        <v>0.27154931</v>
      </c>
      <c r="M15" s="18" t="n">
        <v>0</v>
      </c>
      <c r="N15" s="20" t="n">
        <v>0</v>
      </c>
      <c r="O15" s="18" t="n">
        <v>0</v>
      </c>
      <c r="P15" s="20" t="n">
        <v>0</v>
      </c>
      <c r="Q15" s="18" t="n">
        <v>1.04932979</v>
      </c>
      <c r="R15" s="20" t="n">
        <v>0.37512127</v>
      </c>
    </row>
    <row r="16" spans="1:18">
      <c r="A16" s="15" t="s">
        <v>438</v>
      </c>
      <c r="B16" s="17" t="n">
        <v>6108</v>
      </c>
      <c r="C16" s="18">
        <f>(5353.0/B16*100)</f>
        <v/>
      </c>
      <c r="D16" s="19" t="n">
        <v>755</v>
      </c>
      <c r="E16" s="18" t="n">
        <v>25.96968361</v>
      </c>
      <c r="F16" s="20" t="n">
        <v>1.74501636</v>
      </c>
      <c r="G16" s="18" t="n">
        <v>72.15631046999999</v>
      </c>
      <c r="H16" s="20" t="n">
        <v>1.62988075</v>
      </c>
      <c r="I16" s="18" t="n">
        <v>0</v>
      </c>
      <c r="J16" s="20" t="n">
        <v>0</v>
      </c>
      <c r="K16" s="18" t="n">
        <v>0.46528148</v>
      </c>
      <c r="L16" s="20" t="n">
        <v>0.27085142</v>
      </c>
      <c r="M16" s="18" t="n">
        <v>0</v>
      </c>
      <c r="N16" s="20" t="n">
        <v>0</v>
      </c>
      <c r="O16" s="18" t="n">
        <v>0</v>
      </c>
      <c r="P16" s="20" t="n">
        <v>0</v>
      </c>
      <c r="Q16" s="18" t="n">
        <v>1.40872445</v>
      </c>
      <c r="R16" s="20" t="n">
        <v>0.47577918</v>
      </c>
    </row>
    <row r="17" spans="1:18">
      <c r="A17" s="15" t="s">
        <v>439</v>
      </c>
      <c r="B17" s="17" t="n">
        <v>6504</v>
      </c>
      <c r="C17" s="18">
        <f>(5708.0/B17*100)</f>
        <v/>
      </c>
      <c r="D17" s="19" t="n">
        <v>796</v>
      </c>
      <c r="E17" s="18" t="n">
        <v>24.44093349</v>
      </c>
      <c r="F17" s="20" t="n">
        <v>1.57275739</v>
      </c>
      <c r="G17" s="18" t="n">
        <v>74.97975119</v>
      </c>
      <c r="H17" s="20" t="n">
        <v>1.57842074</v>
      </c>
      <c r="I17" s="18" t="n">
        <v>0</v>
      </c>
      <c r="J17" s="20" t="n">
        <v>0</v>
      </c>
      <c r="K17" s="18" t="n">
        <v>0.15635</v>
      </c>
      <c r="L17" s="20" t="n">
        <v>0.15143033</v>
      </c>
      <c r="M17" s="18" t="n">
        <v>0</v>
      </c>
      <c r="N17" s="20" t="n">
        <v>0</v>
      </c>
      <c r="O17" s="18" t="n">
        <v>0</v>
      </c>
      <c r="P17" s="20" t="n">
        <v>0</v>
      </c>
      <c r="Q17" s="18" t="n">
        <v>0.42296532</v>
      </c>
      <c r="R17" s="20" t="n">
        <v>0.26430519</v>
      </c>
    </row>
    <row r="18" spans="1:18">
      <c r="A18" s="15" t="s">
        <v>440</v>
      </c>
      <c r="B18" s="17" t="n">
        <v>5532</v>
      </c>
      <c r="C18" s="18">
        <f>(4854.0/B18*100)</f>
        <v/>
      </c>
      <c r="D18" s="19" t="n">
        <v>678</v>
      </c>
      <c r="E18" s="18" t="n">
        <v>32.86160108</v>
      </c>
      <c r="F18" s="20" t="n">
        <v>2.03329259</v>
      </c>
      <c r="G18" s="18" t="n">
        <v>64.93159953</v>
      </c>
      <c r="H18" s="20" t="n">
        <v>2.12185738</v>
      </c>
      <c r="I18" s="18" t="n">
        <v>0</v>
      </c>
      <c r="J18" s="20" t="n">
        <v>0</v>
      </c>
      <c r="K18" s="18" t="n">
        <v>0.12198341</v>
      </c>
      <c r="L18" s="20" t="n">
        <v>0.12062493</v>
      </c>
      <c r="M18" s="18" t="n">
        <v>0</v>
      </c>
      <c r="N18" s="20" t="n">
        <v>0</v>
      </c>
      <c r="O18" s="18" t="n">
        <v>0</v>
      </c>
      <c r="P18" s="20" t="n">
        <v>0</v>
      </c>
      <c r="Q18" s="18" t="n">
        <v>2.08481598</v>
      </c>
      <c r="R18" s="20" t="n">
        <v>0.74272715</v>
      </c>
    </row>
    <row r="19" spans="1:18">
      <c r="A19" s="15" t="s">
        <v>441</v>
      </c>
      <c r="B19" s="17" t="n">
        <v>5658</v>
      </c>
      <c r="C19" s="18">
        <f>(4972.0/B19*100)</f>
        <v/>
      </c>
      <c r="D19" s="19" t="n">
        <v>686</v>
      </c>
      <c r="E19" s="18" t="n">
        <v>38.08798207</v>
      </c>
      <c r="F19" s="20" t="n">
        <v>1.79713192</v>
      </c>
      <c r="G19" s="18" t="n">
        <v>60.35739041</v>
      </c>
      <c r="H19" s="20" t="n">
        <v>1.80846635</v>
      </c>
      <c r="I19" s="18" t="n">
        <v>0</v>
      </c>
      <c r="J19" s="20" t="n">
        <v>0</v>
      </c>
      <c r="K19" s="18" t="n">
        <v>0</v>
      </c>
      <c r="L19" s="20" t="n">
        <v>0</v>
      </c>
      <c r="M19" s="18" t="n">
        <v>0</v>
      </c>
      <c r="N19" s="20" t="n">
        <v>0</v>
      </c>
      <c r="O19" s="18" t="n">
        <v>0</v>
      </c>
      <c r="P19" s="20" t="n">
        <v>0</v>
      </c>
      <c r="Q19" s="18" t="n">
        <v>1.55462752</v>
      </c>
      <c r="R19" s="20" t="n">
        <v>0.64173189</v>
      </c>
    </row>
    <row r="20" spans="1:18">
      <c r="A20" s="15" t="s">
        <v>442</v>
      </c>
      <c r="B20" s="17" t="n">
        <v>3371</v>
      </c>
      <c r="C20" s="18">
        <f>(2967.0/B20*100)</f>
        <v/>
      </c>
      <c r="D20" s="19" t="n">
        <v>404</v>
      </c>
      <c r="E20" s="18" t="n">
        <v>25.40645607</v>
      </c>
      <c r="F20" s="20" t="n">
        <v>2.16470486</v>
      </c>
      <c r="G20" s="18" t="n">
        <v>73.48295791</v>
      </c>
      <c r="H20" s="20" t="n">
        <v>2.15231821</v>
      </c>
      <c r="I20" s="18" t="n">
        <v>0</v>
      </c>
      <c r="J20" s="20" t="n">
        <v>0</v>
      </c>
      <c r="K20" s="18" t="n">
        <v>0.2349491</v>
      </c>
      <c r="L20" s="20" t="n">
        <v>0.23678279</v>
      </c>
      <c r="M20" s="18" t="n">
        <v>0</v>
      </c>
      <c r="N20" s="20" t="n">
        <v>0</v>
      </c>
      <c r="O20" s="18" t="n">
        <v>0</v>
      </c>
      <c r="P20" s="20" t="n">
        <v>0</v>
      </c>
      <c r="Q20" s="18" t="n">
        <v>0.87563692</v>
      </c>
      <c r="R20" s="20" t="n">
        <v>0.43251325</v>
      </c>
    </row>
    <row r="21" spans="1:18">
      <c r="A21" s="15" t="s">
        <v>443</v>
      </c>
      <c r="B21" s="17" t="n">
        <v>5741</v>
      </c>
      <c r="C21" s="18">
        <f>(4792.0/B21*100)</f>
        <v/>
      </c>
      <c r="D21" s="19" t="n">
        <v>949</v>
      </c>
      <c r="E21" s="18" t="n">
        <v>24.07718378</v>
      </c>
      <c r="F21" s="20" t="n">
        <v>1.43689333</v>
      </c>
      <c r="G21" s="18" t="n">
        <v>75.12190227000001</v>
      </c>
      <c r="H21" s="20" t="n">
        <v>1.45819198</v>
      </c>
      <c r="I21" s="18" t="n">
        <v>0</v>
      </c>
      <c r="J21" s="20" t="n">
        <v>0</v>
      </c>
      <c r="K21" s="18" t="n">
        <v>0.09076263</v>
      </c>
      <c r="L21" s="20" t="n">
        <v>0.06537836</v>
      </c>
      <c r="M21" s="18" t="n">
        <v>0</v>
      </c>
      <c r="N21" s="20" t="n">
        <v>0</v>
      </c>
      <c r="O21" s="18" t="n">
        <v>0</v>
      </c>
      <c r="P21" s="20" t="n">
        <v>0</v>
      </c>
      <c r="Q21" s="18" t="n">
        <v>0.71015132</v>
      </c>
      <c r="R21" s="20" t="n">
        <v>0.26813071</v>
      </c>
    </row>
    <row r="22" spans="1:18">
      <c r="A22" s="15" t="s">
        <v>444</v>
      </c>
      <c r="B22" s="17" t="n">
        <v>6598</v>
      </c>
      <c r="C22" s="18">
        <f>(5771.0/B22*100)</f>
        <v/>
      </c>
      <c r="D22" s="19" t="n">
        <v>827</v>
      </c>
      <c r="E22" s="18" t="n">
        <v>22.84216636</v>
      </c>
      <c r="F22" s="20" t="n">
        <v>1.79315711</v>
      </c>
      <c r="G22" s="18" t="n">
        <v>73.07959106</v>
      </c>
      <c r="H22" s="20" t="n">
        <v>1.90873939</v>
      </c>
      <c r="I22" s="18" t="n">
        <v>0</v>
      </c>
      <c r="J22" s="20" t="n">
        <v>0</v>
      </c>
      <c r="K22" s="18" t="n">
        <v>0.35902056</v>
      </c>
      <c r="L22" s="20" t="n">
        <v>0.18544053</v>
      </c>
      <c r="M22" s="18" t="n">
        <v>0</v>
      </c>
      <c r="N22" s="20" t="n">
        <v>0</v>
      </c>
      <c r="O22" s="18" t="n">
        <v>0</v>
      </c>
      <c r="P22" s="20" t="n">
        <v>0</v>
      </c>
      <c r="Q22" s="18" t="n">
        <v>3.71922203</v>
      </c>
      <c r="R22" s="20" t="n">
        <v>0.77468247</v>
      </c>
    </row>
    <row r="23" spans="1:18">
      <c r="A23" s="15" t="s">
        <v>445</v>
      </c>
      <c r="B23" s="17" t="n">
        <v>11583</v>
      </c>
      <c r="C23" s="18">
        <f>(10180.0/B23*100)</f>
        <v/>
      </c>
      <c r="D23" s="19" t="n">
        <v>1403</v>
      </c>
      <c r="E23" s="18" t="n">
        <v>27.07083669</v>
      </c>
      <c r="F23" s="20" t="n">
        <v>1.83304267</v>
      </c>
      <c r="G23" s="18" t="n">
        <v>72.26511935000001</v>
      </c>
      <c r="H23" s="20" t="n">
        <v>1.87357246</v>
      </c>
      <c r="I23" s="18" t="n">
        <v>0</v>
      </c>
      <c r="J23" s="20" t="n">
        <v>0</v>
      </c>
      <c r="K23" s="18" t="n">
        <v>0.19160131</v>
      </c>
      <c r="L23" s="20" t="n">
        <v>0.13470112</v>
      </c>
      <c r="M23" s="18" t="n">
        <v>0</v>
      </c>
      <c r="N23" s="20" t="n">
        <v>0</v>
      </c>
      <c r="O23" s="18" t="n">
        <v>0</v>
      </c>
      <c r="P23" s="20" t="n">
        <v>0</v>
      </c>
      <c r="Q23" s="18" t="n">
        <v>0.47244265</v>
      </c>
      <c r="R23" s="20" t="n">
        <v>0.1649115</v>
      </c>
    </row>
    <row r="24" spans="1:18">
      <c r="A24" s="15" t="s">
        <v>446</v>
      </c>
      <c r="B24" s="17" t="n">
        <v>6647</v>
      </c>
      <c r="C24" s="18">
        <f>(5841.0/B24*100)</f>
        <v/>
      </c>
      <c r="D24" s="19" t="n">
        <v>806</v>
      </c>
      <c r="E24" s="18" t="n">
        <v>18.35359616</v>
      </c>
      <c r="F24" s="20" t="n">
        <v>1.35519499</v>
      </c>
      <c r="G24" s="18" t="n">
        <v>80.94777953000001</v>
      </c>
      <c r="H24" s="20" t="n">
        <v>1.35006944</v>
      </c>
      <c r="I24" s="18" t="n">
        <v>0</v>
      </c>
      <c r="J24" s="20" t="n">
        <v>0</v>
      </c>
      <c r="K24" s="18" t="n">
        <v>0</v>
      </c>
      <c r="L24" s="20" t="n">
        <v>0</v>
      </c>
      <c r="M24" s="18" t="n">
        <v>0</v>
      </c>
      <c r="N24" s="20" t="n">
        <v>0</v>
      </c>
      <c r="O24" s="18" t="n">
        <v>0</v>
      </c>
      <c r="P24" s="20" t="n">
        <v>0</v>
      </c>
      <c r="Q24" s="18" t="n">
        <v>0.69862431</v>
      </c>
      <c r="R24" s="20" t="n">
        <v>0.33069552</v>
      </c>
    </row>
    <row r="25" spans="1:18">
      <c r="A25" s="15" t="s">
        <v>447</v>
      </c>
      <c r="B25" s="17" t="n">
        <v>5581</v>
      </c>
      <c r="C25" s="18">
        <f>(4886.0/B25*100)</f>
        <v/>
      </c>
      <c r="D25" s="19" t="n">
        <v>695</v>
      </c>
      <c r="E25" s="18" t="n">
        <v>18.33774483</v>
      </c>
      <c r="F25" s="20" t="n">
        <v>1.43437185</v>
      </c>
      <c r="G25" s="18" t="n">
        <v>81.25452883</v>
      </c>
      <c r="H25" s="20" t="n">
        <v>1.47406791</v>
      </c>
      <c r="I25" s="18" t="n">
        <v>0</v>
      </c>
      <c r="J25" s="20" t="n">
        <v>0</v>
      </c>
      <c r="K25" s="18" t="n">
        <v>0.13402635</v>
      </c>
      <c r="L25" s="20" t="n">
        <v>0.13398772</v>
      </c>
      <c r="M25" s="18" t="n">
        <v>0</v>
      </c>
      <c r="N25" s="20" t="n">
        <v>0</v>
      </c>
      <c r="O25" s="18" t="n">
        <v>0</v>
      </c>
      <c r="P25" s="20" t="n">
        <v>0</v>
      </c>
      <c r="Q25" s="18" t="n">
        <v>0.27369999</v>
      </c>
      <c r="R25" s="20" t="n">
        <v>0.19363451</v>
      </c>
    </row>
    <row r="26" spans="1:18">
      <c r="A26" s="15" t="s">
        <v>448</v>
      </c>
      <c r="B26" s="17" t="n">
        <v>4869</v>
      </c>
      <c r="C26" s="18">
        <f>(4264.0/B26*100)</f>
        <v/>
      </c>
      <c r="D26" s="19" t="n">
        <v>605</v>
      </c>
      <c r="E26" s="18" t="n">
        <v>24.5874021</v>
      </c>
      <c r="F26" s="20" t="n">
        <v>1.87576547</v>
      </c>
      <c r="G26" s="18" t="n">
        <v>74.46572319000001</v>
      </c>
      <c r="H26" s="20" t="n">
        <v>1.96524759</v>
      </c>
      <c r="I26" s="18" t="n">
        <v>0</v>
      </c>
      <c r="J26" s="20" t="n">
        <v>0</v>
      </c>
      <c r="K26" s="18" t="n">
        <v>0</v>
      </c>
      <c r="L26" s="20" t="n">
        <v>0</v>
      </c>
      <c r="M26" s="18" t="n">
        <v>0</v>
      </c>
      <c r="N26" s="20" t="n">
        <v>0</v>
      </c>
      <c r="O26" s="18" t="n">
        <v>0</v>
      </c>
      <c r="P26" s="20" t="n">
        <v>0</v>
      </c>
      <c r="Q26" s="18" t="n">
        <v>0.94687471</v>
      </c>
      <c r="R26" s="20" t="n">
        <v>0.45168612</v>
      </c>
    </row>
    <row r="27" spans="1:18">
      <c r="A27" s="15" t="s">
        <v>449</v>
      </c>
      <c r="B27" s="17" t="n">
        <v>5299</v>
      </c>
      <c r="C27" s="18">
        <f>(4629.0/B27*100)</f>
        <v/>
      </c>
      <c r="D27" s="19" t="n">
        <v>670</v>
      </c>
      <c r="E27" s="18" t="n">
        <v>29.96959231</v>
      </c>
      <c r="F27" s="20" t="n">
        <v>2.02754411</v>
      </c>
      <c r="G27" s="18" t="n">
        <v>68.22904286000001</v>
      </c>
      <c r="H27" s="20" t="n">
        <v>2.00607451</v>
      </c>
      <c r="I27" s="18" t="n">
        <v>0</v>
      </c>
      <c r="J27" s="20" t="n">
        <v>0</v>
      </c>
      <c r="K27" s="18" t="n">
        <v>0.14970308</v>
      </c>
      <c r="L27" s="20" t="n">
        <v>0.1506315</v>
      </c>
      <c r="M27" s="18" t="n">
        <v>0</v>
      </c>
      <c r="N27" s="20" t="n">
        <v>0</v>
      </c>
      <c r="O27" s="18" t="n">
        <v>0</v>
      </c>
      <c r="P27" s="20" t="n">
        <v>0</v>
      </c>
      <c r="Q27" s="18" t="n">
        <v>1.65166174</v>
      </c>
      <c r="R27" s="20" t="n">
        <v>0.49508631</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20.62880122</v>
      </c>
      <c r="F29" s="20" t="n">
        <v>1.70467183</v>
      </c>
      <c r="G29" s="18" t="n">
        <v>78.11760232</v>
      </c>
      <c r="H29" s="20" t="n">
        <v>1.62029847</v>
      </c>
      <c r="I29" s="18" t="n">
        <v>0</v>
      </c>
      <c r="J29" s="20" t="n">
        <v>0</v>
      </c>
      <c r="K29" s="18" t="n">
        <v>0.33875531</v>
      </c>
      <c r="L29" s="20" t="n">
        <v>0.23990196</v>
      </c>
      <c r="M29" s="18" t="n">
        <v>0</v>
      </c>
      <c r="N29" s="20" t="n">
        <v>0</v>
      </c>
      <c r="O29" s="18" t="n">
        <v>0</v>
      </c>
      <c r="P29" s="20" t="n">
        <v>0</v>
      </c>
      <c r="Q29" s="18" t="n">
        <v>0.91484115</v>
      </c>
      <c r="R29" s="20" t="n">
        <v>0.39043802</v>
      </c>
    </row>
    <row r="30" spans="1:18">
      <c r="A30" s="15" t="s">
        <v>452</v>
      </c>
      <c r="B30" s="17" t="n">
        <v>4520</v>
      </c>
      <c r="C30" s="18">
        <f>(3953.0/B30*100)</f>
        <v/>
      </c>
      <c r="D30" s="19" t="n">
        <v>567</v>
      </c>
      <c r="E30" s="18" t="n">
        <v>29.68551583</v>
      </c>
      <c r="F30" s="20" t="n">
        <v>1.87826074</v>
      </c>
      <c r="G30" s="18" t="n">
        <v>69.32714235</v>
      </c>
      <c r="H30" s="20" t="n">
        <v>1.85505413</v>
      </c>
      <c r="I30" s="18" t="n">
        <v>0</v>
      </c>
      <c r="J30" s="20" t="n">
        <v>0</v>
      </c>
      <c r="K30" s="18" t="n">
        <v>0</v>
      </c>
      <c r="L30" s="20" t="n">
        <v>0</v>
      </c>
      <c r="M30" s="18" t="n">
        <v>0</v>
      </c>
      <c r="N30" s="20" t="n">
        <v>0</v>
      </c>
      <c r="O30" s="18" t="n">
        <v>0</v>
      </c>
      <c r="P30" s="20" t="n">
        <v>0</v>
      </c>
      <c r="Q30" s="18" t="n">
        <v>0.98734183</v>
      </c>
      <c r="R30" s="20" t="n">
        <v>0.41074376</v>
      </c>
    </row>
    <row r="31" spans="1:18">
      <c r="A31" s="15" t="s">
        <v>453</v>
      </c>
      <c r="B31" s="17" t="n">
        <v>5456</v>
      </c>
      <c r="C31" s="18">
        <f>(4777.0/B31*100)</f>
        <v/>
      </c>
      <c r="D31" s="19" t="n">
        <v>679</v>
      </c>
      <c r="E31" s="18" t="n">
        <v>26.98355501</v>
      </c>
      <c r="F31" s="20" t="n">
        <v>1.50021575</v>
      </c>
      <c r="G31" s="18" t="n">
        <v>72.24942634999999</v>
      </c>
      <c r="H31" s="20" t="n">
        <v>1.45242593</v>
      </c>
      <c r="I31" s="18" t="n">
        <v>0</v>
      </c>
      <c r="J31" s="20" t="n">
        <v>0</v>
      </c>
      <c r="K31" s="18" t="n">
        <v>0</v>
      </c>
      <c r="L31" s="20" t="n">
        <v>0</v>
      </c>
      <c r="M31" s="18" t="n">
        <v>0</v>
      </c>
      <c r="N31" s="20" t="n">
        <v>0</v>
      </c>
      <c r="O31" s="18" t="n">
        <v>0</v>
      </c>
      <c r="P31" s="20" t="n">
        <v>0</v>
      </c>
      <c r="Q31" s="18" t="n">
        <v>0.76701864</v>
      </c>
      <c r="R31" s="20" t="n">
        <v>0.33680457</v>
      </c>
    </row>
    <row r="32" spans="1:18">
      <c r="A32" s="15" t="s">
        <v>454</v>
      </c>
      <c r="B32" s="17" t="n">
        <v>4478</v>
      </c>
      <c r="C32" s="18">
        <f>(3717.0/B32*100)</f>
        <v/>
      </c>
      <c r="D32" s="19" t="n">
        <v>761</v>
      </c>
      <c r="E32" s="18" t="n">
        <v>25.09242403</v>
      </c>
      <c r="F32" s="20" t="n">
        <v>1.69577552</v>
      </c>
      <c r="G32" s="18" t="n">
        <v>73.93200100999999</v>
      </c>
      <c r="H32" s="20" t="n">
        <v>1.66406688</v>
      </c>
      <c r="I32" s="18" t="n">
        <v>0</v>
      </c>
      <c r="J32" s="20" t="n">
        <v>0</v>
      </c>
      <c r="K32" s="18" t="n">
        <v>0.13577066</v>
      </c>
      <c r="L32" s="20" t="n">
        <v>0.11848184</v>
      </c>
      <c r="M32" s="18" t="n">
        <v>0</v>
      </c>
      <c r="N32" s="20" t="n">
        <v>0</v>
      </c>
      <c r="O32" s="18" t="n">
        <v>0</v>
      </c>
      <c r="P32" s="20" t="n">
        <v>0</v>
      </c>
      <c r="Q32" s="18" t="n">
        <v>0.83980429</v>
      </c>
      <c r="R32" s="20" t="n">
        <v>0.36621058</v>
      </c>
    </row>
    <row r="33" spans="1:18">
      <c r="A33" s="15" t="s">
        <v>455</v>
      </c>
      <c r="B33" s="17" t="n">
        <v>7325</v>
      </c>
      <c r="C33" s="18">
        <f>(6416.0/B33*100)</f>
        <v/>
      </c>
      <c r="D33" s="19" t="n">
        <v>909</v>
      </c>
      <c r="E33" s="18" t="n">
        <v>19.9751862</v>
      </c>
      <c r="F33" s="20" t="n">
        <v>1.58453899</v>
      </c>
      <c r="G33" s="18" t="n">
        <v>79.20342205</v>
      </c>
      <c r="H33" s="20" t="n">
        <v>1.6003603</v>
      </c>
      <c r="I33" s="18" t="n">
        <v>0</v>
      </c>
      <c r="J33" s="20" t="n">
        <v>0</v>
      </c>
      <c r="K33" s="18" t="n">
        <v>0</v>
      </c>
      <c r="L33" s="20" t="n">
        <v>0</v>
      </c>
      <c r="M33" s="18" t="n">
        <v>0</v>
      </c>
      <c r="N33" s="20" t="n">
        <v>0</v>
      </c>
      <c r="O33" s="18" t="n">
        <v>0</v>
      </c>
      <c r="P33" s="20" t="n">
        <v>0</v>
      </c>
      <c r="Q33" s="18" t="n">
        <v>0.82139175</v>
      </c>
      <c r="R33" s="20" t="n">
        <v>0.29307709</v>
      </c>
    </row>
    <row r="34" spans="1:18">
      <c r="A34" s="15" t="s">
        <v>456</v>
      </c>
      <c r="B34" s="17" t="n">
        <v>6350</v>
      </c>
      <c r="C34" s="18">
        <f>(5569.0/B34*100)</f>
        <v/>
      </c>
      <c r="D34" s="19" t="n">
        <v>781</v>
      </c>
      <c r="E34" s="18" t="n">
        <v>26.8116414</v>
      </c>
      <c r="F34" s="20" t="n">
        <v>2.05726982</v>
      </c>
      <c r="G34" s="18" t="n">
        <v>71.36389624</v>
      </c>
      <c r="H34" s="20" t="n">
        <v>2.1795483</v>
      </c>
      <c r="I34" s="18" t="n">
        <v>0</v>
      </c>
      <c r="J34" s="20" t="n">
        <v>0</v>
      </c>
      <c r="K34" s="18" t="n">
        <v>0.0966133</v>
      </c>
      <c r="L34" s="20" t="n">
        <v>0.09691577</v>
      </c>
      <c r="M34" s="18" t="n">
        <v>0</v>
      </c>
      <c r="N34" s="20" t="n">
        <v>0</v>
      </c>
      <c r="O34" s="18" t="n">
        <v>0</v>
      </c>
      <c r="P34" s="20" t="n">
        <v>0</v>
      </c>
      <c r="Q34" s="18" t="n">
        <v>1.72784906</v>
      </c>
      <c r="R34" s="20" t="n">
        <v>0.5523821</v>
      </c>
    </row>
    <row r="35" spans="1:18">
      <c r="A35" s="15" t="s">
        <v>457</v>
      </c>
      <c r="B35" s="17" t="n">
        <v>6406</v>
      </c>
      <c r="C35" s="18">
        <f>(5612.0/B35*100)</f>
        <v/>
      </c>
      <c r="D35" s="19" t="n">
        <v>794</v>
      </c>
      <c r="E35" s="18" t="n">
        <v>21.36222921</v>
      </c>
      <c r="F35" s="20" t="n">
        <v>1.21037763</v>
      </c>
      <c r="G35" s="18" t="n">
        <v>77.51938800000001</v>
      </c>
      <c r="H35" s="20" t="n">
        <v>1.22579422</v>
      </c>
      <c r="I35" s="18" t="n">
        <v>0</v>
      </c>
      <c r="J35" s="20" t="n">
        <v>0</v>
      </c>
      <c r="K35" s="18" t="n">
        <v>0.11626179</v>
      </c>
      <c r="L35" s="20" t="n">
        <v>0.08258689</v>
      </c>
      <c r="M35" s="18" t="n">
        <v>0</v>
      </c>
      <c r="N35" s="20" t="n">
        <v>0</v>
      </c>
      <c r="O35" s="18" t="n">
        <v>0</v>
      </c>
      <c r="P35" s="20" t="n">
        <v>0</v>
      </c>
      <c r="Q35" s="18" t="n">
        <v>1.00212101</v>
      </c>
      <c r="R35" s="20" t="n">
        <v>0.46275616</v>
      </c>
    </row>
    <row r="36" spans="1:18">
      <c r="A36" s="15" t="s">
        <v>458</v>
      </c>
      <c r="B36" s="17" t="n">
        <v>6736</v>
      </c>
      <c r="C36" s="18">
        <f>(5915.0/B36*100)</f>
        <v/>
      </c>
      <c r="D36" s="19" t="n">
        <v>821</v>
      </c>
      <c r="E36" s="18" t="n">
        <v>25.89015549</v>
      </c>
      <c r="F36" s="20" t="n">
        <v>1.76448126</v>
      </c>
      <c r="G36" s="18" t="n">
        <v>72.94161447</v>
      </c>
      <c r="H36" s="20" t="n">
        <v>1.73443593</v>
      </c>
      <c r="I36" s="18" t="n">
        <v>0</v>
      </c>
      <c r="J36" s="20" t="n">
        <v>0</v>
      </c>
      <c r="K36" s="18" t="n">
        <v>0</v>
      </c>
      <c r="L36" s="20" t="n">
        <v>0</v>
      </c>
      <c r="M36" s="18" t="n">
        <v>0</v>
      </c>
      <c r="N36" s="20" t="n">
        <v>0</v>
      </c>
      <c r="O36" s="18" t="n">
        <v>0</v>
      </c>
      <c r="P36" s="20" t="n">
        <v>0</v>
      </c>
      <c r="Q36" s="18" t="n">
        <v>1.16823004</v>
      </c>
      <c r="R36" s="20" t="n">
        <v>0.39374296</v>
      </c>
    </row>
    <row r="37" spans="1:18">
      <c r="A37" s="15" t="s">
        <v>459</v>
      </c>
      <c r="B37" s="17" t="n">
        <v>5458</v>
      </c>
      <c r="C37" s="18">
        <f>(4786.0/B37*100)</f>
        <v/>
      </c>
      <c r="D37" s="19" t="n">
        <v>672</v>
      </c>
      <c r="E37" s="18" t="n">
        <v>21.87191411</v>
      </c>
      <c r="F37" s="20" t="n">
        <v>1.86590812</v>
      </c>
      <c r="G37" s="18" t="n">
        <v>76.51498828</v>
      </c>
      <c r="H37" s="20" t="n">
        <v>1.86804789</v>
      </c>
      <c r="I37" s="18" t="n">
        <v>0</v>
      </c>
      <c r="J37" s="20" t="n">
        <v>0</v>
      </c>
      <c r="K37" s="18" t="n">
        <v>0.30790551</v>
      </c>
      <c r="L37" s="20" t="n">
        <v>0.2177748</v>
      </c>
      <c r="M37" s="18" t="n">
        <v>0</v>
      </c>
      <c r="N37" s="20" t="n">
        <v>0</v>
      </c>
      <c r="O37" s="18" t="n">
        <v>0</v>
      </c>
      <c r="P37" s="20" t="n">
        <v>0</v>
      </c>
      <c r="Q37" s="18" t="n">
        <v>1.30519209</v>
      </c>
      <c r="R37" s="20" t="n">
        <v>0.43205303</v>
      </c>
    </row>
    <row r="38" spans="1:18">
      <c r="A38" s="15" t="s">
        <v>460</v>
      </c>
      <c r="B38" s="17" t="n">
        <v>5860</v>
      </c>
      <c r="C38" s="18">
        <f>(4879.0/B38*100)</f>
        <v/>
      </c>
      <c r="D38" s="19" t="n">
        <v>981</v>
      </c>
      <c r="E38" s="18" t="n">
        <v>27.07764501</v>
      </c>
      <c r="F38" s="20" t="n">
        <v>1.49239709</v>
      </c>
      <c r="G38" s="18" t="n">
        <v>71.72810171</v>
      </c>
      <c r="H38" s="20" t="n">
        <v>1.54897465</v>
      </c>
      <c r="I38" s="18" t="n">
        <v>0</v>
      </c>
      <c r="J38" s="20" t="n">
        <v>0</v>
      </c>
      <c r="K38" s="18" t="n">
        <v>0.09832546</v>
      </c>
      <c r="L38" s="20" t="n">
        <v>0.09873393</v>
      </c>
      <c r="M38" s="18" t="n">
        <v>0</v>
      </c>
      <c r="N38" s="20" t="n">
        <v>0</v>
      </c>
      <c r="O38" s="18" t="n">
        <v>0</v>
      </c>
      <c r="P38" s="20" t="n">
        <v>0</v>
      </c>
      <c r="Q38" s="18" t="n">
        <v>1.09592782</v>
      </c>
      <c r="R38" s="20" t="n">
        <v>0.30692293</v>
      </c>
    </row>
    <row r="39" spans="1:18">
      <c r="A39" s="15" t="s">
        <v>461</v>
      </c>
      <c r="B39" s="17" t="n">
        <v>5895</v>
      </c>
      <c r="C39" s="18">
        <f>(5157.0/B39*100)</f>
        <v/>
      </c>
      <c r="D39" s="19" t="n">
        <v>738</v>
      </c>
      <c r="E39" s="18" t="n">
        <v>40.63497147</v>
      </c>
      <c r="F39" s="20" t="n">
        <v>2.33336894</v>
      </c>
      <c r="G39" s="18" t="n">
        <v>58.13641987</v>
      </c>
      <c r="H39" s="20" t="n">
        <v>2.32241688</v>
      </c>
      <c r="I39" s="18" t="n">
        <v>0</v>
      </c>
      <c r="J39" s="20" t="n">
        <v>0</v>
      </c>
      <c r="K39" s="18" t="n">
        <v>0.15099617</v>
      </c>
      <c r="L39" s="20" t="n">
        <v>0.21478173</v>
      </c>
      <c r="M39" s="18" t="n">
        <v>0</v>
      </c>
      <c r="N39" s="20" t="n">
        <v>0</v>
      </c>
      <c r="O39" s="18" t="n">
        <v>0</v>
      </c>
      <c r="P39" s="20" t="n">
        <v>0</v>
      </c>
      <c r="Q39" s="18" t="n">
        <v>1.07761248</v>
      </c>
      <c r="R39" s="20" t="n">
        <v>0.36352418</v>
      </c>
    </row>
    <row r="40" spans="1:18">
      <c r="A40" s="15" t="s">
        <v>462</v>
      </c>
      <c r="B40" s="17" t="n">
        <v>14157</v>
      </c>
      <c r="C40" s="18">
        <f>(12374.0/B40*100)</f>
        <v/>
      </c>
      <c r="D40" s="19" t="n">
        <v>1783</v>
      </c>
      <c r="E40" s="18" t="n">
        <v>25.01874635</v>
      </c>
      <c r="F40" s="20" t="n">
        <v>1.50918917</v>
      </c>
      <c r="G40" s="18" t="n">
        <v>74.12367492</v>
      </c>
      <c r="H40" s="20" t="n">
        <v>1.56569443</v>
      </c>
      <c r="I40" s="18" t="n">
        <v>0</v>
      </c>
      <c r="J40" s="20" t="n">
        <v>0</v>
      </c>
      <c r="K40" s="18" t="n">
        <v>0.02406381</v>
      </c>
      <c r="L40" s="20" t="n">
        <v>0.02000421</v>
      </c>
      <c r="M40" s="18" t="n">
        <v>0</v>
      </c>
      <c r="N40" s="20" t="n">
        <v>0</v>
      </c>
      <c r="O40" s="18" t="n">
        <v>0</v>
      </c>
      <c r="P40" s="20" t="n">
        <v>0</v>
      </c>
      <c r="Q40" s="18" t="n">
        <v>0.83351491</v>
      </c>
      <c r="R40" s="20" t="n">
        <v>0.29738546</v>
      </c>
    </row>
    <row r="41" spans="1:18">
      <c r="A41" s="15" t="s">
        <v>463</v>
      </c>
      <c r="B41" s="17" t="n">
        <v>5712</v>
      </c>
      <c r="C41" s="18">
        <f>(5032.0/B41*100)</f>
        <v/>
      </c>
      <c r="D41" s="19" t="n">
        <v>680</v>
      </c>
      <c r="E41" s="18" t="n">
        <v>26.78925674</v>
      </c>
      <c r="F41" s="20" t="n">
        <v>1.96970476</v>
      </c>
      <c r="G41" s="18" t="n">
        <v>72.70465475</v>
      </c>
      <c r="H41" s="20" t="n">
        <v>1.95095032</v>
      </c>
      <c r="I41" s="18" t="n">
        <v>0</v>
      </c>
      <c r="J41" s="20" t="n">
        <v>0</v>
      </c>
      <c r="K41" s="18" t="n">
        <v>0</v>
      </c>
      <c r="L41" s="20" t="n">
        <v>0</v>
      </c>
      <c r="M41" s="18" t="n">
        <v>0</v>
      </c>
      <c r="N41" s="20" t="n">
        <v>0</v>
      </c>
      <c r="O41" s="18" t="n">
        <v>0</v>
      </c>
      <c r="P41" s="20" t="n">
        <v>0</v>
      </c>
      <c r="Q41" s="18" t="n">
        <v>0.5060885000000001</v>
      </c>
      <c r="R41" s="20" t="n">
        <v>0.27849834</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(8629.0/B48*100)</f>
        <v/>
      </c>
      <c r="D48" s="19" t="n">
        <v>1212</v>
      </c>
      <c r="E48" s="18" t="n">
        <v>21.45558015</v>
      </c>
      <c r="F48" s="20" t="n">
        <v>1.79787806</v>
      </c>
      <c r="G48" s="18" t="n">
        <v>76.91788686</v>
      </c>
      <c r="H48" s="20" t="n">
        <v>1.83244937</v>
      </c>
      <c r="I48" s="18" t="n">
        <v>0</v>
      </c>
      <c r="J48" s="20" t="n">
        <v>0</v>
      </c>
      <c r="K48" s="18" t="n">
        <v>0.29131179</v>
      </c>
      <c r="L48" s="20" t="n">
        <v>0.25334254</v>
      </c>
      <c r="M48" s="18" t="n">
        <v>0</v>
      </c>
      <c r="N48" s="20" t="n">
        <v>0</v>
      </c>
      <c r="O48" s="18" t="n">
        <v>0</v>
      </c>
      <c r="P48" s="20" t="n">
        <v>0</v>
      </c>
      <c r="Q48" s="18" t="n">
        <v>1.3352212</v>
      </c>
      <c r="R48" s="20" t="n">
        <v>0.36547284</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(5083.0/B51*100)</f>
        <v/>
      </c>
      <c r="D51" s="19" t="n">
        <v>726</v>
      </c>
      <c r="E51" s="18" t="n">
        <v>28.66851367</v>
      </c>
      <c r="F51" s="20" t="n">
        <v>1.68469056</v>
      </c>
      <c r="G51" s="18" t="n">
        <v>69.45583009000001</v>
      </c>
      <c r="H51" s="20" t="n">
        <v>1.79090599</v>
      </c>
      <c r="I51" s="18" t="n">
        <v>0</v>
      </c>
      <c r="J51" s="20" t="n">
        <v>0</v>
      </c>
      <c r="K51" s="18" t="n">
        <v>0</v>
      </c>
      <c r="L51" s="20" t="n">
        <v>0</v>
      </c>
      <c r="M51" s="18" t="n">
        <v>0</v>
      </c>
      <c r="N51" s="20" t="n">
        <v>0</v>
      </c>
      <c r="O51" s="18" t="n">
        <v>0</v>
      </c>
      <c r="P51" s="20" t="n">
        <v>0</v>
      </c>
      <c r="Q51" s="18" t="n">
        <v>1.87565624</v>
      </c>
      <c r="R51" s="20" t="n">
        <v>0.41033894</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18.59453998</v>
      </c>
      <c r="F55" s="20" t="n">
        <v>1.75002817</v>
      </c>
      <c r="G55" s="18" t="n">
        <v>80.27618943</v>
      </c>
      <c r="H55" s="20" t="n">
        <v>1.88429723</v>
      </c>
      <c r="I55" s="18" t="n">
        <v>0</v>
      </c>
      <c r="J55" s="20" t="n">
        <v>0</v>
      </c>
      <c r="K55" s="18" t="n">
        <v>0.43320348</v>
      </c>
      <c r="L55" s="20" t="n">
        <v>0.32024206</v>
      </c>
      <c r="M55" s="18" t="n">
        <v>0</v>
      </c>
      <c r="N55" s="20" t="n">
        <v>0</v>
      </c>
      <c r="O55" s="18" t="n">
        <v>0</v>
      </c>
      <c r="P55" s="20" t="n">
        <v>0</v>
      </c>
      <c r="Q55" s="18" t="n">
        <v>0.69606712</v>
      </c>
      <c r="R55" s="20" t="n">
        <v>0.38105894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(5677.0/B61*100)</f>
        <v/>
      </c>
      <c r="D61" s="19" t="n">
        <v>848</v>
      </c>
      <c r="E61" s="18" t="n">
        <v>27.99190072</v>
      </c>
      <c r="F61" s="20" t="n">
        <v>1.82518116</v>
      </c>
      <c r="G61" s="18" t="n">
        <v>70.92038724</v>
      </c>
      <c r="H61" s="20" t="n">
        <v>1.79386272</v>
      </c>
      <c r="I61" s="18" t="n">
        <v>0</v>
      </c>
      <c r="J61" s="20" t="n">
        <v>0</v>
      </c>
      <c r="K61" s="18" t="n">
        <v>0.18269893</v>
      </c>
      <c r="L61" s="20" t="n">
        <v>0.1579156</v>
      </c>
      <c r="M61" s="18" t="n">
        <v>0</v>
      </c>
      <c r="N61" s="20" t="n">
        <v>0</v>
      </c>
      <c r="O61" s="18" t="n">
        <v>0</v>
      </c>
      <c r="P61" s="20" t="n">
        <v>0</v>
      </c>
      <c r="Q61" s="18" t="n">
        <v>0.90501312</v>
      </c>
      <c r="R61" s="20" t="n">
        <v>0.36295753</v>
      </c>
    </row>
    <row r="62" spans="1:18">
      <c r="A62" s="15" t="s">
        <v>486</v>
      </c>
      <c r="B62" s="17" t="n">
        <v>4476</v>
      </c>
      <c r="C62" s="18">
        <f>(3923.0/B62*100)</f>
        <v/>
      </c>
      <c r="D62" s="19" t="n">
        <v>553</v>
      </c>
      <c r="E62" s="18" t="n">
        <v>15.60579862</v>
      </c>
      <c r="F62" s="20" t="n">
        <v>1.76689141</v>
      </c>
      <c r="G62" s="18" t="n">
        <v>83.66574126</v>
      </c>
      <c r="H62" s="20" t="n">
        <v>1.80704005</v>
      </c>
      <c r="I62" s="18" t="n">
        <v>0</v>
      </c>
      <c r="J62" s="20" t="n">
        <v>0</v>
      </c>
      <c r="K62" s="18" t="n">
        <v>0.18576119</v>
      </c>
      <c r="L62" s="20" t="n">
        <v>0.18528316</v>
      </c>
      <c r="M62" s="18" t="n">
        <v>0</v>
      </c>
      <c r="N62" s="20" t="n">
        <v>0</v>
      </c>
      <c r="O62" s="18" t="n">
        <v>0</v>
      </c>
      <c r="P62" s="20" t="n">
        <v>0</v>
      </c>
      <c r="Q62" s="18" t="n">
        <v>0.54269893</v>
      </c>
      <c r="R62" s="20" t="n">
        <v>0.31441815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(4994.0/B67*100)</f>
        <v/>
      </c>
      <c r="D67" s="19" t="n">
        <v>671</v>
      </c>
      <c r="E67" s="18" t="n">
        <v>39.30017242</v>
      </c>
      <c r="F67" s="20" t="n">
        <v>1.91426946</v>
      </c>
      <c r="G67" s="18" t="n">
        <v>56.98332045</v>
      </c>
      <c r="H67" s="20" t="n">
        <v>1.90983291</v>
      </c>
      <c r="I67" s="18" t="n">
        <v>0</v>
      </c>
      <c r="J67" s="20" t="n">
        <v>0</v>
      </c>
      <c r="K67" s="18" t="n">
        <v>0.70526954</v>
      </c>
      <c r="L67" s="20" t="n">
        <v>0.31821482</v>
      </c>
      <c r="M67" s="18" t="n">
        <v>0</v>
      </c>
      <c r="N67" s="20" t="n">
        <v>0</v>
      </c>
      <c r="O67" s="18" t="n">
        <v>0</v>
      </c>
      <c r="P67" s="20" t="n">
        <v>0</v>
      </c>
      <c r="Q67" s="18" t="n">
        <v>3.01123759</v>
      </c>
      <c r="R67" s="20" t="n">
        <v>0.61933346</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(5309.0/B72*100)</f>
        <v/>
      </c>
      <c r="D72" s="19" t="n">
        <v>727</v>
      </c>
      <c r="E72" s="18" t="n">
        <v>20.886734</v>
      </c>
      <c r="F72" s="20" t="n">
        <v>1.61048747</v>
      </c>
      <c r="G72" s="18" t="n">
        <v>77.05820043</v>
      </c>
      <c r="H72" s="20" t="n">
        <v>1.78735366</v>
      </c>
      <c r="I72" s="18" t="n">
        <v>0</v>
      </c>
      <c r="J72" s="20" t="n">
        <v>0</v>
      </c>
      <c r="K72" s="18" t="n">
        <v>0.11445851</v>
      </c>
      <c r="L72" s="20" t="n">
        <v>0.16187198</v>
      </c>
      <c r="M72" s="18" t="n">
        <v>0</v>
      </c>
      <c r="N72" s="20" t="n">
        <v>0</v>
      </c>
      <c r="O72" s="18" t="n">
        <v>0</v>
      </c>
      <c r="P72" s="20" t="n">
        <v>0</v>
      </c>
      <c r="Q72" s="18" t="n">
        <v>1.94060705</v>
      </c>
      <c r="R72" s="20" t="n">
        <v>0.60353564</v>
      </c>
    </row>
    <row r="73" spans="1:18">
      <c r="A73" s="15" t="s">
        <v>497</v>
      </c>
      <c r="B73" s="17" t="n">
        <v>6115</v>
      </c>
      <c r="C73" s="18">
        <f>(5346.0/B73*100)</f>
        <v/>
      </c>
      <c r="D73" s="19" t="n">
        <v>769</v>
      </c>
      <c r="E73" s="18" t="n">
        <v>20.07641555</v>
      </c>
      <c r="F73" s="20" t="n">
        <v>1.26050462</v>
      </c>
      <c r="G73" s="18" t="n">
        <v>79.03520741</v>
      </c>
      <c r="H73" s="20" t="n">
        <v>1.2612093</v>
      </c>
      <c r="I73" s="18" t="n">
        <v>0</v>
      </c>
      <c r="J73" s="20" t="n">
        <v>0</v>
      </c>
      <c r="K73" s="18" t="n">
        <v>0.53615832</v>
      </c>
      <c r="L73" s="20" t="n">
        <v>0.17501433</v>
      </c>
      <c r="M73" s="18" t="n">
        <v>0</v>
      </c>
      <c r="N73" s="20" t="n">
        <v>0</v>
      </c>
      <c r="O73" s="18" t="n">
        <v>0</v>
      </c>
      <c r="P73" s="20" t="n">
        <v>0</v>
      </c>
      <c r="Q73" s="18" t="n">
        <v>0.35221872</v>
      </c>
      <c r="R73" s="20" t="n">
        <v>0.19998613</v>
      </c>
    </row>
    <row r="74" spans="1:18">
      <c r="A74" s="15" t="s">
        <v>498</v>
      </c>
      <c r="B74" s="17" t="n">
        <v>7708</v>
      </c>
      <c r="C74" s="18">
        <f>(6749.0/B74*100)</f>
        <v/>
      </c>
      <c r="D74" s="19" t="n">
        <v>959</v>
      </c>
      <c r="E74" s="18" t="n">
        <v>18.70802452</v>
      </c>
      <c r="F74" s="20" t="n">
        <v>1.20472308</v>
      </c>
      <c r="G74" s="18" t="n">
        <v>80.10485955999999</v>
      </c>
      <c r="H74" s="20" t="n">
        <v>1.23200644</v>
      </c>
      <c r="I74" s="18" t="n">
        <v>0</v>
      </c>
      <c r="J74" s="20" t="n">
        <v>0</v>
      </c>
      <c r="K74" s="18" t="n">
        <v>0.2634154</v>
      </c>
      <c r="L74" s="20" t="n">
        <v>0.14042673</v>
      </c>
      <c r="M74" s="18" t="n">
        <v>0</v>
      </c>
      <c r="N74" s="20" t="n">
        <v>0</v>
      </c>
      <c r="O74" s="18" t="n">
        <v>0</v>
      </c>
      <c r="P74" s="20" t="n">
        <v>0</v>
      </c>
      <c r="Q74" s="18" t="n">
        <v>0.92370053</v>
      </c>
      <c r="R74" s="20" t="n">
        <v>0.33742304</v>
      </c>
    </row>
    <row r="75" spans="1:18">
      <c r="A75" s="15" t="s">
        <v>499</v>
      </c>
      <c r="B75" s="17" t="n">
        <v>8249</v>
      </c>
      <c r="C75" s="18">
        <f>(7241.0/B75*100)</f>
        <v/>
      </c>
      <c r="D75" s="19" t="n">
        <v>1008</v>
      </c>
      <c r="E75" s="18" t="n">
        <v>35.99392807</v>
      </c>
      <c r="F75" s="20" t="n">
        <v>1.88278473</v>
      </c>
      <c r="G75" s="18" t="n">
        <v>63.14614138</v>
      </c>
      <c r="H75" s="20" t="n">
        <v>1.96458525</v>
      </c>
      <c r="I75" s="18" t="n">
        <v>0</v>
      </c>
      <c r="J75" s="20" t="n">
        <v>0</v>
      </c>
      <c r="K75" s="18" t="n">
        <v>0</v>
      </c>
      <c r="L75" s="20" t="n">
        <v>0</v>
      </c>
      <c r="M75" s="18" t="n">
        <v>0</v>
      </c>
      <c r="N75" s="20" t="n">
        <v>0</v>
      </c>
      <c r="O75" s="18" t="n">
        <v>0</v>
      </c>
      <c r="P75" s="20" t="n">
        <v>0</v>
      </c>
      <c r="Q75" s="18" t="n">
        <v>0.85993055</v>
      </c>
      <c r="R75" s="20" t="n">
        <v>0.34882091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(28401.0/B82*100)</f>
        <v/>
      </c>
      <c r="D82" s="19" t="n">
        <v>3929</v>
      </c>
      <c r="E82" s="18" t="n">
        <v>25.81111437</v>
      </c>
      <c r="F82" s="20" t="n">
        <v>1.13550434</v>
      </c>
      <c r="G82" s="18" t="n">
        <v>72.94239097000001</v>
      </c>
      <c r="H82" s="20" t="n">
        <v>1.1366152</v>
      </c>
      <c r="I82" s="18" t="n">
        <v>0</v>
      </c>
      <c r="J82" s="20" t="n">
        <v>0</v>
      </c>
      <c r="K82" s="18" t="n">
        <v>0.09095032</v>
      </c>
      <c r="L82" s="20" t="n">
        <v>0.04608462</v>
      </c>
      <c r="M82" s="18" t="n">
        <v>0</v>
      </c>
      <c r="N82" s="20" t="n">
        <v>0</v>
      </c>
      <c r="O82" s="18" t="n">
        <v>0</v>
      </c>
      <c r="P82" s="20" t="n">
        <v>0</v>
      </c>
      <c r="Q82" s="18" t="n">
        <v>1.15554433</v>
      </c>
      <c r="R82" s="20" t="n">
        <v>0.21151421</v>
      </c>
    </row>
    <row r="83" spans="1:18">
      <c r="A83" s="15" t="s">
        <v>507</v>
      </c>
      <c r="B83" s="17" t="n">
        <v>1652</v>
      </c>
      <c r="C83" s="18">
        <f>(1465.0/B83*100)</f>
        <v/>
      </c>
      <c r="D83" s="19" t="n">
        <v>187</v>
      </c>
      <c r="E83" s="18" t="n">
        <v>20.12761099</v>
      </c>
      <c r="F83" s="20" t="n">
        <v>3.33941749</v>
      </c>
      <c r="G83" s="18" t="n">
        <v>79.87238901000001</v>
      </c>
      <c r="H83" s="20" t="n">
        <v>3.33941749</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(1657.0/B84*100)</f>
        <v/>
      </c>
      <c r="D84" s="19" t="n">
        <v>230</v>
      </c>
      <c r="E84" s="18" t="n">
        <v>26.21008565</v>
      </c>
      <c r="F84" s="20" t="n">
        <v>2.84567463</v>
      </c>
      <c r="G84" s="18" t="n">
        <v>72.46019963000001</v>
      </c>
      <c r="H84" s="20" t="n">
        <v>2.90176845</v>
      </c>
      <c r="I84" s="18" t="n">
        <v>0</v>
      </c>
      <c r="J84" s="20" t="n">
        <v>0</v>
      </c>
      <c r="K84" s="18" t="n">
        <v>0</v>
      </c>
      <c r="L84" s="20" t="n">
        <v>0</v>
      </c>
      <c r="M84" s="18" t="n">
        <v>0</v>
      </c>
      <c r="N84" s="20" t="n">
        <v>0</v>
      </c>
      <c r="O84" s="18" t="n">
        <v>0</v>
      </c>
      <c r="P84" s="20" t="n">
        <v>0</v>
      </c>
      <c r="Q84" s="18" t="n">
        <v>1.32971473</v>
      </c>
      <c r="R84" s="20" t="n">
        <v>0.75081049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(12701.0/B7*100)</f>
        <v/>
      </c>
      <c r="D7" s="19" t="n">
        <v>1829</v>
      </c>
      <c r="E7" s="18" t="n">
        <v>30.27791637</v>
      </c>
      <c r="F7" s="20" t="n">
        <v>1.24915069</v>
      </c>
      <c r="G7" s="18" t="n">
        <v>68.25514217</v>
      </c>
      <c r="H7" s="20" t="n">
        <v>1.25931755</v>
      </c>
      <c r="I7" s="18" t="n">
        <v>0</v>
      </c>
      <c r="J7" s="20" t="n">
        <v>0</v>
      </c>
      <c r="K7" s="18" t="n">
        <v>0.08763764</v>
      </c>
      <c r="L7" s="20" t="n">
        <v>0.04578542</v>
      </c>
      <c r="M7" s="18" t="n">
        <v>0</v>
      </c>
      <c r="N7" s="20" t="n">
        <v>0</v>
      </c>
      <c r="O7" s="18" t="n">
        <v>0</v>
      </c>
      <c r="P7" s="20" t="n">
        <v>0</v>
      </c>
      <c r="Q7" s="18" t="n">
        <v>1.37930382</v>
      </c>
      <c r="R7" s="20" t="n">
        <v>0.30075145</v>
      </c>
    </row>
    <row r="8" spans="1:18">
      <c r="A8" s="15" t="s">
        <v>430</v>
      </c>
      <c r="B8" s="17" t="n">
        <v>7007</v>
      </c>
      <c r="C8" s="18">
        <f>(6155.0/B8*100)</f>
        <v/>
      </c>
      <c r="D8" s="19" t="n">
        <v>852</v>
      </c>
      <c r="E8" s="18" t="n">
        <v>36.63695902</v>
      </c>
      <c r="F8" s="20" t="n">
        <v>2.04194144</v>
      </c>
      <c r="G8" s="18" t="n">
        <v>61.3579559</v>
      </c>
      <c r="H8" s="20" t="n">
        <v>1.89139455</v>
      </c>
      <c r="I8" s="18" t="n">
        <v>0</v>
      </c>
      <c r="J8" s="20" t="n">
        <v>0</v>
      </c>
      <c r="K8" s="18" t="n">
        <v>0</v>
      </c>
      <c r="L8" s="20" t="n">
        <v>0</v>
      </c>
      <c r="M8" s="18" t="n">
        <v>0</v>
      </c>
      <c r="N8" s="20" t="n">
        <v>0</v>
      </c>
      <c r="O8" s="18" t="n">
        <v>0</v>
      </c>
      <c r="P8" s="20" t="n">
        <v>0</v>
      </c>
      <c r="Q8" s="18" t="n">
        <v>2.00508509</v>
      </c>
      <c r="R8" s="20" t="n">
        <v>0.60310062</v>
      </c>
    </row>
    <row r="9" spans="1:18">
      <c r="A9" s="15" t="s">
        <v>431</v>
      </c>
      <c r="B9" s="17" t="n">
        <v>9651</v>
      </c>
      <c r="C9" s="18">
        <f>(8472.0/B9*100)</f>
        <v/>
      </c>
      <c r="D9" s="19" t="n">
        <v>1179</v>
      </c>
      <c r="E9" s="18" t="n">
        <v>28.91658775</v>
      </c>
      <c r="F9" s="20" t="n">
        <v>1.42886826</v>
      </c>
      <c r="G9" s="18" t="n">
        <v>68.28871813000001</v>
      </c>
      <c r="H9" s="20" t="n">
        <v>1.47814758</v>
      </c>
      <c r="I9" s="18" t="n">
        <v>0</v>
      </c>
      <c r="J9" s="20" t="n">
        <v>0</v>
      </c>
      <c r="K9" s="18" t="n">
        <v>0.23081138</v>
      </c>
      <c r="L9" s="20" t="n">
        <v>0.16525748</v>
      </c>
      <c r="M9" s="18" t="n">
        <v>0</v>
      </c>
      <c r="N9" s="20" t="n">
        <v>0</v>
      </c>
      <c r="O9" s="18" t="n">
        <v>0</v>
      </c>
      <c r="P9" s="20" t="n">
        <v>0</v>
      </c>
      <c r="Q9" s="18" t="n">
        <v>2.56388274</v>
      </c>
      <c r="R9" s="20" t="n">
        <v>0.48260109</v>
      </c>
    </row>
    <row r="10" spans="1:18">
      <c r="A10" s="15" t="s">
        <v>432</v>
      </c>
      <c r="B10" s="17" t="n">
        <v>20058</v>
      </c>
      <c r="C10" s="18">
        <f>(17625.0/B10*100)</f>
        <v/>
      </c>
      <c r="D10" s="19" t="n">
        <v>2433</v>
      </c>
      <c r="E10" s="18" t="n">
        <v>28.91445687</v>
      </c>
      <c r="F10" s="20" t="n">
        <v>1.35390697</v>
      </c>
      <c r="G10" s="18" t="n">
        <v>69.91905949</v>
      </c>
      <c r="H10" s="20" t="n">
        <v>1.34052486</v>
      </c>
      <c r="I10" s="18" t="n">
        <v>0</v>
      </c>
      <c r="J10" s="20" t="n">
        <v>0</v>
      </c>
      <c r="K10" s="18" t="n">
        <v>0.25834259</v>
      </c>
      <c r="L10" s="20" t="n">
        <v>0.16146537</v>
      </c>
      <c r="M10" s="18" t="n">
        <v>0</v>
      </c>
      <c r="N10" s="20" t="n">
        <v>0</v>
      </c>
      <c r="O10" s="18" t="n">
        <v>0</v>
      </c>
      <c r="P10" s="20" t="n">
        <v>0</v>
      </c>
      <c r="Q10" s="18" t="n">
        <v>0.90814104</v>
      </c>
      <c r="R10" s="20" t="n">
        <v>0.28995057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(6056.0/B12*100)</f>
        <v/>
      </c>
      <c r="D12" s="19" t="n">
        <v>838</v>
      </c>
      <c r="E12" s="18" t="n">
        <v>29.62474719</v>
      </c>
      <c r="F12" s="20" t="n">
        <v>1.97825339</v>
      </c>
      <c r="G12" s="18" t="n">
        <v>69.88807156999999</v>
      </c>
      <c r="H12" s="20" t="n">
        <v>1.968247</v>
      </c>
      <c r="I12" s="18" t="n">
        <v>0</v>
      </c>
      <c r="J12" s="20" t="n">
        <v>0</v>
      </c>
      <c r="K12" s="18" t="n">
        <v>0</v>
      </c>
      <c r="L12" s="20" t="n">
        <v>0</v>
      </c>
      <c r="M12" s="18" t="n">
        <v>0</v>
      </c>
      <c r="N12" s="20" t="n">
        <v>0</v>
      </c>
      <c r="O12" s="18" t="n">
        <v>0</v>
      </c>
      <c r="P12" s="20" t="n">
        <v>0</v>
      </c>
      <c r="Q12" s="18" t="n">
        <v>0.48718124</v>
      </c>
      <c r="R12" s="20" t="n">
        <v>0.289203</v>
      </c>
    </row>
    <row r="13" spans="1:18">
      <c r="A13" s="15" t="s">
        <v>435</v>
      </c>
      <c r="B13" s="17" t="n">
        <v>7161</v>
      </c>
      <c r="C13" s="18">
        <f>(6322.0/B13*100)</f>
        <v/>
      </c>
      <c r="D13" s="19" t="n">
        <v>839</v>
      </c>
      <c r="E13" s="18" t="n">
        <v>32.70697277</v>
      </c>
      <c r="F13" s="20" t="n">
        <v>1.99540043</v>
      </c>
      <c r="G13" s="18" t="n">
        <v>66.38311965</v>
      </c>
      <c r="H13" s="20" t="n">
        <v>2.05352739</v>
      </c>
      <c r="I13" s="18" t="n">
        <v>0</v>
      </c>
      <c r="J13" s="20" t="n">
        <v>0</v>
      </c>
      <c r="K13" s="18" t="n">
        <v>0.38658582</v>
      </c>
      <c r="L13" s="20" t="n">
        <v>0.28270038</v>
      </c>
      <c r="M13" s="18" t="n">
        <v>0</v>
      </c>
      <c r="N13" s="20" t="n">
        <v>0</v>
      </c>
      <c r="O13" s="18" t="n">
        <v>0</v>
      </c>
      <c r="P13" s="20" t="n">
        <v>0</v>
      </c>
      <c r="Q13" s="18" t="n">
        <v>0.52332176</v>
      </c>
      <c r="R13" s="20" t="n">
        <v>0.23166974</v>
      </c>
    </row>
    <row r="14" spans="1:18">
      <c r="A14" s="15" t="s">
        <v>436</v>
      </c>
      <c r="B14" s="17" t="n">
        <v>5587</v>
      </c>
      <c r="C14" s="18">
        <f>(4892.0/B14*100)</f>
        <v/>
      </c>
      <c r="D14" s="19" t="n">
        <v>695</v>
      </c>
      <c r="E14" s="18" t="n">
        <v>27.27347228</v>
      </c>
      <c r="F14" s="20" t="n">
        <v>2.0140189</v>
      </c>
      <c r="G14" s="18" t="n">
        <v>72.19871979</v>
      </c>
      <c r="H14" s="20" t="n">
        <v>1.93869684</v>
      </c>
      <c r="I14" s="18" t="n">
        <v>0</v>
      </c>
      <c r="J14" s="20" t="n">
        <v>0</v>
      </c>
      <c r="K14" s="18" t="n">
        <v>0</v>
      </c>
      <c r="L14" s="20" t="n">
        <v>0</v>
      </c>
      <c r="M14" s="18" t="n">
        <v>0</v>
      </c>
      <c r="N14" s="20" t="n">
        <v>0</v>
      </c>
      <c r="O14" s="18" t="n">
        <v>0</v>
      </c>
      <c r="P14" s="20" t="n">
        <v>0</v>
      </c>
      <c r="Q14" s="18" t="n">
        <v>0.52780793</v>
      </c>
      <c r="R14" s="20" t="n">
        <v>0.45989757</v>
      </c>
    </row>
    <row r="15" spans="1:18">
      <c r="A15" s="15" t="s">
        <v>437</v>
      </c>
      <c r="B15" s="17" t="n">
        <v>5882</v>
      </c>
      <c r="C15" s="18">
        <f>(5157.0/B15*100)</f>
        <v/>
      </c>
      <c r="D15" s="19" t="n">
        <v>725</v>
      </c>
      <c r="E15" s="18" t="n">
        <v>28.97034473</v>
      </c>
      <c r="F15" s="20" t="n">
        <v>1.80490428</v>
      </c>
      <c r="G15" s="18" t="n">
        <v>68.83026303</v>
      </c>
      <c r="H15" s="20" t="n">
        <v>1.80888832</v>
      </c>
      <c r="I15" s="18" t="n">
        <v>0</v>
      </c>
      <c r="J15" s="20" t="n">
        <v>0</v>
      </c>
      <c r="K15" s="18" t="n">
        <v>0.54622801</v>
      </c>
      <c r="L15" s="20" t="n">
        <v>0.27154931</v>
      </c>
      <c r="M15" s="18" t="n">
        <v>0</v>
      </c>
      <c r="N15" s="20" t="n">
        <v>0</v>
      </c>
      <c r="O15" s="18" t="n">
        <v>0</v>
      </c>
      <c r="P15" s="20" t="n">
        <v>0</v>
      </c>
      <c r="Q15" s="18" t="n">
        <v>1.65316422</v>
      </c>
      <c r="R15" s="20" t="n">
        <v>0.54168829</v>
      </c>
    </row>
    <row r="16" spans="1:18">
      <c r="A16" s="15" t="s">
        <v>438</v>
      </c>
      <c r="B16" s="17" t="n">
        <v>6108</v>
      </c>
      <c r="C16" s="18">
        <f>(5354.0/B16*100)</f>
        <v/>
      </c>
      <c r="D16" s="19" t="n">
        <v>754</v>
      </c>
      <c r="E16" s="18" t="n">
        <v>31.3103127</v>
      </c>
      <c r="F16" s="20" t="n">
        <v>1.68079431</v>
      </c>
      <c r="G16" s="18" t="n">
        <v>65.59092631</v>
      </c>
      <c r="H16" s="20" t="n">
        <v>1.65979409</v>
      </c>
      <c r="I16" s="18" t="n">
        <v>0</v>
      </c>
      <c r="J16" s="20" t="n">
        <v>0</v>
      </c>
      <c r="K16" s="18" t="n">
        <v>0.46592802</v>
      </c>
      <c r="L16" s="20" t="n">
        <v>0.27123078</v>
      </c>
      <c r="M16" s="18" t="n">
        <v>0</v>
      </c>
      <c r="N16" s="20" t="n">
        <v>0</v>
      </c>
      <c r="O16" s="18" t="n">
        <v>0</v>
      </c>
      <c r="P16" s="20" t="n">
        <v>0</v>
      </c>
      <c r="Q16" s="18" t="n">
        <v>2.63283297</v>
      </c>
      <c r="R16" s="20" t="n">
        <v>0.62828301</v>
      </c>
    </row>
    <row r="17" spans="1:18">
      <c r="A17" s="15" t="s">
        <v>439</v>
      </c>
      <c r="B17" s="17" t="n">
        <v>6504</v>
      </c>
      <c r="C17" s="18">
        <f>(5709.0/B17*100)</f>
        <v/>
      </c>
      <c r="D17" s="19" t="n">
        <v>795</v>
      </c>
      <c r="E17" s="18" t="n">
        <v>32.93453655</v>
      </c>
      <c r="F17" s="20" t="n">
        <v>1.69169826</v>
      </c>
      <c r="G17" s="18" t="n">
        <v>64.39332541</v>
      </c>
      <c r="H17" s="20" t="n">
        <v>1.80094244</v>
      </c>
      <c r="I17" s="18" t="n">
        <v>0</v>
      </c>
      <c r="J17" s="20" t="n">
        <v>0</v>
      </c>
      <c r="K17" s="18" t="n">
        <v>0.1565292</v>
      </c>
      <c r="L17" s="20" t="n">
        <v>0.151602</v>
      </c>
      <c r="M17" s="18" t="n">
        <v>0</v>
      </c>
      <c r="N17" s="20" t="n">
        <v>0</v>
      </c>
      <c r="O17" s="18" t="n">
        <v>0</v>
      </c>
      <c r="P17" s="20" t="n">
        <v>0</v>
      </c>
      <c r="Q17" s="18" t="n">
        <v>2.51560884</v>
      </c>
      <c r="R17" s="20" t="n">
        <v>0.57533641</v>
      </c>
    </row>
    <row r="18" spans="1:18">
      <c r="A18" s="15" t="s">
        <v>440</v>
      </c>
      <c r="B18" s="17" t="n">
        <v>5532</v>
      </c>
      <c r="C18" s="18">
        <f>(4854.0/B18*100)</f>
        <v/>
      </c>
      <c r="D18" s="19" t="n">
        <v>678</v>
      </c>
      <c r="E18" s="18" t="n">
        <v>37.65310442</v>
      </c>
      <c r="F18" s="20" t="n">
        <v>2.05800578</v>
      </c>
      <c r="G18" s="18" t="n">
        <v>59.90779432</v>
      </c>
      <c r="H18" s="20" t="n">
        <v>2.18653857</v>
      </c>
      <c r="I18" s="18" t="n">
        <v>0</v>
      </c>
      <c r="J18" s="20" t="n">
        <v>0</v>
      </c>
      <c r="K18" s="18" t="n">
        <v>0.12198341</v>
      </c>
      <c r="L18" s="20" t="n">
        <v>0.12062493</v>
      </c>
      <c r="M18" s="18" t="n">
        <v>0</v>
      </c>
      <c r="N18" s="20" t="n">
        <v>0</v>
      </c>
      <c r="O18" s="18" t="n">
        <v>0</v>
      </c>
      <c r="P18" s="20" t="n">
        <v>0</v>
      </c>
      <c r="Q18" s="18" t="n">
        <v>2.31711785</v>
      </c>
      <c r="R18" s="20" t="n">
        <v>0.71285226</v>
      </c>
    </row>
    <row r="19" spans="1:18">
      <c r="A19" s="15" t="s">
        <v>441</v>
      </c>
      <c r="B19" s="17" t="n">
        <v>5658</v>
      </c>
      <c r="C19" s="18">
        <f>(4972.0/B19*100)</f>
        <v/>
      </c>
      <c r="D19" s="19" t="n">
        <v>686</v>
      </c>
      <c r="E19" s="18" t="n">
        <v>37.29862131</v>
      </c>
      <c r="F19" s="20" t="n">
        <v>1.71964132</v>
      </c>
      <c r="G19" s="18" t="n">
        <v>61.70331689</v>
      </c>
      <c r="H19" s="20" t="n">
        <v>1.74609689</v>
      </c>
      <c r="I19" s="18" t="n">
        <v>0</v>
      </c>
      <c r="J19" s="20" t="n">
        <v>0</v>
      </c>
      <c r="K19" s="18" t="n">
        <v>0</v>
      </c>
      <c r="L19" s="20" t="n">
        <v>0</v>
      </c>
      <c r="M19" s="18" t="n">
        <v>0</v>
      </c>
      <c r="N19" s="20" t="n">
        <v>0</v>
      </c>
      <c r="O19" s="18" t="n">
        <v>0</v>
      </c>
      <c r="P19" s="20" t="n">
        <v>0</v>
      </c>
      <c r="Q19" s="18" t="n">
        <v>0.9980618</v>
      </c>
      <c r="R19" s="20" t="n">
        <v>0.64841707</v>
      </c>
    </row>
    <row r="20" spans="1:18">
      <c r="A20" s="15" t="s">
        <v>442</v>
      </c>
      <c r="B20" s="17" t="n">
        <v>3371</v>
      </c>
      <c r="C20" s="18">
        <f>(2968.0/B20*100)</f>
        <v/>
      </c>
      <c r="D20" s="19" t="n">
        <v>403</v>
      </c>
      <c r="E20" s="18" t="n">
        <v>26.0968218</v>
      </c>
      <c r="F20" s="20" t="n">
        <v>2.09097416</v>
      </c>
      <c r="G20" s="18" t="n">
        <v>71.58467557</v>
      </c>
      <c r="H20" s="20" t="n">
        <v>2.08503043</v>
      </c>
      <c r="I20" s="18" t="n">
        <v>0</v>
      </c>
      <c r="J20" s="20" t="n">
        <v>0</v>
      </c>
      <c r="K20" s="18" t="n">
        <v>0.23550241</v>
      </c>
      <c r="L20" s="20" t="n">
        <v>0.23735128</v>
      </c>
      <c r="M20" s="18" t="n">
        <v>0</v>
      </c>
      <c r="N20" s="20" t="n">
        <v>0</v>
      </c>
      <c r="O20" s="18" t="n">
        <v>0</v>
      </c>
      <c r="P20" s="20" t="n">
        <v>0</v>
      </c>
      <c r="Q20" s="18" t="n">
        <v>2.08300021</v>
      </c>
      <c r="R20" s="20" t="n">
        <v>0.67705857</v>
      </c>
    </row>
    <row r="21" spans="1:18">
      <c r="A21" s="15" t="s">
        <v>443</v>
      </c>
      <c r="B21" s="17" t="n">
        <v>5741</v>
      </c>
      <c r="C21" s="18">
        <f>(4793.0/B21*100)</f>
        <v/>
      </c>
      <c r="D21" s="19" t="n">
        <v>948</v>
      </c>
      <c r="E21" s="18" t="n">
        <v>30.25475454</v>
      </c>
      <c r="F21" s="20" t="n">
        <v>1.41990545</v>
      </c>
      <c r="G21" s="18" t="n">
        <v>68.86271379</v>
      </c>
      <c r="H21" s="20" t="n">
        <v>1.39697795</v>
      </c>
      <c r="I21" s="18" t="n">
        <v>0</v>
      </c>
      <c r="J21" s="20" t="n">
        <v>0</v>
      </c>
      <c r="K21" s="18" t="n">
        <v>0.09088042</v>
      </c>
      <c r="L21" s="20" t="n">
        <v>0.06543247000000001</v>
      </c>
      <c r="M21" s="18" t="n">
        <v>0</v>
      </c>
      <c r="N21" s="20" t="n">
        <v>0</v>
      </c>
      <c r="O21" s="18" t="n">
        <v>0</v>
      </c>
      <c r="P21" s="20" t="n">
        <v>0</v>
      </c>
      <c r="Q21" s="18" t="n">
        <v>0.79165125</v>
      </c>
      <c r="R21" s="20" t="n">
        <v>0.25256628</v>
      </c>
    </row>
    <row r="22" spans="1:18">
      <c r="A22" s="15" t="s">
        <v>444</v>
      </c>
      <c r="B22" s="17" t="n">
        <v>6598</v>
      </c>
      <c r="C22" s="18">
        <f>(5771.0/B22*100)</f>
        <v/>
      </c>
      <c r="D22" s="19" t="n">
        <v>827</v>
      </c>
      <c r="E22" s="18" t="n">
        <v>36.25322836</v>
      </c>
      <c r="F22" s="20" t="n">
        <v>2.08278477</v>
      </c>
      <c r="G22" s="18" t="n">
        <v>60.4086799</v>
      </c>
      <c r="H22" s="20" t="n">
        <v>2.01911206</v>
      </c>
      <c r="I22" s="18" t="n">
        <v>0</v>
      </c>
      <c r="J22" s="20" t="n">
        <v>0</v>
      </c>
      <c r="K22" s="18" t="n">
        <v>0.35902056</v>
      </c>
      <c r="L22" s="20" t="n">
        <v>0.18544053</v>
      </c>
      <c r="M22" s="18" t="n">
        <v>0</v>
      </c>
      <c r="N22" s="20" t="n">
        <v>0</v>
      </c>
      <c r="O22" s="18" t="n">
        <v>0</v>
      </c>
      <c r="P22" s="20" t="n">
        <v>0</v>
      </c>
      <c r="Q22" s="18" t="n">
        <v>2.97907119</v>
      </c>
      <c r="R22" s="20" t="n">
        <v>0.58280764</v>
      </c>
    </row>
    <row r="23" spans="1:18">
      <c r="A23" s="15" t="s">
        <v>445</v>
      </c>
      <c r="B23" s="17" t="n">
        <v>11583</v>
      </c>
      <c r="C23" s="18">
        <f>(10179.0/B23*100)</f>
        <v/>
      </c>
      <c r="D23" s="19" t="n">
        <v>1404</v>
      </c>
      <c r="E23" s="18" t="n">
        <v>32.86060731</v>
      </c>
      <c r="F23" s="20" t="n">
        <v>2.03064081</v>
      </c>
      <c r="G23" s="18" t="n">
        <v>66.29973459</v>
      </c>
      <c r="H23" s="20" t="n">
        <v>2.07327235</v>
      </c>
      <c r="I23" s="18" t="n">
        <v>0</v>
      </c>
      <c r="J23" s="20" t="n">
        <v>0</v>
      </c>
      <c r="K23" s="18" t="n">
        <v>0.19144771</v>
      </c>
      <c r="L23" s="20" t="n">
        <v>0.13459193</v>
      </c>
      <c r="M23" s="18" t="n">
        <v>0</v>
      </c>
      <c r="N23" s="20" t="n">
        <v>0</v>
      </c>
      <c r="O23" s="18" t="n">
        <v>0</v>
      </c>
      <c r="P23" s="20" t="n">
        <v>0</v>
      </c>
      <c r="Q23" s="18" t="n">
        <v>0.64821039</v>
      </c>
      <c r="R23" s="20" t="n">
        <v>0.22096151</v>
      </c>
    </row>
    <row r="24" spans="1:18">
      <c r="A24" s="15" t="s">
        <v>446</v>
      </c>
      <c r="B24" s="17" t="n">
        <v>6647</v>
      </c>
      <c r="C24" s="18">
        <f>(5842.0/B24*100)</f>
        <v/>
      </c>
      <c r="D24" s="19" t="n">
        <v>805</v>
      </c>
      <c r="E24" s="18" t="n">
        <v>29.3181713</v>
      </c>
      <c r="F24" s="20" t="n">
        <v>1.47572567</v>
      </c>
      <c r="G24" s="18" t="n">
        <v>69.85799948</v>
      </c>
      <c r="H24" s="20" t="n">
        <v>1.44181988</v>
      </c>
      <c r="I24" s="18" t="n">
        <v>0</v>
      </c>
      <c r="J24" s="20" t="n">
        <v>0</v>
      </c>
      <c r="K24" s="18" t="n">
        <v>0</v>
      </c>
      <c r="L24" s="20" t="n">
        <v>0</v>
      </c>
      <c r="M24" s="18" t="n">
        <v>0</v>
      </c>
      <c r="N24" s="20" t="n">
        <v>0</v>
      </c>
      <c r="O24" s="18" t="n">
        <v>0</v>
      </c>
      <c r="P24" s="20" t="n">
        <v>0</v>
      </c>
      <c r="Q24" s="18" t="n">
        <v>0.82382923</v>
      </c>
      <c r="R24" s="20" t="n">
        <v>0.31333332</v>
      </c>
    </row>
    <row r="25" spans="1:18">
      <c r="A25" s="15" t="s">
        <v>447</v>
      </c>
      <c r="B25" s="17" t="n">
        <v>5581</v>
      </c>
      <c r="C25" s="18">
        <f>(4886.0/B25*100)</f>
        <v/>
      </c>
      <c r="D25" s="19" t="n">
        <v>695</v>
      </c>
      <c r="E25" s="18" t="n">
        <v>35.24037761</v>
      </c>
      <c r="F25" s="20" t="n">
        <v>1.77413725</v>
      </c>
      <c r="G25" s="18" t="n">
        <v>64.17633657</v>
      </c>
      <c r="H25" s="20" t="n">
        <v>1.75358005</v>
      </c>
      <c r="I25" s="18" t="n">
        <v>0</v>
      </c>
      <c r="J25" s="20" t="n">
        <v>0</v>
      </c>
      <c r="K25" s="18" t="n">
        <v>0.13402635</v>
      </c>
      <c r="L25" s="20" t="n">
        <v>0.13398772</v>
      </c>
      <c r="M25" s="18" t="n">
        <v>0</v>
      </c>
      <c r="N25" s="20" t="n">
        <v>0</v>
      </c>
      <c r="O25" s="18" t="n">
        <v>0</v>
      </c>
      <c r="P25" s="20" t="n">
        <v>0</v>
      </c>
      <c r="Q25" s="18" t="n">
        <v>0.44925947</v>
      </c>
      <c r="R25" s="20" t="n">
        <v>0.25380499</v>
      </c>
    </row>
    <row r="26" spans="1:18">
      <c r="A26" s="15" t="s">
        <v>448</v>
      </c>
      <c r="B26" s="17" t="n">
        <v>4869</v>
      </c>
      <c r="C26" s="18">
        <f>(4264.0/B26*100)</f>
        <v/>
      </c>
      <c r="D26" s="19" t="n">
        <v>605</v>
      </c>
      <c r="E26" s="18" t="n">
        <v>36.67011557</v>
      </c>
      <c r="F26" s="20" t="n">
        <v>2.25387486</v>
      </c>
      <c r="G26" s="18" t="n">
        <v>62.74203454</v>
      </c>
      <c r="H26" s="20" t="n">
        <v>2.29405154</v>
      </c>
      <c r="I26" s="18" t="n">
        <v>0</v>
      </c>
      <c r="J26" s="20" t="n">
        <v>0</v>
      </c>
      <c r="K26" s="18" t="n">
        <v>0</v>
      </c>
      <c r="L26" s="20" t="n">
        <v>0</v>
      </c>
      <c r="M26" s="18" t="n">
        <v>0</v>
      </c>
      <c r="N26" s="20" t="n">
        <v>0</v>
      </c>
      <c r="O26" s="18" t="n">
        <v>0</v>
      </c>
      <c r="P26" s="20" t="n">
        <v>0</v>
      </c>
      <c r="Q26" s="18" t="n">
        <v>0.58784989</v>
      </c>
      <c r="R26" s="20" t="n">
        <v>0.29447512</v>
      </c>
    </row>
    <row r="27" spans="1:18">
      <c r="A27" s="15" t="s">
        <v>449</v>
      </c>
      <c r="B27" s="17" t="n">
        <v>5299</v>
      </c>
      <c r="C27" s="18">
        <f>(4629.0/B27*100)</f>
        <v/>
      </c>
      <c r="D27" s="19" t="n">
        <v>670</v>
      </c>
      <c r="E27" s="18" t="n">
        <v>41.27369774</v>
      </c>
      <c r="F27" s="20" t="n">
        <v>1.61972001</v>
      </c>
      <c r="G27" s="18" t="n">
        <v>56.9566255</v>
      </c>
      <c r="H27" s="20" t="n">
        <v>1.68658265</v>
      </c>
      <c r="I27" s="18" t="n">
        <v>0</v>
      </c>
      <c r="J27" s="20" t="n">
        <v>0</v>
      </c>
      <c r="K27" s="18" t="n">
        <v>0.14970308</v>
      </c>
      <c r="L27" s="20" t="n">
        <v>0.1506315</v>
      </c>
      <c r="M27" s="18" t="n">
        <v>0</v>
      </c>
      <c r="N27" s="20" t="n">
        <v>0</v>
      </c>
      <c r="O27" s="18" t="n">
        <v>0</v>
      </c>
      <c r="P27" s="20" t="n">
        <v>0</v>
      </c>
      <c r="Q27" s="18" t="n">
        <v>1.61997368</v>
      </c>
      <c r="R27" s="20" t="n">
        <v>0.4400158</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28.66230692</v>
      </c>
      <c r="F29" s="20" t="n">
        <v>1.6364931</v>
      </c>
      <c r="G29" s="18" t="n">
        <v>70.27985108999999</v>
      </c>
      <c r="H29" s="20" t="n">
        <v>1.6257963</v>
      </c>
      <c r="I29" s="18" t="n">
        <v>0</v>
      </c>
      <c r="J29" s="20" t="n">
        <v>0</v>
      </c>
      <c r="K29" s="18" t="n">
        <v>0.33875531</v>
      </c>
      <c r="L29" s="20" t="n">
        <v>0.23990196</v>
      </c>
      <c r="M29" s="18" t="n">
        <v>0</v>
      </c>
      <c r="N29" s="20" t="n">
        <v>0</v>
      </c>
      <c r="O29" s="18" t="n">
        <v>0</v>
      </c>
      <c r="P29" s="20" t="n">
        <v>0</v>
      </c>
      <c r="Q29" s="18" t="n">
        <v>0.71908668</v>
      </c>
      <c r="R29" s="20" t="n">
        <v>0.34179979</v>
      </c>
    </row>
    <row r="30" spans="1:18">
      <c r="A30" s="15" t="s">
        <v>452</v>
      </c>
      <c r="B30" s="17" t="n">
        <v>4520</v>
      </c>
      <c r="C30" s="18">
        <f>(3953.0/B30*100)</f>
        <v/>
      </c>
      <c r="D30" s="19" t="n">
        <v>567</v>
      </c>
      <c r="E30" s="18" t="n">
        <v>34.59644794</v>
      </c>
      <c r="F30" s="20" t="n">
        <v>2.09433306</v>
      </c>
      <c r="G30" s="18" t="n">
        <v>64.20156367</v>
      </c>
      <c r="H30" s="20" t="n">
        <v>2.1631529</v>
      </c>
      <c r="I30" s="18" t="n">
        <v>0</v>
      </c>
      <c r="J30" s="20" t="n">
        <v>0</v>
      </c>
      <c r="K30" s="18" t="n">
        <v>0</v>
      </c>
      <c r="L30" s="20" t="n">
        <v>0</v>
      </c>
      <c r="M30" s="18" t="n">
        <v>0</v>
      </c>
      <c r="N30" s="20" t="n">
        <v>0</v>
      </c>
      <c r="O30" s="18" t="n">
        <v>0</v>
      </c>
      <c r="P30" s="20" t="n">
        <v>0</v>
      </c>
      <c r="Q30" s="18" t="n">
        <v>1.20198839</v>
      </c>
      <c r="R30" s="20" t="n">
        <v>0.41947658</v>
      </c>
    </row>
    <row r="31" spans="1:18">
      <c r="A31" s="15" t="s">
        <v>453</v>
      </c>
      <c r="B31" s="17" t="n">
        <v>5456</v>
      </c>
      <c r="C31" s="18">
        <f>(4777.0/B31*100)</f>
        <v/>
      </c>
      <c r="D31" s="19" t="n">
        <v>679</v>
      </c>
      <c r="E31" s="18" t="n">
        <v>38.091239</v>
      </c>
      <c r="F31" s="20" t="n">
        <v>1.74582989</v>
      </c>
      <c r="G31" s="18" t="n">
        <v>60.13620579</v>
      </c>
      <c r="H31" s="20" t="n">
        <v>1.81595165</v>
      </c>
      <c r="I31" s="18" t="n">
        <v>0</v>
      </c>
      <c r="J31" s="20" t="n">
        <v>0</v>
      </c>
      <c r="K31" s="18" t="n">
        <v>0</v>
      </c>
      <c r="L31" s="20" t="n">
        <v>0</v>
      </c>
      <c r="M31" s="18" t="n">
        <v>0</v>
      </c>
      <c r="N31" s="20" t="n">
        <v>0</v>
      </c>
      <c r="O31" s="18" t="n">
        <v>0</v>
      </c>
      <c r="P31" s="20" t="n">
        <v>0</v>
      </c>
      <c r="Q31" s="18" t="n">
        <v>1.77255521</v>
      </c>
      <c r="R31" s="20" t="n">
        <v>0.45837004</v>
      </c>
    </row>
    <row r="32" spans="1:18">
      <c r="A32" s="15" t="s">
        <v>454</v>
      </c>
      <c r="B32" s="17" t="n">
        <v>4478</v>
      </c>
      <c r="C32" s="18">
        <f>(3717.0/B32*100)</f>
        <v/>
      </c>
      <c r="D32" s="19" t="n">
        <v>761</v>
      </c>
      <c r="E32" s="18" t="n">
        <v>27.90581429</v>
      </c>
      <c r="F32" s="20" t="n">
        <v>1.82561809</v>
      </c>
      <c r="G32" s="18" t="n">
        <v>71.11724603</v>
      </c>
      <c r="H32" s="20" t="n">
        <v>1.85726844</v>
      </c>
      <c r="I32" s="18" t="n">
        <v>0</v>
      </c>
      <c r="J32" s="20" t="n">
        <v>0</v>
      </c>
      <c r="K32" s="18" t="n">
        <v>0.13577066</v>
      </c>
      <c r="L32" s="20" t="n">
        <v>0.11848184</v>
      </c>
      <c r="M32" s="18" t="n">
        <v>0</v>
      </c>
      <c r="N32" s="20" t="n">
        <v>0</v>
      </c>
      <c r="O32" s="18" t="n">
        <v>0</v>
      </c>
      <c r="P32" s="20" t="n">
        <v>0</v>
      </c>
      <c r="Q32" s="18" t="n">
        <v>0.84116901</v>
      </c>
      <c r="R32" s="20" t="n">
        <v>0.31650614</v>
      </c>
    </row>
    <row r="33" spans="1:18">
      <c r="A33" s="15" t="s">
        <v>455</v>
      </c>
      <c r="B33" s="17" t="n">
        <v>7325</v>
      </c>
      <c r="C33" s="18">
        <f>(6417.0/B33*100)</f>
        <v/>
      </c>
      <c r="D33" s="19" t="n">
        <v>908</v>
      </c>
      <c r="E33" s="18" t="n">
        <v>30.3256037</v>
      </c>
      <c r="F33" s="20" t="n">
        <v>1.94885691</v>
      </c>
      <c r="G33" s="18" t="n">
        <v>68.87401825000001</v>
      </c>
      <c r="H33" s="20" t="n">
        <v>1.94481491</v>
      </c>
      <c r="I33" s="18" t="n">
        <v>0</v>
      </c>
      <c r="J33" s="20" t="n">
        <v>0</v>
      </c>
      <c r="K33" s="18" t="n">
        <v>0</v>
      </c>
      <c r="L33" s="20" t="n">
        <v>0</v>
      </c>
      <c r="M33" s="18" t="n">
        <v>0</v>
      </c>
      <c r="N33" s="20" t="n">
        <v>0</v>
      </c>
      <c r="O33" s="18" t="n">
        <v>0</v>
      </c>
      <c r="P33" s="20" t="n">
        <v>0</v>
      </c>
      <c r="Q33" s="18" t="n">
        <v>0.80037805</v>
      </c>
      <c r="R33" s="20" t="n">
        <v>0.33852529</v>
      </c>
    </row>
    <row r="34" spans="1:18">
      <c r="A34" s="15" t="s">
        <v>456</v>
      </c>
      <c r="B34" s="17" t="n">
        <v>6350</v>
      </c>
      <c r="C34" s="18">
        <f>(5569.0/B34*100)</f>
        <v/>
      </c>
      <c r="D34" s="19" t="n">
        <v>781</v>
      </c>
      <c r="E34" s="18" t="n">
        <v>42.0925015</v>
      </c>
      <c r="F34" s="20" t="n">
        <v>2.07213059</v>
      </c>
      <c r="G34" s="18" t="n">
        <v>56.15042522</v>
      </c>
      <c r="H34" s="20" t="n">
        <v>2.03252176</v>
      </c>
      <c r="I34" s="18" t="n">
        <v>0</v>
      </c>
      <c r="J34" s="20" t="n">
        <v>0</v>
      </c>
      <c r="K34" s="18" t="n">
        <v>0.0966133</v>
      </c>
      <c r="L34" s="20" t="n">
        <v>0.09691577</v>
      </c>
      <c r="M34" s="18" t="n">
        <v>0</v>
      </c>
      <c r="N34" s="20" t="n">
        <v>0</v>
      </c>
      <c r="O34" s="18" t="n">
        <v>0</v>
      </c>
      <c r="P34" s="20" t="n">
        <v>0</v>
      </c>
      <c r="Q34" s="18" t="n">
        <v>1.66045998</v>
      </c>
      <c r="R34" s="20" t="n">
        <v>0.5706570399999999</v>
      </c>
    </row>
    <row r="35" spans="1:18">
      <c r="A35" s="15" t="s">
        <v>457</v>
      </c>
      <c r="B35" s="17" t="n">
        <v>6406</v>
      </c>
      <c r="C35" s="18">
        <f>(5612.0/B35*100)</f>
        <v/>
      </c>
      <c r="D35" s="19" t="n">
        <v>794</v>
      </c>
      <c r="E35" s="18" t="n">
        <v>25.5320002</v>
      </c>
      <c r="F35" s="20" t="n">
        <v>1.63761725</v>
      </c>
      <c r="G35" s="18" t="n">
        <v>73.36022547</v>
      </c>
      <c r="H35" s="20" t="n">
        <v>1.64994399</v>
      </c>
      <c r="I35" s="18" t="n">
        <v>0</v>
      </c>
      <c r="J35" s="20" t="n">
        <v>0</v>
      </c>
      <c r="K35" s="18" t="n">
        <v>0.11626179</v>
      </c>
      <c r="L35" s="20" t="n">
        <v>0.08258689</v>
      </c>
      <c r="M35" s="18" t="n">
        <v>0</v>
      </c>
      <c r="N35" s="20" t="n">
        <v>0</v>
      </c>
      <c r="O35" s="18" t="n">
        <v>0</v>
      </c>
      <c r="P35" s="20" t="n">
        <v>0</v>
      </c>
      <c r="Q35" s="18" t="n">
        <v>0.99151255</v>
      </c>
      <c r="R35" s="20" t="n">
        <v>0.34328259</v>
      </c>
    </row>
    <row r="36" spans="1:18">
      <c r="A36" s="15" t="s">
        <v>458</v>
      </c>
      <c r="B36" s="17" t="n">
        <v>6736</v>
      </c>
      <c r="C36" s="18">
        <f>(5916.0/B36*100)</f>
        <v/>
      </c>
      <c r="D36" s="19" t="n">
        <v>820</v>
      </c>
      <c r="E36" s="18" t="n">
        <v>29.32063681</v>
      </c>
      <c r="F36" s="20" t="n">
        <v>1.76574043</v>
      </c>
      <c r="G36" s="18" t="n">
        <v>69.32020780000001</v>
      </c>
      <c r="H36" s="20" t="n">
        <v>1.77524639</v>
      </c>
      <c r="I36" s="18" t="n">
        <v>0</v>
      </c>
      <c r="J36" s="20" t="n">
        <v>0</v>
      </c>
      <c r="K36" s="18" t="n">
        <v>0</v>
      </c>
      <c r="L36" s="20" t="n">
        <v>0</v>
      </c>
      <c r="M36" s="18" t="n">
        <v>0</v>
      </c>
      <c r="N36" s="20" t="n">
        <v>0</v>
      </c>
      <c r="O36" s="18" t="n">
        <v>0</v>
      </c>
      <c r="P36" s="20" t="n">
        <v>0</v>
      </c>
      <c r="Q36" s="18" t="n">
        <v>1.35915539</v>
      </c>
      <c r="R36" s="20" t="n">
        <v>0.47776279</v>
      </c>
    </row>
    <row r="37" spans="1:18">
      <c r="A37" s="15" t="s">
        <v>459</v>
      </c>
      <c r="B37" s="17" t="n">
        <v>5458</v>
      </c>
      <c r="C37" s="18">
        <f>(4786.0/B37*100)</f>
        <v/>
      </c>
      <c r="D37" s="19" t="n">
        <v>672</v>
      </c>
      <c r="E37" s="18" t="n">
        <v>27.61168083</v>
      </c>
      <c r="F37" s="20" t="n">
        <v>1.83673442</v>
      </c>
      <c r="G37" s="18" t="n">
        <v>70.15534947</v>
      </c>
      <c r="H37" s="20" t="n">
        <v>1.82390624</v>
      </c>
      <c r="I37" s="18" t="n">
        <v>0</v>
      </c>
      <c r="J37" s="20" t="n">
        <v>0</v>
      </c>
      <c r="K37" s="18" t="n">
        <v>0.30790551</v>
      </c>
      <c r="L37" s="20" t="n">
        <v>0.2177748</v>
      </c>
      <c r="M37" s="18" t="n">
        <v>0</v>
      </c>
      <c r="N37" s="20" t="n">
        <v>0</v>
      </c>
      <c r="O37" s="18" t="n">
        <v>0</v>
      </c>
      <c r="P37" s="20" t="n">
        <v>0</v>
      </c>
      <c r="Q37" s="18" t="n">
        <v>1.92506419</v>
      </c>
      <c r="R37" s="20" t="n">
        <v>0.50907713</v>
      </c>
    </row>
    <row r="38" spans="1:18">
      <c r="A38" s="15" t="s">
        <v>460</v>
      </c>
      <c r="B38" s="17" t="n">
        <v>5860</v>
      </c>
      <c r="C38" s="18">
        <f>(4879.0/B38*100)</f>
        <v/>
      </c>
      <c r="D38" s="19" t="n">
        <v>981</v>
      </c>
      <c r="E38" s="18" t="n">
        <v>32.63907537</v>
      </c>
      <c r="F38" s="20" t="n">
        <v>1.50954263</v>
      </c>
      <c r="G38" s="18" t="n">
        <v>65.90687131</v>
      </c>
      <c r="H38" s="20" t="n">
        <v>1.58667222</v>
      </c>
      <c r="I38" s="18" t="n">
        <v>0</v>
      </c>
      <c r="J38" s="20" t="n">
        <v>0</v>
      </c>
      <c r="K38" s="18" t="n">
        <v>0.09832546</v>
      </c>
      <c r="L38" s="20" t="n">
        <v>0.09873393</v>
      </c>
      <c r="M38" s="18" t="n">
        <v>0</v>
      </c>
      <c r="N38" s="20" t="n">
        <v>0</v>
      </c>
      <c r="O38" s="18" t="n">
        <v>0</v>
      </c>
      <c r="P38" s="20" t="n">
        <v>0</v>
      </c>
      <c r="Q38" s="18" t="n">
        <v>1.35572787</v>
      </c>
      <c r="R38" s="20" t="n">
        <v>0.35252612</v>
      </c>
    </row>
    <row r="39" spans="1:18">
      <c r="A39" s="15" t="s">
        <v>461</v>
      </c>
      <c r="B39" s="17" t="n">
        <v>5895</v>
      </c>
      <c r="C39" s="18">
        <f>(5157.0/B39*100)</f>
        <v/>
      </c>
      <c r="D39" s="19" t="n">
        <v>738</v>
      </c>
      <c r="E39" s="18" t="n">
        <v>48.70725349</v>
      </c>
      <c r="F39" s="20" t="n">
        <v>2.07409481</v>
      </c>
      <c r="G39" s="18" t="n">
        <v>49.84606537</v>
      </c>
      <c r="H39" s="20" t="n">
        <v>2.16955634</v>
      </c>
      <c r="I39" s="18" t="n">
        <v>0</v>
      </c>
      <c r="J39" s="20" t="n">
        <v>0</v>
      </c>
      <c r="K39" s="18" t="n">
        <v>0.3192382</v>
      </c>
      <c r="L39" s="20" t="n">
        <v>0.28152653</v>
      </c>
      <c r="M39" s="18" t="n">
        <v>0</v>
      </c>
      <c r="N39" s="20" t="n">
        <v>0</v>
      </c>
      <c r="O39" s="18" t="n">
        <v>0</v>
      </c>
      <c r="P39" s="20" t="n">
        <v>0</v>
      </c>
      <c r="Q39" s="18" t="n">
        <v>1.12744293</v>
      </c>
      <c r="R39" s="20" t="n">
        <v>0.39846002</v>
      </c>
    </row>
    <row r="40" spans="1:18">
      <c r="A40" s="15" t="s">
        <v>462</v>
      </c>
      <c r="B40" s="17" t="n">
        <v>14157</v>
      </c>
      <c r="C40" s="18">
        <f>(12374.0/B40*100)</f>
        <v/>
      </c>
      <c r="D40" s="19" t="n">
        <v>1783</v>
      </c>
      <c r="E40" s="18" t="n">
        <v>35.01336596</v>
      </c>
      <c r="F40" s="20" t="n">
        <v>1.75166819</v>
      </c>
      <c r="G40" s="18" t="n">
        <v>63.70357375</v>
      </c>
      <c r="H40" s="20" t="n">
        <v>1.76957864</v>
      </c>
      <c r="I40" s="18" t="n">
        <v>0</v>
      </c>
      <c r="J40" s="20" t="n">
        <v>0</v>
      </c>
      <c r="K40" s="18" t="n">
        <v>0.03409794</v>
      </c>
      <c r="L40" s="20" t="n">
        <v>0.02126488</v>
      </c>
      <c r="M40" s="18" t="n">
        <v>0</v>
      </c>
      <c r="N40" s="20" t="n">
        <v>0</v>
      </c>
      <c r="O40" s="18" t="n">
        <v>0</v>
      </c>
      <c r="P40" s="20" t="n">
        <v>0</v>
      </c>
      <c r="Q40" s="18" t="n">
        <v>1.24896235</v>
      </c>
      <c r="R40" s="20" t="n">
        <v>0.38296943</v>
      </c>
    </row>
    <row r="41" spans="1:18">
      <c r="A41" s="15" t="s">
        <v>463</v>
      </c>
      <c r="B41" s="17" t="n">
        <v>5712</v>
      </c>
      <c r="C41" s="18">
        <f>(5031.0/B41*100)</f>
        <v/>
      </c>
      <c r="D41" s="19" t="n">
        <v>681</v>
      </c>
      <c r="E41" s="18" t="n">
        <v>36.03095417</v>
      </c>
      <c r="F41" s="20" t="n">
        <v>2.18075453</v>
      </c>
      <c r="G41" s="18" t="n">
        <v>63.71600937</v>
      </c>
      <c r="H41" s="20" t="n">
        <v>2.20772282</v>
      </c>
      <c r="I41" s="18" t="n">
        <v>0</v>
      </c>
      <c r="J41" s="20" t="n">
        <v>0</v>
      </c>
      <c r="K41" s="18" t="n">
        <v>0</v>
      </c>
      <c r="L41" s="20" t="n">
        <v>0</v>
      </c>
      <c r="M41" s="18" t="n">
        <v>0</v>
      </c>
      <c r="N41" s="20" t="n">
        <v>0</v>
      </c>
      <c r="O41" s="18" t="n">
        <v>0</v>
      </c>
      <c r="P41" s="20" t="n">
        <v>0</v>
      </c>
      <c r="Q41" s="18" t="n">
        <v>0.25303645</v>
      </c>
      <c r="R41" s="20" t="n">
        <v>0.17883082</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(8629.0/B48*100)</f>
        <v/>
      </c>
      <c r="D48" s="19" t="n">
        <v>1212</v>
      </c>
      <c r="E48" s="18" t="n">
        <v>37.42122016</v>
      </c>
      <c r="F48" s="20" t="n">
        <v>2.25538956</v>
      </c>
      <c r="G48" s="18" t="n">
        <v>60.95900323</v>
      </c>
      <c r="H48" s="20" t="n">
        <v>2.31434428</v>
      </c>
      <c r="I48" s="18" t="n">
        <v>0</v>
      </c>
      <c r="J48" s="20" t="n">
        <v>0</v>
      </c>
      <c r="K48" s="18" t="n">
        <v>0.29131179</v>
      </c>
      <c r="L48" s="20" t="n">
        <v>0.25334254</v>
      </c>
      <c r="M48" s="18" t="n">
        <v>0</v>
      </c>
      <c r="N48" s="20" t="n">
        <v>0</v>
      </c>
      <c r="O48" s="18" t="n">
        <v>0</v>
      </c>
      <c r="P48" s="20" t="n">
        <v>0</v>
      </c>
      <c r="Q48" s="18" t="n">
        <v>1.32846482</v>
      </c>
      <c r="R48" s="20" t="n">
        <v>0.41392351</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(5083.0/B51*100)</f>
        <v/>
      </c>
      <c r="D51" s="19" t="n">
        <v>726</v>
      </c>
      <c r="E51" s="18" t="n">
        <v>37.33446984</v>
      </c>
      <c r="F51" s="20" t="n">
        <v>1.63270476</v>
      </c>
      <c r="G51" s="18" t="n">
        <v>60.33461039</v>
      </c>
      <c r="H51" s="20" t="n">
        <v>1.70246788</v>
      </c>
      <c r="I51" s="18" t="n">
        <v>0</v>
      </c>
      <c r="J51" s="20" t="n">
        <v>0</v>
      </c>
      <c r="K51" s="18" t="n">
        <v>0</v>
      </c>
      <c r="L51" s="20" t="n">
        <v>0</v>
      </c>
      <c r="M51" s="18" t="n">
        <v>0</v>
      </c>
      <c r="N51" s="20" t="n">
        <v>0</v>
      </c>
      <c r="O51" s="18" t="n">
        <v>0</v>
      </c>
      <c r="P51" s="20" t="n">
        <v>0</v>
      </c>
      <c r="Q51" s="18" t="n">
        <v>2.33091977</v>
      </c>
      <c r="R51" s="20" t="n">
        <v>0.52678367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31.0409981</v>
      </c>
      <c r="F55" s="20" t="n">
        <v>2.03155693</v>
      </c>
      <c r="G55" s="18" t="n">
        <v>67.63513815</v>
      </c>
      <c r="H55" s="20" t="n">
        <v>2.17153086</v>
      </c>
      <c r="I55" s="18" t="n">
        <v>0</v>
      </c>
      <c r="J55" s="20" t="n">
        <v>0</v>
      </c>
      <c r="K55" s="18" t="n">
        <v>0.43320348</v>
      </c>
      <c r="L55" s="20" t="n">
        <v>0.32024206</v>
      </c>
      <c r="M55" s="18" t="n">
        <v>0</v>
      </c>
      <c r="N55" s="20" t="n">
        <v>0</v>
      </c>
      <c r="O55" s="18" t="n">
        <v>0</v>
      </c>
      <c r="P55" s="20" t="n">
        <v>0</v>
      </c>
      <c r="Q55" s="18" t="n">
        <v>0.89066027</v>
      </c>
      <c r="R55" s="20" t="n">
        <v>0.42097267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(5677.0/B61*100)</f>
        <v/>
      </c>
      <c r="D61" s="19" t="n">
        <v>848</v>
      </c>
      <c r="E61" s="18" t="n">
        <v>37.8001785</v>
      </c>
      <c r="F61" s="20" t="n">
        <v>1.85944282</v>
      </c>
      <c r="G61" s="18" t="n">
        <v>61.10935366</v>
      </c>
      <c r="H61" s="20" t="n">
        <v>1.88372409</v>
      </c>
      <c r="I61" s="18" t="n">
        <v>0</v>
      </c>
      <c r="J61" s="20" t="n">
        <v>0</v>
      </c>
      <c r="K61" s="18" t="n">
        <v>0.18269893</v>
      </c>
      <c r="L61" s="20" t="n">
        <v>0.1579156</v>
      </c>
      <c r="M61" s="18" t="n">
        <v>0</v>
      </c>
      <c r="N61" s="20" t="n">
        <v>0</v>
      </c>
      <c r="O61" s="18" t="n">
        <v>0</v>
      </c>
      <c r="P61" s="20" t="n">
        <v>0</v>
      </c>
      <c r="Q61" s="18" t="n">
        <v>0.90776891</v>
      </c>
      <c r="R61" s="20" t="n">
        <v>0.34156009</v>
      </c>
    </row>
    <row r="62" spans="1:18">
      <c r="A62" s="15" t="s">
        <v>486</v>
      </c>
      <c r="B62" s="17" t="n">
        <v>4476</v>
      </c>
      <c r="C62" s="18">
        <f>(3923.0/B62*100)</f>
        <v/>
      </c>
      <c r="D62" s="19" t="n">
        <v>553</v>
      </c>
      <c r="E62" s="18" t="n">
        <v>33.1547651</v>
      </c>
      <c r="F62" s="20" t="n">
        <v>1.89418171</v>
      </c>
      <c r="G62" s="18" t="n">
        <v>65.94119517999999</v>
      </c>
      <c r="H62" s="20" t="n">
        <v>1.90985511</v>
      </c>
      <c r="I62" s="18" t="n">
        <v>0</v>
      </c>
      <c r="J62" s="20" t="n">
        <v>0</v>
      </c>
      <c r="K62" s="18" t="n">
        <v>0.18576119</v>
      </c>
      <c r="L62" s="20" t="n">
        <v>0.18528316</v>
      </c>
      <c r="M62" s="18" t="n">
        <v>0</v>
      </c>
      <c r="N62" s="20" t="n">
        <v>0</v>
      </c>
      <c r="O62" s="18" t="n">
        <v>0</v>
      </c>
      <c r="P62" s="20" t="n">
        <v>0</v>
      </c>
      <c r="Q62" s="18" t="n">
        <v>0.71827852</v>
      </c>
      <c r="R62" s="20" t="n">
        <v>0.36079004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(4995.0/B67*100)</f>
        <v/>
      </c>
      <c r="D67" s="19" t="n">
        <v>670</v>
      </c>
      <c r="E67" s="18" t="n">
        <v>40.22151152</v>
      </c>
      <c r="F67" s="20" t="n">
        <v>2.09877368</v>
      </c>
      <c r="G67" s="18" t="n">
        <v>54.12492491</v>
      </c>
      <c r="H67" s="20" t="n">
        <v>2.00755648</v>
      </c>
      <c r="I67" s="18" t="n">
        <v>0</v>
      </c>
      <c r="J67" s="20" t="n">
        <v>0</v>
      </c>
      <c r="K67" s="18" t="n">
        <v>0.70634761</v>
      </c>
      <c r="L67" s="20" t="n">
        <v>0.31866522</v>
      </c>
      <c r="M67" s="18" t="n">
        <v>0</v>
      </c>
      <c r="N67" s="20" t="n">
        <v>0</v>
      </c>
      <c r="O67" s="18" t="n">
        <v>0</v>
      </c>
      <c r="P67" s="20" t="n">
        <v>0</v>
      </c>
      <c r="Q67" s="18" t="n">
        <v>4.94721596</v>
      </c>
      <c r="R67" s="20" t="n">
        <v>0.79566713</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(5309.0/B72*100)</f>
        <v/>
      </c>
      <c r="D72" s="19" t="n">
        <v>727</v>
      </c>
      <c r="E72" s="18" t="n">
        <v>28.56337091</v>
      </c>
      <c r="F72" s="20" t="n">
        <v>2.03866963</v>
      </c>
      <c r="G72" s="18" t="n">
        <v>69.2408836</v>
      </c>
      <c r="H72" s="20" t="n">
        <v>2.01907314</v>
      </c>
      <c r="I72" s="18" t="n">
        <v>0</v>
      </c>
      <c r="J72" s="20" t="n">
        <v>0</v>
      </c>
      <c r="K72" s="18" t="n">
        <v>0.11445851</v>
      </c>
      <c r="L72" s="20" t="n">
        <v>0.16187198</v>
      </c>
      <c r="M72" s="18" t="n">
        <v>0</v>
      </c>
      <c r="N72" s="20" t="n">
        <v>0</v>
      </c>
      <c r="O72" s="18" t="n">
        <v>0</v>
      </c>
      <c r="P72" s="20" t="n">
        <v>0</v>
      </c>
      <c r="Q72" s="18" t="n">
        <v>2.08128697</v>
      </c>
      <c r="R72" s="20" t="n">
        <v>0.74278597</v>
      </c>
    </row>
    <row r="73" spans="1:18">
      <c r="A73" s="15" t="s">
        <v>497</v>
      </c>
      <c r="B73" s="17" t="n">
        <v>6115</v>
      </c>
      <c r="C73" s="18">
        <f>(5346.0/B73*100)</f>
        <v/>
      </c>
      <c r="D73" s="19" t="n">
        <v>769</v>
      </c>
      <c r="E73" s="18" t="n">
        <v>28.75451966</v>
      </c>
      <c r="F73" s="20" t="n">
        <v>1.67849979</v>
      </c>
      <c r="G73" s="18" t="n">
        <v>70.26539328</v>
      </c>
      <c r="H73" s="20" t="n">
        <v>1.718414</v>
      </c>
      <c r="I73" s="18" t="n">
        <v>0</v>
      </c>
      <c r="J73" s="20" t="n">
        <v>0</v>
      </c>
      <c r="K73" s="18" t="n">
        <v>0.53615832</v>
      </c>
      <c r="L73" s="20" t="n">
        <v>0.17501433</v>
      </c>
      <c r="M73" s="18" t="n">
        <v>0</v>
      </c>
      <c r="N73" s="20" t="n">
        <v>0</v>
      </c>
      <c r="O73" s="18" t="n">
        <v>0</v>
      </c>
      <c r="P73" s="20" t="n">
        <v>0</v>
      </c>
      <c r="Q73" s="18" t="n">
        <v>0.44392873</v>
      </c>
      <c r="R73" s="20" t="n">
        <v>0.22125238</v>
      </c>
    </row>
    <row r="74" spans="1:18">
      <c r="A74" s="15" t="s">
        <v>498</v>
      </c>
      <c r="B74" s="17" t="n">
        <v>7708</v>
      </c>
      <c r="C74" s="18">
        <f>(6749.0/B74*100)</f>
        <v/>
      </c>
      <c r="D74" s="19" t="n">
        <v>959</v>
      </c>
      <c r="E74" s="18" t="n">
        <v>32.26487317</v>
      </c>
      <c r="F74" s="20" t="n">
        <v>1.66104835</v>
      </c>
      <c r="G74" s="18" t="n">
        <v>66.62438168</v>
      </c>
      <c r="H74" s="20" t="n">
        <v>1.61106241</v>
      </c>
      <c r="I74" s="18" t="n">
        <v>0</v>
      </c>
      <c r="J74" s="20" t="n">
        <v>0</v>
      </c>
      <c r="K74" s="18" t="n">
        <v>0.2634154</v>
      </c>
      <c r="L74" s="20" t="n">
        <v>0.14042673</v>
      </c>
      <c r="M74" s="18" t="n">
        <v>0</v>
      </c>
      <c r="N74" s="20" t="n">
        <v>0</v>
      </c>
      <c r="O74" s="18" t="n">
        <v>0</v>
      </c>
      <c r="P74" s="20" t="n">
        <v>0</v>
      </c>
      <c r="Q74" s="18" t="n">
        <v>0.84732975</v>
      </c>
      <c r="R74" s="20" t="n">
        <v>0.30995618</v>
      </c>
    </row>
    <row r="75" spans="1:18">
      <c r="A75" s="15" t="s">
        <v>499</v>
      </c>
      <c r="B75" s="17" t="n">
        <v>8249</v>
      </c>
      <c r="C75" s="18">
        <f>(7242.0/B75*100)</f>
        <v/>
      </c>
      <c r="D75" s="19" t="n">
        <v>1007</v>
      </c>
      <c r="E75" s="18" t="n">
        <v>33.70776103</v>
      </c>
      <c r="F75" s="20" t="n">
        <v>1.74732041</v>
      </c>
      <c r="G75" s="18" t="n">
        <v>65.45290867</v>
      </c>
      <c r="H75" s="20" t="n">
        <v>1.71627254</v>
      </c>
      <c r="I75" s="18" t="n">
        <v>0</v>
      </c>
      <c r="J75" s="20" t="n">
        <v>0</v>
      </c>
      <c r="K75" s="18" t="n">
        <v>0</v>
      </c>
      <c r="L75" s="20" t="n">
        <v>0</v>
      </c>
      <c r="M75" s="18" t="n">
        <v>0</v>
      </c>
      <c r="N75" s="20" t="n">
        <v>0</v>
      </c>
      <c r="O75" s="18" t="n">
        <v>0</v>
      </c>
      <c r="P75" s="20" t="n">
        <v>0</v>
      </c>
      <c r="Q75" s="18" t="n">
        <v>0.83933029</v>
      </c>
      <c r="R75" s="20" t="n">
        <v>0.33814866</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(28404.0/B82*100)</f>
        <v/>
      </c>
      <c r="D82" s="19" t="n">
        <v>3926</v>
      </c>
      <c r="E82" s="18" t="n">
        <v>29.4960106</v>
      </c>
      <c r="F82" s="20" t="n">
        <v>0.96479611</v>
      </c>
      <c r="G82" s="18" t="n">
        <v>69.21795729</v>
      </c>
      <c r="H82" s="20" t="n">
        <v>0.9620490900000001</v>
      </c>
      <c r="I82" s="18" t="n">
        <v>0</v>
      </c>
      <c r="J82" s="20" t="n">
        <v>0</v>
      </c>
      <c r="K82" s="18" t="n">
        <v>0.09099026</v>
      </c>
      <c r="L82" s="20" t="n">
        <v>0.0461061</v>
      </c>
      <c r="M82" s="18" t="n">
        <v>0</v>
      </c>
      <c r="N82" s="20" t="n">
        <v>0</v>
      </c>
      <c r="O82" s="18" t="n">
        <v>0</v>
      </c>
      <c r="P82" s="20" t="n">
        <v>0</v>
      </c>
      <c r="Q82" s="18" t="n">
        <v>1.19504185</v>
      </c>
      <c r="R82" s="20" t="n">
        <v>0.23239206</v>
      </c>
    </row>
    <row r="83" spans="1:18">
      <c r="A83" s="15" t="s">
        <v>507</v>
      </c>
      <c r="B83" s="17" t="n">
        <v>1652</v>
      </c>
      <c r="C83" s="18">
        <f>(1465.0/B83*100)</f>
        <v/>
      </c>
      <c r="D83" s="19" t="n">
        <v>187</v>
      </c>
      <c r="E83" s="18" t="n">
        <v>26.11449073</v>
      </c>
      <c r="F83" s="20" t="n">
        <v>4.2178025</v>
      </c>
      <c r="G83" s="18" t="n">
        <v>73.88550927</v>
      </c>
      <c r="H83" s="20" t="n">
        <v>4.2178025</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(1657.0/B84*100)</f>
        <v/>
      </c>
      <c r="D84" s="19" t="n">
        <v>230</v>
      </c>
      <c r="E84" s="18" t="n">
        <v>31.30970969</v>
      </c>
      <c r="F84" s="20" t="n">
        <v>3.61440075</v>
      </c>
      <c r="G84" s="18" t="n">
        <v>67.79774945</v>
      </c>
      <c r="H84" s="20" t="n">
        <v>3.58225842</v>
      </c>
      <c r="I84" s="18" t="n">
        <v>0</v>
      </c>
      <c r="J84" s="20" t="n">
        <v>0</v>
      </c>
      <c r="K84" s="18" t="n">
        <v>0</v>
      </c>
      <c r="L84" s="20" t="n">
        <v>0</v>
      </c>
      <c r="M84" s="18" t="n">
        <v>0</v>
      </c>
      <c r="N84" s="20" t="n">
        <v>0</v>
      </c>
      <c r="O84" s="18" t="n">
        <v>0</v>
      </c>
      <c r="P84" s="20" t="n">
        <v>0</v>
      </c>
      <c r="Q84" s="18" t="n">
        <v>0.89254087</v>
      </c>
      <c r="R84" s="20" t="n">
        <v>0.6262824299999999</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599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(12712.0/B7*100)</f>
        <v/>
      </c>
      <c r="D7" s="19" t="n">
        <v>1818</v>
      </c>
      <c r="E7" s="18" t="n">
        <v>13.70130903</v>
      </c>
      <c r="F7" s="20" t="n">
        <v>0.89579268</v>
      </c>
      <c r="G7" s="18" t="n">
        <v>79.56682893999999</v>
      </c>
      <c r="H7" s="20" t="n">
        <v>0.93303601</v>
      </c>
      <c r="I7" s="18" t="n">
        <v>0</v>
      </c>
      <c r="J7" s="20" t="n">
        <v>0</v>
      </c>
      <c r="K7" s="18" t="n">
        <v>0.08796880999999999</v>
      </c>
      <c r="L7" s="20" t="n">
        <v>0.04595036</v>
      </c>
      <c r="M7" s="18" t="n">
        <v>0.09445579</v>
      </c>
      <c r="N7" s="20" t="n">
        <v>0.07499481</v>
      </c>
      <c r="O7" s="18" t="n">
        <v>0</v>
      </c>
      <c r="P7" s="20" t="n">
        <v>0</v>
      </c>
      <c r="Q7" s="18" t="n">
        <v>6.54943742</v>
      </c>
      <c r="R7" s="20" t="n">
        <v>0.68864413</v>
      </c>
    </row>
    <row r="8" spans="1:18">
      <c r="A8" s="15" t="s">
        <v>430</v>
      </c>
      <c r="B8" s="17" t="n">
        <v>7007</v>
      </c>
      <c r="C8" s="18">
        <f>(6156.0/B8*100)</f>
        <v/>
      </c>
      <c r="D8" s="19" t="n">
        <v>851</v>
      </c>
      <c r="E8" s="18" t="n">
        <v>22.85604515</v>
      </c>
      <c r="F8" s="20" t="n">
        <v>1.66869575</v>
      </c>
      <c r="G8" s="18" t="n">
        <v>64.04026215</v>
      </c>
      <c r="H8" s="20" t="n">
        <v>1.83337278</v>
      </c>
      <c r="I8" s="18" t="n">
        <v>0</v>
      </c>
      <c r="J8" s="20" t="n">
        <v>0</v>
      </c>
      <c r="K8" s="18" t="n">
        <v>0</v>
      </c>
      <c r="L8" s="20" t="n">
        <v>0</v>
      </c>
      <c r="M8" s="18" t="n">
        <v>0</v>
      </c>
      <c r="N8" s="20" t="n">
        <v>0</v>
      </c>
      <c r="O8" s="18" t="n">
        <v>0</v>
      </c>
      <c r="P8" s="20" t="n">
        <v>0</v>
      </c>
      <c r="Q8" s="18" t="n">
        <v>13.1036927</v>
      </c>
      <c r="R8" s="20" t="n">
        <v>1.07014408</v>
      </c>
    </row>
    <row r="9" spans="1:18">
      <c r="A9" s="15" t="s">
        <v>431</v>
      </c>
      <c r="B9" s="17" t="n">
        <v>9651</v>
      </c>
      <c r="C9" s="18">
        <f>(8480.0/B9*100)</f>
        <v/>
      </c>
      <c r="D9" s="19" t="n">
        <v>1171</v>
      </c>
      <c r="E9" s="18" t="n">
        <v>21.93956838</v>
      </c>
      <c r="F9" s="20" t="n">
        <v>1.33578219</v>
      </c>
      <c r="G9" s="18" t="n">
        <v>65.54001396</v>
      </c>
      <c r="H9" s="20" t="n">
        <v>1.47840868</v>
      </c>
      <c r="I9" s="18" t="n">
        <v>0</v>
      </c>
      <c r="J9" s="20" t="n">
        <v>0</v>
      </c>
      <c r="K9" s="18" t="n">
        <v>0.23230718</v>
      </c>
      <c r="L9" s="20" t="n">
        <v>0.16633851</v>
      </c>
      <c r="M9" s="18" t="n">
        <v>0.14632117</v>
      </c>
      <c r="N9" s="20" t="n">
        <v>0.09939877</v>
      </c>
      <c r="O9" s="18" t="n">
        <v>0</v>
      </c>
      <c r="P9" s="20" t="n">
        <v>0</v>
      </c>
      <c r="Q9" s="18" t="n">
        <v>12.14178931</v>
      </c>
      <c r="R9" s="20" t="n">
        <v>0.9659400299999999</v>
      </c>
    </row>
    <row r="10" spans="1:18">
      <c r="A10" s="15" t="s">
        <v>432</v>
      </c>
      <c r="B10" s="17" t="n">
        <v>20058</v>
      </c>
      <c r="C10" s="18">
        <f>(17633.0/B10*100)</f>
        <v/>
      </c>
      <c r="D10" s="19" t="n">
        <v>2425</v>
      </c>
      <c r="E10" s="18" t="n">
        <v>18.57296168</v>
      </c>
      <c r="F10" s="20" t="n">
        <v>1.24423113</v>
      </c>
      <c r="G10" s="18" t="n">
        <v>78.04594227</v>
      </c>
      <c r="H10" s="20" t="n">
        <v>1.41141882</v>
      </c>
      <c r="I10" s="18" t="n">
        <v>0</v>
      </c>
      <c r="J10" s="20" t="n">
        <v>0</v>
      </c>
      <c r="K10" s="18" t="n">
        <v>0.25963826</v>
      </c>
      <c r="L10" s="20" t="n">
        <v>0.16239854</v>
      </c>
      <c r="M10" s="18" t="n">
        <v>0.04497702</v>
      </c>
      <c r="N10" s="20" t="n">
        <v>0.04498024</v>
      </c>
      <c r="O10" s="18" t="n">
        <v>0</v>
      </c>
      <c r="P10" s="20" t="n">
        <v>0</v>
      </c>
      <c r="Q10" s="18" t="n">
        <v>3.07648077</v>
      </c>
      <c r="R10" s="20" t="n">
        <v>0.54295254</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(6057.0/B12*100)</f>
        <v/>
      </c>
      <c r="D12" s="19" t="n">
        <v>837</v>
      </c>
      <c r="E12" s="18" t="n">
        <v>23.84185461</v>
      </c>
      <c r="F12" s="20" t="n">
        <v>1.82999344</v>
      </c>
      <c r="G12" s="18" t="n">
        <v>62.83636244</v>
      </c>
      <c r="H12" s="20" t="n">
        <v>1.90652056</v>
      </c>
      <c r="I12" s="18" t="n">
        <v>0</v>
      </c>
      <c r="J12" s="20" t="n">
        <v>0</v>
      </c>
      <c r="K12" s="18" t="n">
        <v>0</v>
      </c>
      <c r="L12" s="20" t="n">
        <v>0</v>
      </c>
      <c r="M12" s="18" t="n">
        <v>0</v>
      </c>
      <c r="N12" s="20" t="n">
        <v>0</v>
      </c>
      <c r="O12" s="18" t="n">
        <v>0</v>
      </c>
      <c r="P12" s="20" t="n">
        <v>0</v>
      </c>
      <c r="Q12" s="18" t="n">
        <v>13.32178295</v>
      </c>
      <c r="R12" s="20" t="n">
        <v>1.29622183</v>
      </c>
    </row>
    <row r="13" spans="1:18">
      <c r="A13" s="15" t="s">
        <v>435</v>
      </c>
      <c r="B13" s="17" t="n">
        <v>7161</v>
      </c>
      <c r="C13" s="18">
        <f>(6329.0/B13*100)</f>
        <v/>
      </c>
      <c r="D13" s="19" t="n">
        <v>832</v>
      </c>
      <c r="E13" s="18" t="n">
        <v>20.26068294</v>
      </c>
      <c r="F13" s="20" t="n">
        <v>1.64000982</v>
      </c>
      <c r="G13" s="18" t="n">
        <v>73.18179886999999</v>
      </c>
      <c r="H13" s="20" t="n">
        <v>1.69534779</v>
      </c>
      <c r="I13" s="18" t="n">
        <v>0</v>
      </c>
      <c r="J13" s="20" t="n">
        <v>0</v>
      </c>
      <c r="K13" s="18" t="n">
        <v>0.38910911</v>
      </c>
      <c r="L13" s="20" t="n">
        <v>0.28426102</v>
      </c>
      <c r="M13" s="18" t="n">
        <v>0</v>
      </c>
      <c r="N13" s="20" t="n">
        <v>0</v>
      </c>
      <c r="O13" s="18" t="n">
        <v>0</v>
      </c>
      <c r="P13" s="20" t="n">
        <v>0</v>
      </c>
      <c r="Q13" s="18" t="n">
        <v>6.16840908</v>
      </c>
      <c r="R13" s="20" t="n">
        <v>0.90018996</v>
      </c>
    </row>
    <row r="14" spans="1:18">
      <c r="A14" s="15" t="s">
        <v>436</v>
      </c>
      <c r="B14" s="17" t="n">
        <v>5587</v>
      </c>
      <c r="C14" s="18">
        <f>(4897.0/B14*100)</f>
        <v/>
      </c>
      <c r="D14" s="19" t="n">
        <v>690</v>
      </c>
      <c r="E14" s="18" t="n">
        <v>22.76864942</v>
      </c>
      <c r="F14" s="20" t="n">
        <v>1.73739685</v>
      </c>
      <c r="G14" s="18" t="n">
        <v>75.15821935</v>
      </c>
      <c r="H14" s="20" t="n">
        <v>1.81750347</v>
      </c>
      <c r="I14" s="18" t="n">
        <v>0</v>
      </c>
      <c r="J14" s="20" t="n">
        <v>0</v>
      </c>
      <c r="K14" s="18" t="n">
        <v>0</v>
      </c>
      <c r="L14" s="20" t="n">
        <v>0</v>
      </c>
      <c r="M14" s="18" t="n">
        <v>0</v>
      </c>
      <c r="N14" s="20" t="n">
        <v>0</v>
      </c>
      <c r="O14" s="18" t="n">
        <v>0</v>
      </c>
      <c r="P14" s="20" t="n">
        <v>0</v>
      </c>
      <c r="Q14" s="18" t="n">
        <v>2.07313123</v>
      </c>
      <c r="R14" s="20" t="n">
        <v>0.51835574</v>
      </c>
    </row>
    <row r="15" spans="1:18">
      <c r="A15" s="15" t="s">
        <v>437</v>
      </c>
      <c r="B15" s="17" t="n">
        <v>5882</v>
      </c>
      <c r="C15" s="18">
        <f>(5164.0/B15*100)</f>
        <v/>
      </c>
      <c r="D15" s="19" t="n">
        <v>718</v>
      </c>
      <c r="E15" s="18" t="n">
        <v>10.93202339</v>
      </c>
      <c r="F15" s="20" t="n">
        <v>1.1897821</v>
      </c>
      <c r="G15" s="18" t="n">
        <v>83.74001713</v>
      </c>
      <c r="H15" s="20" t="n">
        <v>1.38960241</v>
      </c>
      <c r="I15" s="18" t="n">
        <v>0</v>
      </c>
      <c r="J15" s="20" t="n">
        <v>0</v>
      </c>
      <c r="K15" s="18" t="n">
        <v>0.55184796</v>
      </c>
      <c r="L15" s="20" t="n">
        <v>0.27429099</v>
      </c>
      <c r="M15" s="18" t="n">
        <v>0</v>
      </c>
      <c r="N15" s="20" t="n">
        <v>0</v>
      </c>
      <c r="O15" s="18" t="n">
        <v>0</v>
      </c>
      <c r="P15" s="20" t="n">
        <v>0</v>
      </c>
      <c r="Q15" s="18" t="n">
        <v>4.77611152</v>
      </c>
      <c r="R15" s="20" t="n">
        <v>0.77817219</v>
      </c>
    </row>
    <row r="16" spans="1:18">
      <c r="A16" s="15" t="s">
        <v>438</v>
      </c>
      <c r="B16" s="17" t="n">
        <v>6108</v>
      </c>
      <c r="C16" s="18">
        <f>(5360.0/B16*100)</f>
        <v/>
      </c>
      <c r="D16" s="19" t="n">
        <v>748</v>
      </c>
      <c r="E16" s="18" t="n">
        <v>17.47505861</v>
      </c>
      <c r="F16" s="20" t="n">
        <v>1.56730039</v>
      </c>
      <c r="G16" s="18" t="n">
        <v>63.40600433</v>
      </c>
      <c r="H16" s="20" t="n">
        <v>1.63497222</v>
      </c>
      <c r="I16" s="18" t="n">
        <v>0</v>
      </c>
      <c r="J16" s="20" t="n">
        <v>0</v>
      </c>
      <c r="K16" s="18" t="n">
        <v>0.56265773</v>
      </c>
      <c r="L16" s="20" t="n">
        <v>0.28965264</v>
      </c>
      <c r="M16" s="18" t="n">
        <v>0</v>
      </c>
      <c r="N16" s="20" t="n">
        <v>0</v>
      </c>
      <c r="O16" s="18" t="n">
        <v>0</v>
      </c>
      <c r="P16" s="20" t="n">
        <v>0</v>
      </c>
      <c r="Q16" s="18" t="n">
        <v>18.55627934</v>
      </c>
      <c r="R16" s="20" t="n">
        <v>1.42527645</v>
      </c>
    </row>
    <row r="17" spans="1:18">
      <c r="A17" s="15" t="s">
        <v>439</v>
      </c>
      <c r="B17" s="17" t="n">
        <v>6504</v>
      </c>
      <c r="C17" s="18">
        <f>(5714.0/B17*100)</f>
        <v/>
      </c>
      <c r="D17" s="19" t="n">
        <v>790</v>
      </c>
      <c r="E17" s="18" t="n">
        <v>22.01676498</v>
      </c>
      <c r="F17" s="20" t="n">
        <v>1.301776</v>
      </c>
      <c r="G17" s="18" t="n">
        <v>65.19041601000001</v>
      </c>
      <c r="H17" s="20" t="n">
        <v>1.60873985</v>
      </c>
      <c r="I17" s="18" t="n">
        <v>0</v>
      </c>
      <c r="J17" s="20" t="n">
        <v>0</v>
      </c>
      <c r="K17" s="18" t="n">
        <v>0.15741213</v>
      </c>
      <c r="L17" s="20" t="n">
        <v>0.15243702</v>
      </c>
      <c r="M17" s="18" t="n">
        <v>0</v>
      </c>
      <c r="N17" s="20" t="n">
        <v>0</v>
      </c>
      <c r="O17" s="18" t="n">
        <v>0</v>
      </c>
      <c r="P17" s="20" t="n">
        <v>0</v>
      </c>
      <c r="Q17" s="18" t="n">
        <v>12.63540688</v>
      </c>
      <c r="R17" s="20" t="n">
        <v>1.0518255</v>
      </c>
    </row>
    <row r="18" spans="1:18">
      <c r="A18" s="15" t="s">
        <v>440</v>
      </c>
      <c r="B18" s="17" t="n">
        <v>5532</v>
      </c>
      <c r="C18" s="18">
        <f>(4855.0/B18*100)</f>
        <v/>
      </c>
      <c r="D18" s="19" t="n">
        <v>677</v>
      </c>
      <c r="E18" s="18" t="n">
        <v>14.41944234</v>
      </c>
      <c r="F18" s="20" t="n">
        <v>1.49538599</v>
      </c>
      <c r="G18" s="18" t="n">
        <v>73.20955797000001</v>
      </c>
      <c r="H18" s="20" t="n">
        <v>1.90073482</v>
      </c>
      <c r="I18" s="18" t="n">
        <v>0</v>
      </c>
      <c r="J18" s="20" t="n">
        <v>0</v>
      </c>
      <c r="K18" s="18" t="n">
        <v>0.12214556</v>
      </c>
      <c r="L18" s="20" t="n">
        <v>0.12078441</v>
      </c>
      <c r="M18" s="18" t="n">
        <v>0</v>
      </c>
      <c r="N18" s="20" t="n">
        <v>0</v>
      </c>
      <c r="O18" s="18" t="n">
        <v>0</v>
      </c>
      <c r="P18" s="20" t="n">
        <v>0</v>
      </c>
      <c r="Q18" s="18" t="n">
        <v>12.24885413</v>
      </c>
      <c r="R18" s="20" t="n">
        <v>1.37719681</v>
      </c>
    </row>
    <row r="19" spans="1:18">
      <c r="A19" s="15" t="s">
        <v>441</v>
      </c>
      <c r="B19" s="17" t="n">
        <v>5658</v>
      </c>
      <c r="C19" s="18">
        <f>(4977.0/B19*100)</f>
        <v/>
      </c>
      <c r="D19" s="19" t="n">
        <v>681</v>
      </c>
      <c r="E19" s="18" t="n">
        <v>18.74067956</v>
      </c>
      <c r="F19" s="20" t="n">
        <v>1.85100174</v>
      </c>
      <c r="G19" s="18" t="n">
        <v>71.57483391</v>
      </c>
      <c r="H19" s="20" t="n">
        <v>2.06297814</v>
      </c>
      <c r="I19" s="18" t="n">
        <v>0</v>
      </c>
      <c r="J19" s="20" t="n">
        <v>0</v>
      </c>
      <c r="K19" s="18" t="n">
        <v>0</v>
      </c>
      <c r="L19" s="20" t="n">
        <v>0</v>
      </c>
      <c r="M19" s="18" t="n">
        <v>0</v>
      </c>
      <c r="N19" s="20" t="n">
        <v>0</v>
      </c>
      <c r="O19" s="18" t="n">
        <v>0</v>
      </c>
      <c r="P19" s="20" t="n">
        <v>0</v>
      </c>
      <c r="Q19" s="18" t="n">
        <v>9.68448654</v>
      </c>
      <c r="R19" s="20" t="n">
        <v>1.26287956</v>
      </c>
    </row>
    <row r="20" spans="1:18">
      <c r="A20" s="15" t="s">
        <v>442</v>
      </c>
      <c r="B20" s="17" t="n">
        <v>3371</v>
      </c>
      <c r="C20" s="18">
        <f>(2971.0/B20*100)</f>
        <v/>
      </c>
      <c r="D20" s="19" t="n">
        <v>400</v>
      </c>
      <c r="E20" s="18" t="n">
        <v>27.22551489</v>
      </c>
      <c r="F20" s="20" t="n">
        <v>2.2531345</v>
      </c>
      <c r="G20" s="18" t="n">
        <v>62.99431244</v>
      </c>
      <c r="H20" s="20" t="n">
        <v>2.30510814</v>
      </c>
      <c r="I20" s="18" t="n">
        <v>0</v>
      </c>
      <c r="J20" s="20" t="n">
        <v>0</v>
      </c>
      <c r="K20" s="18" t="n">
        <v>0.23725498</v>
      </c>
      <c r="L20" s="20" t="n">
        <v>0.23915492</v>
      </c>
      <c r="M20" s="18" t="n">
        <v>0.60724216</v>
      </c>
      <c r="N20" s="20" t="n">
        <v>0.44980548</v>
      </c>
      <c r="O20" s="18" t="n">
        <v>0</v>
      </c>
      <c r="P20" s="20" t="n">
        <v>0</v>
      </c>
      <c r="Q20" s="18" t="n">
        <v>8.93567552</v>
      </c>
      <c r="R20" s="20" t="n">
        <v>1.191494</v>
      </c>
    </row>
    <row r="21" spans="1:18">
      <c r="A21" s="15" t="s">
        <v>443</v>
      </c>
      <c r="B21" s="17" t="n">
        <v>5741</v>
      </c>
      <c r="C21" s="18">
        <f>(4795.0/B21*100)</f>
        <v/>
      </c>
      <c r="D21" s="19" t="n">
        <v>946</v>
      </c>
      <c r="E21" s="18" t="n">
        <v>11.05257333</v>
      </c>
      <c r="F21" s="20" t="n">
        <v>0.90199132</v>
      </c>
      <c r="G21" s="18" t="n">
        <v>86.16294477</v>
      </c>
      <c r="H21" s="20" t="n">
        <v>1.04789017</v>
      </c>
      <c r="I21" s="18" t="n">
        <v>0</v>
      </c>
      <c r="J21" s="20" t="n">
        <v>0</v>
      </c>
      <c r="K21" s="18" t="n">
        <v>0.09106713</v>
      </c>
      <c r="L21" s="20" t="n">
        <v>0.06556589</v>
      </c>
      <c r="M21" s="18" t="n">
        <v>0</v>
      </c>
      <c r="N21" s="20" t="n">
        <v>0</v>
      </c>
      <c r="O21" s="18" t="n">
        <v>0</v>
      </c>
      <c r="P21" s="20" t="n">
        <v>0</v>
      </c>
      <c r="Q21" s="18" t="n">
        <v>2.69341477</v>
      </c>
      <c r="R21" s="20" t="n">
        <v>0.59648882</v>
      </c>
    </row>
    <row r="22" spans="1:18">
      <c r="A22" s="15" t="s">
        <v>444</v>
      </c>
      <c r="B22" s="17" t="n">
        <v>6598</v>
      </c>
      <c r="C22" s="18">
        <f>(5775.0/B22*100)</f>
        <v/>
      </c>
      <c r="D22" s="19" t="n">
        <v>823</v>
      </c>
      <c r="E22" s="18" t="n">
        <v>19.42414864</v>
      </c>
      <c r="F22" s="20" t="n">
        <v>1.49766549</v>
      </c>
      <c r="G22" s="18" t="n">
        <v>71.39931568999999</v>
      </c>
      <c r="H22" s="20" t="n">
        <v>1.76079842</v>
      </c>
      <c r="I22" s="18" t="n">
        <v>0</v>
      </c>
      <c r="J22" s="20" t="n">
        <v>0</v>
      </c>
      <c r="K22" s="18" t="n">
        <v>0.36080375</v>
      </c>
      <c r="L22" s="20" t="n">
        <v>0.18637891</v>
      </c>
      <c r="M22" s="18" t="n">
        <v>0</v>
      </c>
      <c r="N22" s="20" t="n">
        <v>0</v>
      </c>
      <c r="O22" s="18" t="n">
        <v>0</v>
      </c>
      <c r="P22" s="20" t="n">
        <v>0</v>
      </c>
      <c r="Q22" s="18" t="n">
        <v>8.81573191</v>
      </c>
      <c r="R22" s="20" t="n">
        <v>1.3863734</v>
      </c>
    </row>
    <row r="23" spans="1:18">
      <c r="A23" s="15" t="s">
        <v>445</v>
      </c>
      <c r="B23" s="17" t="n">
        <v>11583</v>
      </c>
      <c r="C23" s="18">
        <f>(10185.0/B23*100)</f>
        <v/>
      </c>
      <c r="D23" s="19" t="n">
        <v>1398</v>
      </c>
      <c r="E23" s="18" t="n">
        <v>13.73870528</v>
      </c>
      <c r="F23" s="20" t="n">
        <v>1.23208699</v>
      </c>
      <c r="G23" s="18" t="n">
        <v>73.18612874</v>
      </c>
      <c r="H23" s="20" t="n">
        <v>1.83014875</v>
      </c>
      <c r="I23" s="18" t="n">
        <v>0</v>
      </c>
      <c r="J23" s="20" t="n">
        <v>0</v>
      </c>
      <c r="K23" s="18" t="n">
        <v>0.52875558</v>
      </c>
      <c r="L23" s="20" t="n">
        <v>0.24365139</v>
      </c>
      <c r="M23" s="18" t="n">
        <v>1.1379052</v>
      </c>
      <c r="N23" s="20" t="n">
        <v>0.76634792</v>
      </c>
      <c r="O23" s="18" t="n">
        <v>0</v>
      </c>
      <c r="P23" s="20" t="n">
        <v>0</v>
      </c>
      <c r="Q23" s="18" t="n">
        <v>11.4085052</v>
      </c>
      <c r="R23" s="20" t="n">
        <v>1.28053046</v>
      </c>
    </row>
    <row r="24" spans="1:18">
      <c r="A24" s="15" t="s">
        <v>446</v>
      </c>
      <c r="B24" s="17" t="n">
        <v>6647</v>
      </c>
      <c r="C24" s="18">
        <f>(5846.0/B24*100)</f>
        <v/>
      </c>
      <c r="D24" s="19" t="n">
        <v>801</v>
      </c>
      <c r="E24" s="18" t="n">
        <v>8.313953489999999</v>
      </c>
      <c r="F24" s="20" t="n">
        <v>1.12862835</v>
      </c>
      <c r="G24" s="18" t="n">
        <v>85.58331523</v>
      </c>
      <c r="H24" s="20" t="n">
        <v>1.45918587</v>
      </c>
      <c r="I24" s="18" t="n">
        <v>0</v>
      </c>
      <c r="J24" s="20" t="n">
        <v>0</v>
      </c>
      <c r="K24" s="18" t="n">
        <v>0</v>
      </c>
      <c r="L24" s="20" t="n">
        <v>0</v>
      </c>
      <c r="M24" s="18" t="n">
        <v>0</v>
      </c>
      <c r="N24" s="20" t="n">
        <v>0</v>
      </c>
      <c r="O24" s="18" t="n">
        <v>0</v>
      </c>
      <c r="P24" s="20" t="n">
        <v>0</v>
      </c>
      <c r="Q24" s="18" t="n">
        <v>6.10273128</v>
      </c>
      <c r="R24" s="20" t="n">
        <v>0.9270937</v>
      </c>
    </row>
    <row r="25" spans="1:18">
      <c r="A25" s="15" t="s">
        <v>447</v>
      </c>
      <c r="B25" s="17" t="n">
        <v>5581</v>
      </c>
      <c r="C25" s="18">
        <f>(4886.0/B25*100)</f>
        <v/>
      </c>
      <c r="D25" s="19" t="n">
        <v>695</v>
      </c>
      <c r="E25" s="18" t="n">
        <v>24.18402301</v>
      </c>
      <c r="F25" s="20" t="n">
        <v>1.50116778</v>
      </c>
      <c r="G25" s="18" t="n">
        <v>69.9304715</v>
      </c>
      <c r="H25" s="20" t="n">
        <v>1.54534225</v>
      </c>
      <c r="I25" s="18" t="n">
        <v>0</v>
      </c>
      <c r="J25" s="20" t="n">
        <v>0</v>
      </c>
      <c r="K25" s="18" t="n">
        <v>0.13402635</v>
      </c>
      <c r="L25" s="20" t="n">
        <v>0.13398772</v>
      </c>
      <c r="M25" s="18" t="n">
        <v>0.14748223</v>
      </c>
      <c r="N25" s="20" t="n">
        <v>0.14700732</v>
      </c>
      <c r="O25" s="18" t="n">
        <v>0</v>
      </c>
      <c r="P25" s="20" t="n">
        <v>0</v>
      </c>
      <c r="Q25" s="18" t="n">
        <v>5.6039969</v>
      </c>
      <c r="R25" s="20" t="n">
        <v>1.01475142</v>
      </c>
    </row>
    <row r="26" spans="1:18">
      <c r="A26" s="15" t="s">
        <v>448</v>
      </c>
      <c r="B26" s="17" t="n">
        <v>4869</v>
      </c>
      <c r="C26" s="18">
        <f>(4264.0/B26*100)</f>
        <v/>
      </c>
      <c r="D26" s="19" t="n">
        <v>605</v>
      </c>
      <c r="E26" s="18" t="n">
        <v>28.74468021</v>
      </c>
      <c r="F26" s="20" t="n">
        <v>1.87044143</v>
      </c>
      <c r="G26" s="18" t="n">
        <v>66.13098299000001</v>
      </c>
      <c r="H26" s="20" t="n">
        <v>2.06045023</v>
      </c>
      <c r="I26" s="18" t="n">
        <v>0</v>
      </c>
      <c r="J26" s="20" t="n">
        <v>0</v>
      </c>
      <c r="K26" s="18" t="n">
        <v>0</v>
      </c>
      <c r="L26" s="20" t="n">
        <v>0</v>
      </c>
      <c r="M26" s="18" t="n">
        <v>0.12957423</v>
      </c>
      <c r="N26" s="20" t="n">
        <v>0.12900923</v>
      </c>
      <c r="O26" s="18" t="n">
        <v>0</v>
      </c>
      <c r="P26" s="20" t="n">
        <v>0</v>
      </c>
      <c r="Q26" s="18" t="n">
        <v>4.99476257</v>
      </c>
      <c r="R26" s="20" t="n">
        <v>1.00599857</v>
      </c>
    </row>
    <row r="27" spans="1:18">
      <c r="A27" s="15" t="s">
        <v>449</v>
      </c>
      <c r="B27" s="17" t="n">
        <v>5299</v>
      </c>
      <c r="C27" s="18">
        <f>(4635.0/B27*100)</f>
        <v/>
      </c>
      <c r="D27" s="19" t="n">
        <v>664</v>
      </c>
      <c r="E27" s="18" t="n">
        <v>27.93218684</v>
      </c>
      <c r="F27" s="20" t="n">
        <v>1.97521813</v>
      </c>
      <c r="G27" s="18" t="n">
        <v>56.0391691</v>
      </c>
      <c r="H27" s="20" t="n">
        <v>1.99706434</v>
      </c>
      <c r="I27" s="18" t="n">
        <v>0</v>
      </c>
      <c r="J27" s="20" t="n">
        <v>0</v>
      </c>
      <c r="K27" s="18" t="n">
        <v>0.15102393</v>
      </c>
      <c r="L27" s="20" t="n">
        <v>0.15195586</v>
      </c>
      <c r="M27" s="18" t="n">
        <v>0</v>
      </c>
      <c r="N27" s="20" t="n">
        <v>0</v>
      </c>
      <c r="O27" s="18" t="n">
        <v>0</v>
      </c>
      <c r="P27" s="20" t="n">
        <v>0</v>
      </c>
      <c r="Q27" s="18" t="n">
        <v>15.87762012</v>
      </c>
      <c r="R27" s="20" t="n">
        <v>1.46217184</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16.5035482</v>
      </c>
      <c r="F29" s="20" t="n">
        <v>1.43956021</v>
      </c>
      <c r="G29" s="18" t="n">
        <v>80.17681856</v>
      </c>
      <c r="H29" s="20" t="n">
        <v>1.61039871</v>
      </c>
      <c r="I29" s="18" t="n">
        <v>0</v>
      </c>
      <c r="J29" s="20" t="n">
        <v>0</v>
      </c>
      <c r="K29" s="18" t="n">
        <v>0.33875531</v>
      </c>
      <c r="L29" s="20" t="n">
        <v>0.23990196</v>
      </c>
      <c r="M29" s="18" t="n">
        <v>0</v>
      </c>
      <c r="N29" s="20" t="n">
        <v>0</v>
      </c>
      <c r="O29" s="18" t="n">
        <v>0</v>
      </c>
      <c r="P29" s="20" t="n">
        <v>0</v>
      </c>
      <c r="Q29" s="18" t="n">
        <v>2.98087793</v>
      </c>
      <c r="R29" s="20" t="n">
        <v>0.67667323</v>
      </c>
    </row>
    <row r="30" spans="1:18">
      <c r="A30" s="15" t="s">
        <v>452</v>
      </c>
      <c r="B30" s="17" t="n">
        <v>4520</v>
      </c>
      <c r="C30" s="18">
        <f>(3954.0/B30*100)</f>
        <v/>
      </c>
      <c r="D30" s="19" t="n">
        <v>566</v>
      </c>
      <c r="E30" s="18" t="n">
        <v>13.80326349</v>
      </c>
      <c r="F30" s="20" t="n">
        <v>1.53223081</v>
      </c>
      <c r="G30" s="18" t="n">
        <v>77.63335455000001</v>
      </c>
      <c r="H30" s="20" t="n">
        <v>1.84893425</v>
      </c>
      <c r="I30" s="18" t="n">
        <v>0</v>
      </c>
      <c r="J30" s="20" t="n">
        <v>0</v>
      </c>
      <c r="K30" s="18" t="n">
        <v>0.24913138</v>
      </c>
      <c r="L30" s="20" t="n">
        <v>0.253556</v>
      </c>
      <c r="M30" s="18" t="n">
        <v>0</v>
      </c>
      <c r="N30" s="20" t="n">
        <v>0</v>
      </c>
      <c r="O30" s="18" t="n">
        <v>0</v>
      </c>
      <c r="P30" s="20" t="n">
        <v>0</v>
      </c>
      <c r="Q30" s="18" t="n">
        <v>8.31425057</v>
      </c>
      <c r="R30" s="20" t="n">
        <v>1.15751169</v>
      </c>
    </row>
    <row r="31" spans="1:18">
      <c r="A31" s="15" t="s">
        <v>453</v>
      </c>
      <c r="B31" s="17" t="n">
        <v>5456</v>
      </c>
      <c r="C31" s="18">
        <f>(4781.0/B31*100)</f>
        <v/>
      </c>
      <c r="D31" s="19" t="n">
        <v>675</v>
      </c>
      <c r="E31" s="18" t="n">
        <v>21.22378942</v>
      </c>
      <c r="F31" s="20" t="n">
        <v>1.74625804</v>
      </c>
      <c r="G31" s="18" t="n">
        <v>71.72807623999999</v>
      </c>
      <c r="H31" s="20" t="n">
        <v>2.02202228</v>
      </c>
      <c r="I31" s="18" t="n">
        <v>0</v>
      </c>
      <c r="J31" s="20" t="n">
        <v>0</v>
      </c>
      <c r="K31" s="18" t="n">
        <v>0</v>
      </c>
      <c r="L31" s="20" t="n">
        <v>0</v>
      </c>
      <c r="M31" s="18" t="n">
        <v>0</v>
      </c>
      <c r="N31" s="20" t="n">
        <v>0</v>
      </c>
      <c r="O31" s="18" t="n">
        <v>0</v>
      </c>
      <c r="P31" s="20" t="n">
        <v>0</v>
      </c>
      <c r="Q31" s="18" t="n">
        <v>7.04813435</v>
      </c>
      <c r="R31" s="20" t="n">
        <v>1.02308577</v>
      </c>
    </row>
    <row r="32" spans="1:18">
      <c r="A32" s="15" t="s">
        <v>454</v>
      </c>
      <c r="B32" s="17" t="n">
        <v>4478</v>
      </c>
      <c r="C32" s="18">
        <f>(3718.0/B32*100)</f>
        <v/>
      </c>
      <c r="D32" s="19" t="n">
        <v>760</v>
      </c>
      <c r="E32" s="18" t="n">
        <v>20.84875953</v>
      </c>
      <c r="F32" s="20" t="n">
        <v>1.59165732</v>
      </c>
      <c r="G32" s="18" t="n">
        <v>71.80995192</v>
      </c>
      <c r="H32" s="20" t="n">
        <v>1.8135713</v>
      </c>
      <c r="I32" s="18" t="n">
        <v>0</v>
      </c>
      <c r="J32" s="20" t="n">
        <v>0</v>
      </c>
      <c r="K32" s="18" t="n">
        <v>0.13595364</v>
      </c>
      <c r="L32" s="20" t="n">
        <v>0.11863941</v>
      </c>
      <c r="M32" s="18" t="n">
        <v>0</v>
      </c>
      <c r="N32" s="20" t="n">
        <v>0</v>
      </c>
      <c r="O32" s="18" t="n">
        <v>0</v>
      </c>
      <c r="P32" s="20" t="n">
        <v>0</v>
      </c>
      <c r="Q32" s="18" t="n">
        <v>7.20533492</v>
      </c>
      <c r="R32" s="20" t="n">
        <v>0.8123926299999999</v>
      </c>
    </row>
    <row r="33" spans="1:18">
      <c r="A33" s="15" t="s">
        <v>455</v>
      </c>
      <c r="B33" s="17" t="n">
        <v>7325</v>
      </c>
      <c r="C33" s="18">
        <f>(6425.0/B33*100)</f>
        <v/>
      </c>
      <c r="D33" s="19" t="n">
        <v>900</v>
      </c>
      <c r="E33" s="18" t="n">
        <v>23.46913514</v>
      </c>
      <c r="F33" s="20" t="n">
        <v>1.57971308</v>
      </c>
      <c r="G33" s="18" t="n">
        <v>71.79226668</v>
      </c>
      <c r="H33" s="20" t="n">
        <v>1.82150163</v>
      </c>
      <c r="I33" s="18" t="n">
        <v>0</v>
      </c>
      <c r="J33" s="20" t="n">
        <v>0</v>
      </c>
      <c r="K33" s="18" t="n">
        <v>0</v>
      </c>
      <c r="L33" s="20" t="n">
        <v>0</v>
      </c>
      <c r="M33" s="18" t="n">
        <v>0</v>
      </c>
      <c r="N33" s="20" t="n">
        <v>0</v>
      </c>
      <c r="O33" s="18" t="n">
        <v>0</v>
      </c>
      <c r="P33" s="20" t="n">
        <v>0</v>
      </c>
      <c r="Q33" s="18" t="n">
        <v>4.73859818</v>
      </c>
      <c r="R33" s="20" t="n">
        <v>0.95689487</v>
      </c>
    </row>
    <row r="34" spans="1:18">
      <c r="A34" s="15" t="s">
        <v>456</v>
      </c>
      <c r="B34" s="17" t="n">
        <v>6350</v>
      </c>
      <c r="C34" s="18">
        <f>(5570.0/B34*100)</f>
        <v/>
      </c>
      <c r="D34" s="19" t="n">
        <v>780</v>
      </c>
      <c r="E34" s="18" t="n">
        <v>29.36986425</v>
      </c>
      <c r="F34" s="20" t="n">
        <v>1.81062213</v>
      </c>
      <c r="G34" s="18" t="n">
        <v>55.81535894</v>
      </c>
      <c r="H34" s="20" t="n">
        <v>1.89995386</v>
      </c>
      <c r="I34" s="18" t="n">
        <v>0</v>
      </c>
      <c r="J34" s="20" t="n">
        <v>0</v>
      </c>
      <c r="K34" s="18" t="n">
        <v>0.09680034</v>
      </c>
      <c r="L34" s="20" t="n">
        <v>0.0971019</v>
      </c>
      <c r="M34" s="18" t="n">
        <v>0.11334967</v>
      </c>
      <c r="N34" s="20" t="n">
        <v>0.11305991</v>
      </c>
      <c r="O34" s="18" t="n">
        <v>0</v>
      </c>
      <c r="P34" s="20" t="n">
        <v>0</v>
      </c>
      <c r="Q34" s="18" t="n">
        <v>14.6046268</v>
      </c>
      <c r="R34" s="20" t="n">
        <v>1.37138085</v>
      </c>
    </row>
    <row r="35" spans="1:18">
      <c r="A35" s="15" t="s">
        <v>457</v>
      </c>
      <c r="B35" s="17" t="n">
        <v>6406</v>
      </c>
      <c r="C35" s="18">
        <f>(5613.0/B35*100)</f>
        <v/>
      </c>
      <c r="D35" s="19" t="n">
        <v>793</v>
      </c>
      <c r="E35" s="18" t="n">
        <v>21.80878401</v>
      </c>
      <c r="F35" s="20" t="n">
        <v>1.66721127</v>
      </c>
      <c r="G35" s="18" t="n">
        <v>67.07932545</v>
      </c>
      <c r="H35" s="20" t="n">
        <v>1.80661138</v>
      </c>
      <c r="I35" s="18" t="n">
        <v>0</v>
      </c>
      <c r="J35" s="20" t="n">
        <v>0</v>
      </c>
      <c r="K35" s="18" t="n">
        <v>0.11646324</v>
      </c>
      <c r="L35" s="20" t="n">
        <v>0.08272868</v>
      </c>
      <c r="M35" s="18" t="n">
        <v>0.41830002</v>
      </c>
      <c r="N35" s="20" t="n">
        <v>0.28583537</v>
      </c>
      <c r="O35" s="18" t="n">
        <v>0</v>
      </c>
      <c r="P35" s="20" t="n">
        <v>0</v>
      </c>
      <c r="Q35" s="18" t="n">
        <v>10.57712727</v>
      </c>
      <c r="R35" s="20" t="n">
        <v>1.2098285</v>
      </c>
    </row>
    <row r="36" spans="1:18">
      <c r="A36" s="15" t="s">
        <v>458</v>
      </c>
      <c r="B36" s="17" t="n">
        <v>6736</v>
      </c>
      <c r="C36" s="18">
        <f>(5927.0/B36*100)</f>
        <v/>
      </c>
      <c r="D36" s="19" t="n">
        <v>809</v>
      </c>
      <c r="E36" s="18" t="n">
        <v>16.94770731</v>
      </c>
      <c r="F36" s="20" t="n">
        <v>1.53360934</v>
      </c>
      <c r="G36" s="18" t="n">
        <v>76.48483629</v>
      </c>
      <c r="H36" s="20" t="n">
        <v>1.73060763</v>
      </c>
      <c r="I36" s="18" t="n">
        <v>0</v>
      </c>
      <c r="J36" s="20" t="n">
        <v>0</v>
      </c>
      <c r="K36" s="18" t="n">
        <v>0.180589</v>
      </c>
      <c r="L36" s="20" t="n">
        <v>0.1990066</v>
      </c>
      <c r="M36" s="18" t="n">
        <v>0</v>
      </c>
      <c r="N36" s="20" t="n">
        <v>0</v>
      </c>
      <c r="O36" s="18" t="n">
        <v>0</v>
      </c>
      <c r="P36" s="20" t="n">
        <v>0</v>
      </c>
      <c r="Q36" s="18" t="n">
        <v>6.3868674</v>
      </c>
      <c r="R36" s="20" t="n">
        <v>0.99980236</v>
      </c>
    </row>
    <row r="37" spans="1:18">
      <c r="A37" s="15" t="s">
        <v>459</v>
      </c>
      <c r="B37" s="17" t="n">
        <v>5458</v>
      </c>
      <c r="C37" s="18">
        <f>(4795.0/B37*100)</f>
        <v/>
      </c>
      <c r="D37" s="19" t="n">
        <v>663</v>
      </c>
      <c r="E37" s="18" t="n">
        <v>16.21716082</v>
      </c>
      <c r="F37" s="20" t="n">
        <v>1.57040164</v>
      </c>
      <c r="G37" s="18" t="n">
        <v>73.78104702</v>
      </c>
      <c r="H37" s="20" t="n">
        <v>1.91064313</v>
      </c>
      <c r="I37" s="18" t="n">
        <v>0</v>
      </c>
      <c r="J37" s="20" t="n">
        <v>0</v>
      </c>
      <c r="K37" s="18" t="n">
        <v>0.5962697</v>
      </c>
      <c r="L37" s="20" t="n">
        <v>0.29605354</v>
      </c>
      <c r="M37" s="18" t="n">
        <v>0.12221127</v>
      </c>
      <c r="N37" s="20" t="n">
        <v>0.12215491</v>
      </c>
      <c r="O37" s="18" t="n">
        <v>0</v>
      </c>
      <c r="P37" s="20" t="n">
        <v>0</v>
      </c>
      <c r="Q37" s="18" t="n">
        <v>9.283311189999999</v>
      </c>
      <c r="R37" s="20" t="n">
        <v>1.19138698</v>
      </c>
    </row>
    <row r="38" spans="1:18">
      <c r="A38" s="15" t="s">
        <v>460</v>
      </c>
      <c r="B38" s="17" t="n">
        <v>5860</v>
      </c>
      <c r="C38" s="18">
        <f>(4885.0/B38*100)</f>
        <v/>
      </c>
      <c r="D38" s="19" t="n">
        <v>975</v>
      </c>
      <c r="E38" s="18" t="n">
        <v>29.82591389</v>
      </c>
      <c r="F38" s="20" t="n">
        <v>1.4320077</v>
      </c>
      <c r="G38" s="18" t="n">
        <v>57.54474956</v>
      </c>
      <c r="H38" s="20" t="n">
        <v>1.86958511</v>
      </c>
      <c r="I38" s="18" t="n">
        <v>0</v>
      </c>
      <c r="J38" s="20" t="n">
        <v>0</v>
      </c>
      <c r="K38" s="18" t="n">
        <v>0.09928159</v>
      </c>
      <c r="L38" s="20" t="n">
        <v>0.09968653</v>
      </c>
      <c r="M38" s="18" t="n">
        <v>0.11235717</v>
      </c>
      <c r="N38" s="20" t="n">
        <v>0.11229309</v>
      </c>
      <c r="O38" s="18" t="n">
        <v>0</v>
      </c>
      <c r="P38" s="20" t="n">
        <v>0</v>
      </c>
      <c r="Q38" s="18" t="n">
        <v>12.41769779</v>
      </c>
      <c r="R38" s="20" t="n">
        <v>1.12540347</v>
      </c>
    </row>
    <row r="39" spans="1:18">
      <c r="A39" s="15" t="s">
        <v>461</v>
      </c>
      <c r="B39" s="17" t="n">
        <v>5895</v>
      </c>
      <c r="C39" s="18">
        <f>(5158.0/B39*100)</f>
        <v/>
      </c>
      <c r="D39" s="19" t="n">
        <v>737</v>
      </c>
      <c r="E39" s="18" t="n">
        <v>23.04297296</v>
      </c>
      <c r="F39" s="20" t="n">
        <v>1.69144428</v>
      </c>
      <c r="G39" s="18" t="n">
        <v>70.74397345</v>
      </c>
      <c r="H39" s="20" t="n">
        <v>1.87099998</v>
      </c>
      <c r="I39" s="18" t="n">
        <v>0</v>
      </c>
      <c r="J39" s="20" t="n">
        <v>0</v>
      </c>
      <c r="K39" s="18" t="n">
        <v>0.41961814</v>
      </c>
      <c r="L39" s="20" t="n">
        <v>0.31687883</v>
      </c>
      <c r="M39" s="18" t="n">
        <v>0.16089595</v>
      </c>
      <c r="N39" s="20" t="n">
        <v>0.21207815</v>
      </c>
      <c r="O39" s="18" t="n">
        <v>0</v>
      </c>
      <c r="P39" s="20" t="n">
        <v>0</v>
      </c>
      <c r="Q39" s="18" t="n">
        <v>5.6325395</v>
      </c>
      <c r="R39" s="20" t="n">
        <v>0.82368877</v>
      </c>
    </row>
    <row r="40" spans="1:18">
      <c r="A40" s="15" t="s">
        <v>462</v>
      </c>
      <c r="B40" s="17" t="n">
        <v>14157</v>
      </c>
      <c r="C40" s="18">
        <f>(12382.0/B40*100)</f>
        <v/>
      </c>
      <c r="D40" s="19" t="n">
        <v>1775</v>
      </c>
      <c r="E40" s="18" t="n">
        <v>10.80546133</v>
      </c>
      <c r="F40" s="20" t="n">
        <v>1.1112507</v>
      </c>
      <c r="G40" s="18" t="n">
        <v>82.44013579999999</v>
      </c>
      <c r="H40" s="20" t="n">
        <v>1.80631385</v>
      </c>
      <c r="I40" s="18" t="n">
        <v>0</v>
      </c>
      <c r="J40" s="20" t="n">
        <v>0</v>
      </c>
      <c r="K40" s="18" t="n">
        <v>0.07332809999999999</v>
      </c>
      <c r="L40" s="20" t="n">
        <v>0.03250636</v>
      </c>
      <c r="M40" s="18" t="n">
        <v>0.27545231</v>
      </c>
      <c r="N40" s="20" t="n">
        <v>0.2158724</v>
      </c>
      <c r="O40" s="18" t="n">
        <v>0</v>
      </c>
      <c r="P40" s="20" t="n">
        <v>0</v>
      </c>
      <c r="Q40" s="18" t="n">
        <v>6.40562246</v>
      </c>
      <c r="R40" s="20" t="n">
        <v>1.24552995</v>
      </c>
    </row>
    <row r="41" spans="1:18">
      <c r="A41" s="15" t="s">
        <v>463</v>
      </c>
      <c r="B41" s="17" t="n">
        <v>5712</v>
      </c>
      <c r="C41" s="18">
        <f>(5041.0/B41*100)</f>
        <v/>
      </c>
      <c r="D41" s="19" t="n">
        <v>671</v>
      </c>
      <c r="E41" s="18" t="n">
        <v>19.56400554</v>
      </c>
      <c r="F41" s="20" t="n">
        <v>1.57037227</v>
      </c>
      <c r="G41" s="18" t="n">
        <v>77.69175666</v>
      </c>
      <c r="H41" s="20" t="n">
        <v>1.69007337</v>
      </c>
      <c r="I41" s="18" t="n">
        <v>0</v>
      </c>
      <c r="J41" s="20" t="n">
        <v>0</v>
      </c>
      <c r="K41" s="18" t="n">
        <v>0</v>
      </c>
      <c r="L41" s="20" t="n">
        <v>0</v>
      </c>
      <c r="M41" s="18" t="n">
        <v>0</v>
      </c>
      <c r="N41" s="20" t="n">
        <v>0</v>
      </c>
      <c r="O41" s="18" t="n">
        <v>0</v>
      </c>
      <c r="P41" s="20" t="n">
        <v>0</v>
      </c>
      <c r="Q41" s="18" t="n">
        <v>2.7442378</v>
      </c>
      <c r="R41" s="20" t="n">
        <v>0.5931663700000001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(8632.0/B48*100)</f>
        <v/>
      </c>
      <c r="D48" s="19" t="n">
        <v>1209</v>
      </c>
      <c r="E48" s="18" t="n">
        <v>24.04032882</v>
      </c>
      <c r="F48" s="20" t="n">
        <v>1.7830533</v>
      </c>
      <c r="G48" s="18" t="n">
        <v>68.40170363999999</v>
      </c>
      <c r="H48" s="20" t="n">
        <v>2.08405736</v>
      </c>
      <c r="I48" s="18" t="n">
        <v>0</v>
      </c>
      <c r="J48" s="20" t="n">
        <v>0</v>
      </c>
      <c r="K48" s="18" t="n">
        <v>0.29228305</v>
      </c>
      <c r="L48" s="20" t="n">
        <v>0.25416643</v>
      </c>
      <c r="M48" s="18" t="n">
        <v>0.14486934</v>
      </c>
      <c r="N48" s="20" t="n">
        <v>0.14507645</v>
      </c>
      <c r="O48" s="18" t="n">
        <v>0</v>
      </c>
      <c r="P48" s="20" t="n">
        <v>0</v>
      </c>
      <c r="Q48" s="18" t="n">
        <v>7.12081516</v>
      </c>
      <c r="R48" s="20" t="n">
        <v>0.98564701</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(5085.0/B51*100)</f>
        <v/>
      </c>
      <c r="D51" s="19" t="n">
        <v>724</v>
      </c>
      <c r="E51" s="18" t="n">
        <v>10.5936872</v>
      </c>
      <c r="F51" s="20" t="n">
        <v>1.24851676</v>
      </c>
      <c r="G51" s="18" t="n">
        <v>77.66506044</v>
      </c>
      <c r="H51" s="20" t="n">
        <v>1.66979718</v>
      </c>
      <c r="I51" s="18" t="n">
        <v>0</v>
      </c>
      <c r="J51" s="20" t="n">
        <v>0</v>
      </c>
      <c r="K51" s="18" t="n">
        <v>0</v>
      </c>
      <c r="L51" s="20" t="n">
        <v>0</v>
      </c>
      <c r="M51" s="18" t="n">
        <v>0</v>
      </c>
      <c r="N51" s="20" t="n">
        <v>0</v>
      </c>
      <c r="O51" s="18" t="n">
        <v>0</v>
      </c>
      <c r="P51" s="20" t="n">
        <v>0</v>
      </c>
      <c r="Q51" s="18" t="n">
        <v>11.74125236</v>
      </c>
      <c r="R51" s="20" t="n">
        <v>1.28155106</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17.39627183</v>
      </c>
      <c r="F55" s="20" t="n">
        <v>1.52625435</v>
      </c>
      <c r="G55" s="18" t="n">
        <v>78.99831788</v>
      </c>
      <c r="H55" s="20" t="n">
        <v>1.73230669</v>
      </c>
      <c r="I55" s="18" t="n">
        <v>0</v>
      </c>
      <c r="J55" s="20" t="n">
        <v>0</v>
      </c>
      <c r="K55" s="18" t="n">
        <v>0.43320348</v>
      </c>
      <c r="L55" s="20" t="n">
        <v>0.32024206</v>
      </c>
      <c r="M55" s="18" t="n">
        <v>0</v>
      </c>
      <c r="N55" s="20" t="n">
        <v>0</v>
      </c>
      <c r="O55" s="18" t="n">
        <v>0</v>
      </c>
      <c r="P55" s="20" t="n">
        <v>0</v>
      </c>
      <c r="Q55" s="18" t="n">
        <v>3.17220681</v>
      </c>
      <c r="R55" s="20" t="n">
        <v>0.7331282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(5679.0/B61*100)</f>
        <v/>
      </c>
      <c r="D61" s="19" t="n">
        <v>846</v>
      </c>
      <c r="E61" s="18" t="n">
        <v>28.32889418</v>
      </c>
      <c r="F61" s="20" t="n">
        <v>1.51883629</v>
      </c>
      <c r="G61" s="18" t="n">
        <v>63.3606985</v>
      </c>
      <c r="H61" s="20" t="n">
        <v>1.80044133</v>
      </c>
      <c r="I61" s="18" t="n">
        <v>0</v>
      </c>
      <c r="J61" s="20" t="n">
        <v>0</v>
      </c>
      <c r="K61" s="18" t="n">
        <v>0.18280751</v>
      </c>
      <c r="L61" s="20" t="n">
        <v>0.15800881</v>
      </c>
      <c r="M61" s="18" t="n">
        <v>0</v>
      </c>
      <c r="N61" s="20" t="n">
        <v>0</v>
      </c>
      <c r="O61" s="18" t="n">
        <v>0</v>
      </c>
      <c r="P61" s="20" t="n">
        <v>0</v>
      </c>
      <c r="Q61" s="18" t="n">
        <v>8.12759981</v>
      </c>
      <c r="R61" s="20" t="n">
        <v>1.17842112</v>
      </c>
    </row>
    <row r="62" spans="1:18">
      <c r="A62" s="15" t="s">
        <v>486</v>
      </c>
      <c r="B62" s="17" t="n">
        <v>4476</v>
      </c>
      <c r="C62" s="18">
        <f>(3929.0/B62*100)</f>
        <v/>
      </c>
      <c r="D62" s="19" t="n">
        <v>547</v>
      </c>
      <c r="E62" s="18" t="n">
        <v>24.21770596</v>
      </c>
      <c r="F62" s="20" t="n">
        <v>2.03523367</v>
      </c>
      <c r="G62" s="18" t="n">
        <v>73.95847427</v>
      </c>
      <c r="H62" s="20" t="n">
        <v>2.00094262</v>
      </c>
      <c r="I62" s="18" t="n">
        <v>0</v>
      </c>
      <c r="J62" s="20" t="n">
        <v>0</v>
      </c>
      <c r="K62" s="18" t="n">
        <v>0.18782305</v>
      </c>
      <c r="L62" s="20" t="n">
        <v>0.18735461</v>
      </c>
      <c r="M62" s="18" t="n">
        <v>0.36505736</v>
      </c>
      <c r="N62" s="20" t="n">
        <v>0.25837823</v>
      </c>
      <c r="O62" s="18" t="n">
        <v>0</v>
      </c>
      <c r="P62" s="20" t="n">
        <v>0</v>
      </c>
      <c r="Q62" s="18" t="n">
        <v>1.27093936</v>
      </c>
      <c r="R62" s="20" t="n">
        <v>0.48854978</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(5003.0/B67*100)</f>
        <v/>
      </c>
      <c r="D67" s="19" t="n">
        <v>662</v>
      </c>
      <c r="E67" s="18" t="n">
        <v>12.46639049</v>
      </c>
      <c r="F67" s="20" t="n">
        <v>1.05383977</v>
      </c>
      <c r="G67" s="18" t="n">
        <v>63.17443153</v>
      </c>
      <c r="H67" s="20" t="n">
        <v>1.61682501</v>
      </c>
      <c r="I67" s="18" t="n">
        <v>0</v>
      </c>
      <c r="J67" s="20" t="n">
        <v>0</v>
      </c>
      <c r="K67" s="18" t="n">
        <v>1.13827098</v>
      </c>
      <c r="L67" s="20" t="n">
        <v>0.40823489</v>
      </c>
      <c r="M67" s="18" t="n">
        <v>0.4193857</v>
      </c>
      <c r="N67" s="20" t="n">
        <v>0.2396635</v>
      </c>
      <c r="O67" s="18" t="n">
        <v>0</v>
      </c>
      <c r="P67" s="20" t="n">
        <v>0</v>
      </c>
      <c r="Q67" s="18" t="n">
        <v>22.80152129</v>
      </c>
      <c r="R67" s="20" t="n">
        <v>1.49043355</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(5331.0/B72*100)</f>
        <v/>
      </c>
      <c r="D72" s="19" t="n">
        <v>705</v>
      </c>
      <c r="E72" s="18" t="n">
        <v>15.37449901</v>
      </c>
      <c r="F72" s="20" t="n">
        <v>1.4729618</v>
      </c>
      <c r="G72" s="18" t="n">
        <v>79.13032702</v>
      </c>
      <c r="H72" s="20" t="n">
        <v>1.5838623</v>
      </c>
      <c r="I72" s="18" t="n">
        <v>0</v>
      </c>
      <c r="J72" s="20" t="n">
        <v>0</v>
      </c>
      <c r="K72" s="18" t="n">
        <v>0.11774182</v>
      </c>
      <c r="L72" s="20" t="n">
        <v>0.16650585</v>
      </c>
      <c r="M72" s="18" t="n">
        <v>0.22612241</v>
      </c>
      <c r="N72" s="20" t="n">
        <v>0.13237482</v>
      </c>
      <c r="O72" s="18" t="n">
        <v>0</v>
      </c>
      <c r="P72" s="20" t="n">
        <v>0</v>
      </c>
      <c r="Q72" s="18" t="n">
        <v>5.15130974</v>
      </c>
      <c r="R72" s="20" t="n">
        <v>1.21411489</v>
      </c>
    </row>
    <row r="73" spans="1:18">
      <c r="A73" s="15" t="s">
        <v>497</v>
      </c>
      <c r="B73" s="17" t="n">
        <v>6115</v>
      </c>
      <c r="C73" s="18">
        <f>(5346.0/B73*100)</f>
        <v/>
      </c>
      <c r="D73" s="19" t="n">
        <v>769</v>
      </c>
      <c r="E73" s="18" t="n">
        <v>7.91901637</v>
      </c>
      <c r="F73" s="20" t="n">
        <v>0.93293589</v>
      </c>
      <c r="G73" s="18" t="n">
        <v>90.43496204</v>
      </c>
      <c r="H73" s="20" t="n">
        <v>1.01196026</v>
      </c>
      <c r="I73" s="18" t="n">
        <v>0</v>
      </c>
      <c r="J73" s="20" t="n">
        <v>0</v>
      </c>
      <c r="K73" s="18" t="n">
        <v>0.6709897</v>
      </c>
      <c r="L73" s="20" t="n">
        <v>0.2224111</v>
      </c>
      <c r="M73" s="18" t="n">
        <v>0</v>
      </c>
      <c r="N73" s="20" t="n">
        <v>0</v>
      </c>
      <c r="O73" s="18" t="n">
        <v>0</v>
      </c>
      <c r="P73" s="20" t="n">
        <v>0</v>
      </c>
      <c r="Q73" s="18" t="n">
        <v>0.9750319</v>
      </c>
      <c r="R73" s="20" t="n">
        <v>0.34382051</v>
      </c>
    </row>
    <row r="74" spans="1:18">
      <c r="A74" s="15" t="s">
        <v>498</v>
      </c>
      <c r="B74" s="17" t="n">
        <v>7708</v>
      </c>
      <c r="C74" s="18">
        <f>(6752.0/B74*100)</f>
        <v/>
      </c>
      <c r="D74" s="19" t="n">
        <v>956</v>
      </c>
      <c r="E74" s="18" t="n">
        <v>23.11969458</v>
      </c>
      <c r="F74" s="20" t="n">
        <v>1.40643655</v>
      </c>
      <c r="G74" s="18" t="n">
        <v>72.97666482</v>
      </c>
      <c r="H74" s="20" t="n">
        <v>1.40120985</v>
      </c>
      <c r="I74" s="18" t="n">
        <v>0</v>
      </c>
      <c r="J74" s="20" t="n">
        <v>0</v>
      </c>
      <c r="K74" s="18" t="n">
        <v>0.26412652</v>
      </c>
      <c r="L74" s="20" t="n">
        <v>0.14082213</v>
      </c>
      <c r="M74" s="18" t="n">
        <v>0</v>
      </c>
      <c r="N74" s="20" t="n">
        <v>0</v>
      </c>
      <c r="O74" s="18" t="n">
        <v>0</v>
      </c>
      <c r="P74" s="20" t="n">
        <v>0</v>
      </c>
      <c r="Q74" s="18" t="n">
        <v>3.63951408</v>
      </c>
      <c r="R74" s="20" t="n">
        <v>0.7063675699999999</v>
      </c>
    </row>
    <row r="75" spans="1:18">
      <c r="A75" s="15" t="s">
        <v>499</v>
      </c>
      <c r="B75" s="17" t="n">
        <v>8249</v>
      </c>
      <c r="C75" s="18">
        <f>(7260.0/B75*100)</f>
        <v/>
      </c>
      <c r="D75" s="19" t="n">
        <v>989</v>
      </c>
      <c r="E75" s="18" t="n">
        <v>38.15590607</v>
      </c>
      <c r="F75" s="20" t="n">
        <v>1.90796294</v>
      </c>
      <c r="G75" s="18" t="n">
        <v>59.4299257</v>
      </c>
      <c r="H75" s="20" t="n">
        <v>1.90346035</v>
      </c>
      <c r="I75" s="18" t="n">
        <v>0</v>
      </c>
      <c r="J75" s="20" t="n">
        <v>0</v>
      </c>
      <c r="K75" s="18" t="n">
        <v>0.14009551</v>
      </c>
      <c r="L75" s="20" t="n">
        <v>0.14005376</v>
      </c>
      <c r="M75" s="18" t="n">
        <v>0.66996304</v>
      </c>
      <c r="N75" s="20" t="n">
        <v>0.34644521</v>
      </c>
      <c r="O75" s="18" t="n">
        <v>0</v>
      </c>
      <c r="P75" s="20" t="n">
        <v>0</v>
      </c>
      <c r="Q75" s="18" t="n">
        <v>1.60410969</v>
      </c>
      <c r="R75" s="20" t="n">
        <v>0.44817294</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(28428.0/B82*100)</f>
        <v/>
      </c>
      <c r="D82" s="19" t="n">
        <v>3902</v>
      </c>
      <c r="E82" s="18" t="n">
        <v>16.78802772</v>
      </c>
      <c r="F82" s="20" t="n">
        <v>0.94551545</v>
      </c>
      <c r="G82" s="18" t="n">
        <v>77.15226607</v>
      </c>
      <c r="H82" s="20" t="n">
        <v>0.98866455</v>
      </c>
      <c r="I82" s="18" t="n">
        <v>0</v>
      </c>
      <c r="J82" s="20" t="n">
        <v>0</v>
      </c>
      <c r="K82" s="18" t="n">
        <v>0.1871381</v>
      </c>
      <c r="L82" s="20" t="n">
        <v>0.10539747</v>
      </c>
      <c r="M82" s="18" t="n">
        <v>0.07667907</v>
      </c>
      <c r="N82" s="20" t="n">
        <v>0.05065402</v>
      </c>
      <c r="O82" s="18" t="n">
        <v>0</v>
      </c>
      <c r="P82" s="20" t="n">
        <v>0</v>
      </c>
      <c r="Q82" s="18" t="n">
        <v>5.79588905</v>
      </c>
      <c r="R82" s="20" t="n">
        <v>0.66110451</v>
      </c>
    </row>
    <row r="83" spans="1:18">
      <c r="A83" s="15" t="s">
        <v>507</v>
      </c>
      <c r="B83" s="17" t="n">
        <v>1652</v>
      </c>
      <c r="C83" s="18">
        <f>(1469.0/B83*100)</f>
        <v/>
      </c>
      <c r="D83" s="19" t="n">
        <v>183</v>
      </c>
      <c r="E83" s="18" t="n">
        <v>15.26599816</v>
      </c>
      <c r="F83" s="20" t="n">
        <v>3.1964675</v>
      </c>
      <c r="G83" s="18" t="n">
        <v>82.99065579000001</v>
      </c>
      <c r="H83" s="20" t="n">
        <v>3.19270718</v>
      </c>
      <c r="I83" s="18" t="n">
        <v>0</v>
      </c>
      <c r="J83" s="20" t="n">
        <v>0</v>
      </c>
      <c r="K83" s="18" t="n">
        <v>0</v>
      </c>
      <c r="L83" s="20" t="n">
        <v>0</v>
      </c>
      <c r="M83" s="18" t="n">
        <v>0</v>
      </c>
      <c r="N83" s="20" t="n">
        <v>0</v>
      </c>
      <c r="O83" s="18" t="n">
        <v>0</v>
      </c>
      <c r="P83" s="20" t="n">
        <v>0</v>
      </c>
      <c r="Q83" s="18" t="n">
        <v>1.74334605</v>
      </c>
      <c r="R83" s="20" t="n">
        <v>0.96948265</v>
      </c>
    </row>
    <row r="84" spans="1:18">
      <c r="A84" s="23" t="s">
        <v>508</v>
      </c>
      <c r="B84" s="24" t="n">
        <v>1887</v>
      </c>
      <c r="C84" s="25">
        <f>(1659.0/B84*100)</f>
        <v/>
      </c>
      <c r="D84" s="19" t="n">
        <v>228</v>
      </c>
      <c r="E84" s="18" t="n">
        <v>21.3454444</v>
      </c>
      <c r="F84" s="20" t="n">
        <v>3.07473677</v>
      </c>
      <c r="G84" s="18" t="n">
        <v>75.05107384</v>
      </c>
      <c r="H84" s="20" t="n">
        <v>3.05232551</v>
      </c>
      <c r="I84" s="18" t="n">
        <v>0</v>
      </c>
      <c r="J84" s="20" t="n">
        <v>0</v>
      </c>
      <c r="K84" s="18" t="n">
        <v>0</v>
      </c>
      <c r="L84" s="20" t="n">
        <v>0</v>
      </c>
      <c r="M84" s="18" t="n">
        <v>0</v>
      </c>
      <c r="N84" s="20" t="n">
        <v>0</v>
      </c>
      <c r="O84" s="18" t="n">
        <v>0</v>
      </c>
      <c r="P84" s="20" t="n">
        <v>0</v>
      </c>
      <c r="Q84" s="18" t="n">
        <v>3.60348176</v>
      </c>
      <c r="R84" s="20" t="n">
        <v>1.25631962</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(12711.0/B7*100)</f>
        <v/>
      </c>
      <c r="D7" s="19" t="n">
        <v>1819</v>
      </c>
      <c r="E7" s="18" t="n">
        <v>18.6424618</v>
      </c>
      <c r="F7" s="20" t="n">
        <v>1.07954619</v>
      </c>
      <c r="G7" s="18" t="n">
        <v>71.01375453999999</v>
      </c>
      <c r="H7" s="20" t="n">
        <v>1.26179835</v>
      </c>
      <c r="I7" s="18" t="n">
        <v>0</v>
      </c>
      <c r="J7" s="20" t="n">
        <v>0</v>
      </c>
      <c r="K7" s="18" t="n">
        <v>0.087947</v>
      </c>
      <c r="L7" s="20" t="n">
        <v>0.04593839</v>
      </c>
      <c r="M7" s="18" t="n">
        <v>0.09443237</v>
      </c>
      <c r="N7" s="20" t="n">
        <v>0.07497582</v>
      </c>
      <c r="O7" s="18" t="n">
        <v>0</v>
      </c>
      <c r="P7" s="20" t="n">
        <v>0</v>
      </c>
      <c r="Q7" s="18" t="n">
        <v>10.16140428</v>
      </c>
      <c r="R7" s="20" t="n">
        <v>0.84109657</v>
      </c>
    </row>
    <row r="8" spans="1:18">
      <c r="A8" s="15" t="s">
        <v>430</v>
      </c>
      <c r="B8" s="17" t="n">
        <v>7007</v>
      </c>
      <c r="C8" s="18">
        <f>(6156.0/B8*100)</f>
        <v/>
      </c>
      <c r="D8" s="19" t="n">
        <v>851</v>
      </c>
      <c r="E8" s="18" t="n">
        <v>19.41658634</v>
      </c>
      <c r="F8" s="20" t="n">
        <v>1.40249623</v>
      </c>
      <c r="G8" s="18" t="n">
        <v>61.92503747</v>
      </c>
      <c r="H8" s="20" t="n">
        <v>1.61215371</v>
      </c>
      <c r="I8" s="18" t="n">
        <v>0</v>
      </c>
      <c r="J8" s="20" t="n">
        <v>0</v>
      </c>
      <c r="K8" s="18" t="n">
        <v>0</v>
      </c>
      <c r="L8" s="20" t="n">
        <v>0</v>
      </c>
      <c r="M8" s="18" t="n">
        <v>0</v>
      </c>
      <c r="N8" s="20" t="n">
        <v>0</v>
      </c>
      <c r="O8" s="18" t="n">
        <v>0</v>
      </c>
      <c r="P8" s="20" t="n">
        <v>0</v>
      </c>
      <c r="Q8" s="18" t="n">
        <v>18.6583762</v>
      </c>
      <c r="R8" s="20" t="n">
        <v>1.45096757</v>
      </c>
    </row>
    <row r="9" spans="1:18">
      <c r="A9" s="15" t="s">
        <v>431</v>
      </c>
      <c r="B9" s="17" t="n">
        <v>9651</v>
      </c>
      <c r="C9" s="18">
        <f>(8480.0/B9*100)</f>
        <v/>
      </c>
      <c r="D9" s="19" t="n">
        <v>1171</v>
      </c>
      <c r="E9" s="18" t="n">
        <v>15.91654726</v>
      </c>
      <c r="F9" s="20" t="n">
        <v>1.19020897</v>
      </c>
      <c r="G9" s="18" t="n">
        <v>68.17002399</v>
      </c>
      <c r="H9" s="20" t="n">
        <v>1.47449723</v>
      </c>
      <c r="I9" s="18" t="n">
        <v>0</v>
      </c>
      <c r="J9" s="20" t="n">
        <v>0</v>
      </c>
      <c r="K9" s="18" t="n">
        <v>0.23230718</v>
      </c>
      <c r="L9" s="20" t="n">
        <v>0.16633851</v>
      </c>
      <c r="M9" s="18" t="n">
        <v>0.14632117</v>
      </c>
      <c r="N9" s="20" t="n">
        <v>0.09939877</v>
      </c>
      <c r="O9" s="18" t="n">
        <v>0</v>
      </c>
      <c r="P9" s="20" t="n">
        <v>0</v>
      </c>
      <c r="Q9" s="18" t="n">
        <v>15.53480039</v>
      </c>
      <c r="R9" s="20" t="n">
        <v>0.95980733</v>
      </c>
    </row>
    <row r="10" spans="1:18">
      <c r="A10" s="15" t="s">
        <v>432</v>
      </c>
      <c r="B10" s="17" t="n">
        <v>20058</v>
      </c>
      <c r="C10" s="18">
        <f>(17633.0/B10*100)</f>
        <v/>
      </c>
      <c r="D10" s="19" t="n">
        <v>2425</v>
      </c>
      <c r="E10" s="18" t="n">
        <v>11.30939313</v>
      </c>
      <c r="F10" s="20" t="n">
        <v>0.9546279600000001</v>
      </c>
      <c r="G10" s="18" t="n">
        <v>82.43260801</v>
      </c>
      <c r="H10" s="20" t="n">
        <v>1.18349488</v>
      </c>
      <c r="I10" s="18" t="n">
        <v>0</v>
      </c>
      <c r="J10" s="20" t="n">
        <v>0</v>
      </c>
      <c r="K10" s="18" t="n">
        <v>0.30043286</v>
      </c>
      <c r="L10" s="20" t="n">
        <v>0.16718046</v>
      </c>
      <c r="M10" s="18" t="n">
        <v>0.04789247</v>
      </c>
      <c r="N10" s="20" t="n">
        <v>0.04507644</v>
      </c>
      <c r="O10" s="18" t="n">
        <v>0</v>
      </c>
      <c r="P10" s="20" t="n">
        <v>0</v>
      </c>
      <c r="Q10" s="18" t="n">
        <v>5.90967353</v>
      </c>
      <c r="R10" s="20" t="n">
        <v>0.80413766</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(6057.0/B12*100)</f>
        <v/>
      </c>
      <c r="D12" s="19" t="n">
        <v>837</v>
      </c>
      <c r="E12" s="18" t="n">
        <v>14.03268253</v>
      </c>
      <c r="F12" s="20" t="n">
        <v>1.37182528</v>
      </c>
      <c r="G12" s="18" t="n">
        <v>71.33767521</v>
      </c>
      <c r="H12" s="20" t="n">
        <v>2.05406182</v>
      </c>
      <c r="I12" s="18" t="n">
        <v>0</v>
      </c>
      <c r="J12" s="20" t="n">
        <v>0</v>
      </c>
      <c r="K12" s="18" t="n">
        <v>0</v>
      </c>
      <c r="L12" s="20" t="n">
        <v>0</v>
      </c>
      <c r="M12" s="18" t="n">
        <v>0</v>
      </c>
      <c r="N12" s="20" t="n">
        <v>0</v>
      </c>
      <c r="O12" s="18" t="n">
        <v>0</v>
      </c>
      <c r="P12" s="20" t="n">
        <v>0</v>
      </c>
      <c r="Q12" s="18" t="n">
        <v>14.62964227</v>
      </c>
      <c r="R12" s="20" t="n">
        <v>1.49838676</v>
      </c>
    </row>
    <row r="13" spans="1:18">
      <c r="A13" s="15" t="s">
        <v>435</v>
      </c>
      <c r="B13" s="17" t="n">
        <v>7161</v>
      </c>
      <c r="C13" s="18">
        <f>(6329.0/B13*100)</f>
        <v/>
      </c>
      <c r="D13" s="19" t="n">
        <v>832</v>
      </c>
      <c r="E13" s="18" t="n">
        <v>14.5396317</v>
      </c>
      <c r="F13" s="20" t="n">
        <v>1.64473958</v>
      </c>
      <c r="G13" s="18" t="n">
        <v>76.59735469</v>
      </c>
      <c r="H13" s="20" t="n">
        <v>1.86523751</v>
      </c>
      <c r="I13" s="18" t="n">
        <v>0</v>
      </c>
      <c r="J13" s="20" t="n">
        <v>0</v>
      </c>
      <c r="K13" s="18" t="n">
        <v>0.38910911</v>
      </c>
      <c r="L13" s="20" t="n">
        <v>0.28426102</v>
      </c>
      <c r="M13" s="18" t="n">
        <v>0</v>
      </c>
      <c r="N13" s="20" t="n">
        <v>0</v>
      </c>
      <c r="O13" s="18" t="n">
        <v>0</v>
      </c>
      <c r="P13" s="20" t="n">
        <v>0</v>
      </c>
      <c r="Q13" s="18" t="n">
        <v>8.473904490000001</v>
      </c>
      <c r="R13" s="20" t="n">
        <v>0.97285834</v>
      </c>
    </row>
    <row r="14" spans="1:18">
      <c r="A14" s="15" t="s">
        <v>436</v>
      </c>
      <c r="B14" s="17" t="n">
        <v>5587</v>
      </c>
      <c r="C14" s="18">
        <f>(4897.0/B14*100)</f>
        <v/>
      </c>
      <c r="D14" s="19" t="n">
        <v>690</v>
      </c>
      <c r="E14" s="18" t="n">
        <v>16.86151705</v>
      </c>
      <c r="F14" s="20" t="n">
        <v>1.66585917</v>
      </c>
      <c r="G14" s="18" t="n">
        <v>73.56773311000001</v>
      </c>
      <c r="H14" s="20" t="n">
        <v>2.22640258</v>
      </c>
      <c r="I14" s="18" t="n">
        <v>0</v>
      </c>
      <c r="J14" s="20" t="n">
        <v>0</v>
      </c>
      <c r="K14" s="18" t="n">
        <v>0</v>
      </c>
      <c r="L14" s="20" t="n">
        <v>0</v>
      </c>
      <c r="M14" s="18" t="n">
        <v>0</v>
      </c>
      <c r="N14" s="20" t="n">
        <v>0</v>
      </c>
      <c r="O14" s="18" t="n">
        <v>0</v>
      </c>
      <c r="P14" s="20" t="n">
        <v>0</v>
      </c>
      <c r="Q14" s="18" t="n">
        <v>9.57074985</v>
      </c>
      <c r="R14" s="20" t="n">
        <v>1.23525188</v>
      </c>
    </row>
    <row r="15" spans="1:18">
      <c r="A15" s="15" t="s">
        <v>437</v>
      </c>
      <c r="B15" s="17" t="n">
        <v>5882</v>
      </c>
      <c r="C15" s="18">
        <f>(5163.0/B15*100)</f>
        <v/>
      </c>
      <c r="D15" s="19" t="n">
        <v>719</v>
      </c>
      <c r="E15" s="18" t="n">
        <v>13.29205452</v>
      </c>
      <c r="F15" s="20" t="n">
        <v>1.05998451</v>
      </c>
      <c r="G15" s="18" t="n">
        <v>76.00919859</v>
      </c>
      <c r="H15" s="20" t="n">
        <v>1.27283084</v>
      </c>
      <c r="I15" s="18" t="n">
        <v>0</v>
      </c>
      <c r="J15" s="20" t="n">
        <v>0</v>
      </c>
      <c r="K15" s="18" t="n">
        <v>0.55107863</v>
      </c>
      <c r="L15" s="20" t="n">
        <v>0.27394415</v>
      </c>
      <c r="M15" s="18" t="n">
        <v>0</v>
      </c>
      <c r="N15" s="20" t="n">
        <v>0</v>
      </c>
      <c r="O15" s="18" t="n">
        <v>0</v>
      </c>
      <c r="P15" s="20" t="n">
        <v>0</v>
      </c>
      <c r="Q15" s="18" t="n">
        <v>10.14766827</v>
      </c>
      <c r="R15" s="20" t="n">
        <v>1.12967955</v>
      </c>
    </row>
    <row r="16" spans="1:18">
      <c r="A16" s="15" t="s">
        <v>438</v>
      </c>
      <c r="B16" s="17" t="n">
        <v>6108</v>
      </c>
      <c r="C16" s="18">
        <f>(5360.0/B16*100)</f>
        <v/>
      </c>
      <c r="D16" s="19" t="n">
        <v>748</v>
      </c>
      <c r="E16" s="18" t="n">
        <v>10.94152336</v>
      </c>
      <c r="F16" s="20" t="n">
        <v>1.13216349</v>
      </c>
      <c r="G16" s="18" t="n">
        <v>69.12432862999999</v>
      </c>
      <c r="H16" s="20" t="n">
        <v>1.62958637</v>
      </c>
      <c r="I16" s="18" t="n">
        <v>0</v>
      </c>
      <c r="J16" s="20" t="n">
        <v>0</v>
      </c>
      <c r="K16" s="18" t="n">
        <v>0.56265773</v>
      </c>
      <c r="L16" s="20" t="n">
        <v>0.28965264</v>
      </c>
      <c r="M16" s="18" t="n">
        <v>0</v>
      </c>
      <c r="N16" s="20" t="n">
        <v>0</v>
      </c>
      <c r="O16" s="18" t="n">
        <v>0</v>
      </c>
      <c r="P16" s="20" t="n">
        <v>0</v>
      </c>
      <c r="Q16" s="18" t="n">
        <v>19.37149028</v>
      </c>
      <c r="R16" s="20" t="n">
        <v>1.39146894</v>
      </c>
    </row>
    <row r="17" spans="1:18">
      <c r="A17" s="15" t="s">
        <v>439</v>
      </c>
      <c r="B17" s="17" t="n">
        <v>6504</v>
      </c>
      <c r="C17" s="18">
        <f>(5713.0/B17*100)</f>
        <v/>
      </c>
      <c r="D17" s="19" t="n">
        <v>791</v>
      </c>
      <c r="E17" s="18" t="n">
        <v>19.8453354</v>
      </c>
      <c r="F17" s="20" t="n">
        <v>1.65670642</v>
      </c>
      <c r="G17" s="18" t="n">
        <v>63.68926024</v>
      </c>
      <c r="H17" s="20" t="n">
        <v>1.9444603</v>
      </c>
      <c r="I17" s="18" t="n">
        <v>0</v>
      </c>
      <c r="J17" s="20" t="n">
        <v>0</v>
      </c>
      <c r="K17" s="18" t="n">
        <v>0.15721597</v>
      </c>
      <c r="L17" s="20" t="n">
        <v>0.15224671</v>
      </c>
      <c r="M17" s="18" t="n">
        <v>0</v>
      </c>
      <c r="N17" s="20" t="n">
        <v>0</v>
      </c>
      <c r="O17" s="18" t="n">
        <v>0</v>
      </c>
      <c r="P17" s="20" t="n">
        <v>0</v>
      </c>
      <c r="Q17" s="18" t="n">
        <v>16.30818839</v>
      </c>
      <c r="R17" s="20" t="n">
        <v>1.36617025</v>
      </c>
    </row>
    <row r="18" spans="1:18">
      <c r="A18" s="15" t="s">
        <v>440</v>
      </c>
      <c r="B18" s="17" t="n">
        <v>5532</v>
      </c>
      <c r="C18" s="18">
        <f>(4855.0/B18*100)</f>
        <v/>
      </c>
      <c r="D18" s="19" t="n">
        <v>677</v>
      </c>
      <c r="E18" s="18" t="n">
        <v>19.66736541</v>
      </c>
      <c r="F18" s="20" t="n">
        <v>1.84964693</v>
      </c>
      <c r="G18" s="18" t="n">
        <v>62.34962377</v>
      </c>
      <c r="H18" s="20" t="n">
        <v>2.53963804</v>
      </c>
      <c r="I18" s="18" t="n">
        <v>0</v>
      </c>
      <c r="J18" s="20" t="n">
        <v>0</v>
      </c>
      <c r="K18" s="18" t="n">
        <v>0.12214556</v>
      </c>
      <c r="L18" s="20" t="n">
        <v>0.12078441</v>
      </c>
      <c r="M18" s="18" t="n">
        <v>0</v>
      </c>
      <c r="N18" s="20" t="n">
        <v>0</v>
      </c>
      <c r="O18" s="18" t="n">
        <v>0</v>
      </c>
      <c r="P18" s="20" t="n">
        <v>0</v>
      </c>
      <c r="Q18" s="18" t="n">
        <v>17.86086526</v>
      </c>
      <c r="R18" s="20" t="n">
        <v>1.67322615</v>
      </c>
    </row>
    <row r="19" spans="1:18">
      <c r="A19" s="15" t="s">
        <v>441</v>
      </c>
      <c r="B19" s="17" t="n">
        <v>5658</v>
      </c>
      <c r="C19" s="18">
        <f>(4977.0/B19*100)</f>
        <v/>
      </c>
      <c r="D19" s="19" t="n">
        <v>681</v>
      </c>
      <c r="E19" s="18" t="n">
        <v>17.04069876</v>
      </c>
      <c r="F19" s="20" t="n">
        <v>1.61066603</v>
      </c>
      <c r="G19" s="18" t="n">
        <v>69.72689004</v>
      </c>
      <c r="H19" s="20" t="n">
        <v>1.76119473</v>
      </c>
      <c r="I19" s="18" t="n">
        <v>0</v>
      </c>
      <c r="J19" s="20" t="n">
        <v>0</v>
      </c>
      <c r="K19" s="18" t="n">
        <v>0</v>
      </c>
      <c r="L19" s="20" t="n">
        <v>0</v>
      </c>
      <c r="M19" s="18" t="n">
        <v>0</v>
      </c>
      <c r="N19" s="20" t="n">
        <v>0</v>
      </c>
      <c r="O19" s="18" t="n">
        <v>0</v>
      </c>
      <c r="P19" s="20" t="n">
        <v>0</v>
      </c>
      <c r="Q19" s="18" t="n">
        <v>13.2324112</v>
      </c>
      <c r="R19" s="20" t="n">
        <v>1.42109132</v>
      </c>
    </row>
    <row r="20" spans="1:18">
      <c r="A20" s="15" t="s">
        <v>442</v>
      </c>
      <c r="B20" s="17" t="n">
        <v>3371</v>
      </c>
      <c r="C20" s="18">
        <f>(2971.0/B20*100)</f>
        <v/>
      </c>
      <c r="D20" s="19" t="n">
        <v>400</v>
      </c>
      <c r="E20" s="18" t="n">
        <v>15.31470445</v>
      </c>
      <c r="F20" s="20" t="n">
        <v>1.91924443</v>
      </c>
      <c r="G20" s="18" t="n">
        <v>75.09298844999999</v>
      </c>
      <c r="H20" s="20" t="n">
        <v>2.31939602</v>
      </c>
      <c r="I20" s="18" t="n">
        <v>0</v>
      </c>
      <c r="J20" s="20" t="n">
        <v>0</v>
      </c>
      <c r="K20" s="18" t="n">
        <v>0.23725498</v>
      </c>
      <c r="L20" s="20" t="n">
        <v>0.23915492</v>
      </c>
      <c r="M20" s="18" t="n">
        <v>0.60724216</v>
      </c>
      <c r="N20" s="20" t="n">
        <v>0.44980548</v>
      </c>
      <c r="O20" s="18" t="n">
        <v>0</v>
      </c>
      <c r="P20" s="20" t="n">
        <v>0</v>
      </c>
      <c r="Q20" s="18" t="n">
        <v>8.74780996</v>
      </c>
      <c r="R20" s="20" t="n">
        <v>1.19339934</v>
      </c>
    </row>
    <row r="21" spans="1:18">
      <c r="A21" s="15" t="s">
        <v>443</v>
      </c>
      <c r="B21" s="17" t="n">
        <v>5741</v>
      </c>
      <c r="C21" s="18">
        <f>(4795.0/B21*100)</f>
        <v/>
      </c>
      <c r="D21" s="19" t="n">
        <v>946</v>
      </c>
      <c r="E21" s="18" t="n">
        <v>7.35871467</v>
      </c>
      <c r="F21" s="20" t="n">
        <v>0.9012312099999999</v>
      </c>
      <c r="G21" s="18" t="n">
        <v>87.86719223</v>
      </c>
      <c r="H21" s="20" t="n">
        <v>0.95691353</v>
      </c>
      <c r="I21" s="18" t="n">
        <v>0</v>
      </c>
      <c r="J21" s="20" t="n">
        <v>0</v>
      </c>
      <c r="K21" s="18" t="n">
        <v>0.09106713</v>
      </c>
      <c r="L21" s="20" t="n">
        <v>0.06556589</v>
      </c>
      <c r="M21" s="18" t="n">
        <v>0</v>
      </c>
      <c r="N21" s="20" t="n">
        <v>0</v>
      </c>
      <c r="O21" s="18" t="n">
        <v>0</v>
      </c>
      <c r="P21" s="20" t="n">
        <v>0</v>
      </c>
      <c r="Q21" s="18" t="n">
        <v>4.68302597</v>
      </c>
      <c r="R21" s="20" t="n">
        <v>0.57172517</v>
      </c>
    </row>
    <row r="22" spans="1:18">
      <c r="A22" s="15" t="s">
        <v>444</v>
      </c>
      <c r="B22" s="17" t="n">
        <v>6598</v>
      </c>
      <c r="C22" s="18">
        <f>(5775.0/B22*100)</f>
        <v/>
      </c>
      <c r="D22" s="19" t="n">
        <v>823</v>
      </c>
      <c r="E22" s="18" t="n">
        <v>17.70670139</v>
      </c>
      <c r="F22" s="20" t="n">
        <v>1.49644393</v>
      </c>
      <c r="G22" s="18" t="n">
        <v>67.92295253</v>
      </c>
      <c r="H22" s="20" t="n">
        <v>2.14462405</v>
      </c>
      <c r="I22" s="18" t="n">
        <v>0</v>
      </c>
      <c r="J22" s="20" t="n">
        <v>0</v>
      </c>
      <c r="K22" s="18" t="n">
        <v>0.55758264</v>
      </c>
      <c r="L22" s="20" t="n">
        <v>0.28143788</v>
      </c>
      <c r="M22" s="18" t="n">
        <v>0</v>
      </c>
      <c r="N22" s="20" t="n">
        <v>0</v>
      </c>
      <c r="O22" s="18" t="n">
        <v>0</v>
      </c>
      <c r="P22" s="20" t="n">
        <v>0</v>
      </c>
      <c r="Q22" s="18" t="n">
        <v>13.81276344</v>
      </c>
      <c r="R22" s="20" t="n">
        <v>1.55004209</v>
      </c>
    </row>
    <row r="23" spans="1:18">
      <c r="A23" s="15" t="s">
        <v>445</v>
      </c>
      <c r="B23" s="17" t="n">
        <v>11583</v>
      </c>
      <c r="C23" s="18">
        <f>(10185.0/B23*100)</f>
        <v/>
      </c>
      <c r="D23" s="19" t="n">
        <v>1398</v>
      </c>
      <c r="E23" s="18" t="n">
        <v>9.8437129</v>
      </c>
      <c r="F23" s="20" t="n">
        <v>1.08438675</v>
      </c>
      <c r="G23" s="18" t="n">
        <v>74.22514588</v>
      </c>
      <c r="H23" s="20" t="n">
        <v>1.64148113</v>
      </c>
      <c r="I23" s="18" t="n">
        <v>0</v>
      </c>
      <c r="J23" s="20" t="n">
        <v>0</v>
      </c>
      <c r="K23" s="18" t="n">
        <v>0.52875558</v>
      </c>
      <c r="L23" s="20" t="n">
        <v>0.24365139</v>
      </c>
      <c r="M23" s="18" t="n">
        <v>1.1379052</v>
      </c>
      <c r="N23" s="20" t="n">
        <v>0.76634792</v>
      </c>
      <c r="O23" s="18" t="n">
        <v>0</v>
      </c>
      <c r="P23" s="20" t="n">
        <v>0</v>
      </c>
      <c r="Q23" s="18" t="n">
        <v>14.26448044</v>
      </c>
      <c r="R23" s="20" t="n">
        <v>1.39503844</v>
      </c>
    </row>
    <row r="24" spans="1:18">
      <c r="A24" s="15" t="s">
        <v>446</v>
      </c>
      <c r="B24" s="17" t="n">
        <v>6647</v>
      </c>
      <c r="C24" s="18">
        <f>(5846.0/B24*100)</f>
        <v/>
      </c>
      <c r="D24" s="19" t="n">
        <v>801</v>
      </c>
      <c r="E24" s="18" t="n">
        <v>13.37123465</v>
      </c>
      <c r="F24" s="20" t="n">
        <v>1.39852928</v>
      </c>
      <c r="G24" s="18" t="n">
        <v>75.0015763</v>
      </c>
      <c r="H24" s="20" t="n">
        <v>1.41322422</v>
      </c>
      <c r="I24" s="18" t="n">
        <v>0</v>
      </c>
      <c r="J24" s="20" t="n">
        <v>0</v>
      </c>
      <c r="K24" s="18" t="n">
        <v>0</v>
      </c>
      <c r="L24" s="20" t="n">
        <v>0</v>
      </c>
      <c r="M24" s="18" t="n">
        <v>0</v>
      </c>
      <c r="N24" s="20" t="n">
        <v>0</v>
      </c>
      <c r="O24" s="18" t="n">
        <v>0</v>
      </c>
      <c r="P24" s="20" t="n">
        <v>0</v>
      </c>
      <c r="Q24" s="18" t="n">
        <v>11.62718905</v>
      </c>
      <c r="R24" s="20" t="n">
        <v>1.22527936</v>
      </c>
    </row>
    <row r="25" spans="1:18">
      <c r="A25" s="15" t="s">
        <v>447</v>
      </c>
      <c r="B25" s="17" t="n">
        <v>5581</v>
      </c>
      <c r="C25" s="18">
        <f>(4886.0/B25*100)</f>
        <v/>
      </c>
      <c r="D25" s="19" t="n">
        <v>695</v>
      </c>
      <c r="E25" s="18" t="n">
        <v>16.36099021</v>
      </c>
      <c r="F25" s="20" t="n">
        <v>1.43495618</v>
      </c>
      <c r="G25" s="18" t="n">
        <v>73.91450141999999</v>
      </c>
      <c r="H25" s="20" t="n">
        <v>1.79192263</v>
      </c>
      <c r="I25" s="18" t="n">
        <v>0</v>
      </c>
      <c r="J25" s="20" t="n">
        <v>0</v>
      </c>
      <c r="K25" s="18" t="n">
        <v>0.13402635</v>
      </c>
      <c r="L25" s="20" t="n">
        <v>0.13398772</v>
      </c>
      <c r="M25" s="18" t="n">
        <v>0.14748223</v>
      </c>
      <c r="N25" s="20" t="n">
        <v>0.14700732</v>
      </c>
      <c r="O25" s="18" t="n">
        <v>0</v>
      </c>
      <c r="P25" s="20" t="n">
        <v>0</v>
      </c>
      <c r="Q25" s="18" t="n">
        <v>9.442999779999999</v>
      </c>
      <c r="R25" s="20" t="n">
        <v>1.25769139</v>
      </c>
    </row>
    <row r="26" spans="1:18">
      <c r="A26" s="15" t="s">
        <v>448</v>
      </c>
      <c r="B26" s="17" t="n">
        <v>4869</v>
      </c>
      <c r="C26" s="18">
        <f>(4264.0/B26*100)</f>
        <v/>
      </c>
      <c r="D26" s="19" t="n">
        <v>605</v>
      </c>
      <c r="E26" s="18" t="n">
        <v>19.32243642</v>
      </c>
      <c r="F26" s="20" t="n">
        <v>1.89076843</v>
      </c>
      <c r="G26" s="18" t="n">
        <v>72.23824404</v>
      </c>
      <c r="H26" s="20" t="n">
        <v>2.39431814</v>
      </c>
      <c r="I26" s="18" t="n">
        <v>0</v>
      </c>
      <c r="J26" s="20" t="n">
        <v>0</v>
      </c>
      <c r="K26" s="18" t="n">
        <v>0</v>
      </c>
      <c r="L26" s="20" t="n">
        <v>0</v>
      </c>
      <c r="M26" s="18" t="n">
        <v>0.12957423</v>
      </c>
      <c r="N26" s="20" t="n">
        <v>0.12900923</v>
      </c>
      <c r="O26" s="18" t="n">
        <v>0</v>
      </c>
      <c r="P26" s="20" t="n">
        <v>0</v>
      </c>
      <c r="Q26" s="18" t="n">
        <v>8.30974531</v>
      </c>
      <c r="R26" s="20" t="n">
        <v>1.29719899</v>
      </c>
    </row>
    <row r="27" spans="1:18">
      <c r="A27" s="15" t="s">
        <v>449</v>
      </c>
      <c r="B27" s="17" t="n">
        <v>5299</v>
      </c>
      <c r="C27" s="18">
        <f>(4635.0/B27*100)</f>
        <v/>
      </c>
      <c r="D27" s="19" t="n">
        <v>664</v>
      </c>
      <c r="E27" s="18" t="n">
        <v>20.1203468</v>
      </c>
      <c r="F27" s="20" t="n">
        <v>1.62552667</v>
      </c>
      <c r="G27" s="18" t="n">
        <v>60.99338035</v>
      </c>
      <c r="H27" s="20" t="n">
        <v>1.93586917</v>
      </c>
      <c r="I27" s="18" t="n">
        <v>0</v>
      </c>
      <c r="J27" s="20" t="n">
        <v>0</v>
      </c>
      <c r="K27" s="18" t="n">
        <v>0.15102393</v>
      </c>
      <c r="L27" s="20" t="n">
        <v>0.15195586</v>
      </c>
      <c r="M27" s="18" t="n">
        <v>0</v>
      </c>
      <c r="N27" s="20" t="n">
        <v>0</v>
      </c>
      <c r="O27" s="18" t="n">
        <v>0</v>
      </c>
      <c r="P27" s="20" t="n">
        <v>0</v>
      </c>
      <c r="Q27" s="18" t="n">
        <v>18.73524891</v>
      </c>
      <c r="R27" s="20" t="n">
        <v>1.57619758</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(4751.0/B29*100)</f>
        <v/>
      </c>
      <c r="D29" s="19" t="n">
        <v>634</v>
      </c>
      <c r="E29" s="18" t="n">
        <v>21.99188015</v>
      </c>
      <c r="F29" s="20" t="n">
        <v>1.40720837</v>
      </c>
      <c r="G29" s="18" t="n">
        <v>70.31173651</v>
      </c>
      <c r="H29" s="20" t="n">
        <v>1.4356642</v>
      </c>
      <c r="I29" s="18" t="n">
        <v>0</v>
      </c>
      <c r="J29" s="20" t="n">
        <v>0</v>
      </c>
      <c r="K29" s="18" t="n">
        <v>0.33915136</v>
      </c>
      <c r="L29" s="20" t="n">
        <v>0.24019</v>
      </c>
      <c r="M29" s="18" t="n">
        <v>0</v>
      </c>
      <c r="N29" s="20" t="n">
        <v>0</v>
      </c>
      <c r="O29" s="18" t="n">
        <v>0</v>
      </c>
      <c r="P29" s="20" t="n">
        <v>0</v>
      </c>
      <c r="Q29" s="18" t="n">
        <v>7.35723198</v>
      </c>
      <c r="R29" s="20" t="n">
        <v>0.87011258</v>
      </c>
    </row>
    <row r="30" spans="1:18">
      <c r="A30" s="15" t="s">
        <v>452</v>
      </c>
      <c r="B30" s="17" t="n">
        <v>4520</v>
      </c>
      <c r="C30" s="18">
        <f>(3954.0/B30*100)</f>
        <v/>
      </c>
      <c r="D30" s="19" t="n">
        <v>566</v>
      </c>
      <c r="E30" s="18" t="n">
        <v>16.80177476</v>
      </c>
      <c r="F30" s="20" t="n">
        <v>1.62440878</v>
      </c>
      <c r="G30" s="18" t="n">
        <v>71.67218896</v>
      </c>
      <c r="H30" s="20" t="n">
        <v>1.82993421</v>
      </c>
      <c r="I30" s="18" t="n">
        <v>0</v>
      </c>
      <c r="J30" s="20" t="n">
        <v>0</v>
      </c>
      <c r="K30" s="18" t="n">
        <v>0.24913138</v>
      </c>
      <c r="L30" s="20" t="n">
        <v>0.253556</v>
      </c>
      <c r="M30" s="18" t="n">
        <v>0</v>
      </c>
      <c r="N30" s="20" t="n">
        <v>0</v>
      </c>
      <c r="O30" s="18" t="n">
        <v>0</v>
      </c>
      <c r="P30" s="20" t="n">
        <v>0</v>
      </c>
      <c r="Q30" s="18" t="n">
        <v>11.27690489</v>
      </c>
      <c r="R30" s="20" t="n">
        <v>1.23649957</v>
      </c>
    </row>
    <row r="31" spans="1:18">
      <c r="A31" s="15" t="s">
        <v>453</v>
      </c>
      <c r="B31" s="17" t="n">
        <v>5456</v>
      </c>
      <c r="C31" s="18">
        <f>(4781.0/B31*100)</f>
        <v/>
      </c>
      <c r="D31" s="19" t="n">
        <v>675</v>
      </c>
      <c r="E31" s="18" t="n">
        <v>9.25112195</v>
      </c>
      <c r="F31" s="20" t="n">
        <v>1.03783046</v>
      </c>
      <c r="G31" s="18" t="n">
        <v>76.9479494</v>
      </c>
      <c r="H31" s="20" t="n">
        <v>1.49851405</v>
      </c>
      <c r="I31" s="18" t="n">
        <v>0</v>
      </c>
      <c r="J31" s="20" t="n">
        <v>0</v>
      </c>
      <c r="K31" s="18" t="n">
        <v>0</v>
      </c>
      <c r="L31" s="20" t="n">
        <v>0</v>
      </c>
      <c r="M31" s="18" t="n">
        <v>0</v>
      </c>
      <c r="N31" s="20" t="n">
        <v>0</v>
      </c>
      <c r="O31" s="18" t="n">
        <v>0</v>
      </c>
      <c r="P31" s="20" t="n">
        <v>0</v>
      </c>
      <c r="Q31" s="18" t="n">
        <v>13.80092866</v>
      </c>
      <c r="R31" s="20" t="n">
        <v>1.29283014</v>
      </c>
    </row>
    <row r="32" spans="1:18">
      <c r="A32" s="15" t="s">
        <v>454</v>
      </c>
      <c r="B32" s="17" t="n">
        <v>4478</v>
      </c>
      <c r="C32" s="18">
        <f>(3718.0/B32*100)</f>
        <v/>
      </c>
      <c r="D32" s="19" t="n">
        <v>760</v>
      </c>
      <c r="E32" s="18" t="n">
        <v>12.22876826</v>
      </c>
      <c r="F32" s="20" t="n">
        <v>1.12774081</v>
      </c>
      <c r="G32" s="18" t="n">
        <v>78.17429043</v>
      </c>
      <c r="H32" s="20" t="n">
        <v>1.543985</v>
      </c>
      <c r="I32" s="18" t="n">
        <v>0</v>
      </c>
      <c r="J32" s="20" t="n">
        <v>0</v>
      </c>
      <c r="K32" s="18" t="n">
        <v>0.13595364</v>
      </c>
      <c r="L32" s="20" t="n">
        <v>0.11863941</v>
      </c>
      <c r="M32" s="18" t="n">
        <v>0</v>
      </c>
      <c r="N32" s="20" t="n">
        <v>0</v>
      </c>
      <c r="O32" s="18" t="n">
        <v>0</v>
      </c>
      <c r="P32" s="20" t="n">
        <v>0</v>
      </c>
      <c r="Q32" s="18" t="n">
        <v>9.460987680000001</v>
      </c>
      <c r="R32" s="20" t="n">
        <v>1.06046054</v>
      </c>
    </row>
    <row r="33" spans="1:18">
      <c r="A33" s="15" t="s">
        <v>455</v>
      </c>
      <c r="B33" s="17" t="n">
        <v>7325</v>
      </c>
      <c r="C33" s="18">
        <f>(6425.0/B33*100)</f>
        <v/>
      </c>
      <c r="D33" s="19" t="n">
        <v>900</v>
      </c>
      <c r="E33" s="18" t="n">
        <v>12.45724971</v>
      </c>
      <c r="F33" s="20" t="n">
        <v>1.15492322</v>
      </c>
      <c r="G33" s="18" t="n">
        <v>75.60386529</v>
      </c>
      <c r="H33" s="20" t="n">
        <v>1.72684137</v>
      </c>
      <c r="I33" s="18" t="n">
        <v>0</v>
      </c>
      <c r="J33" s="20" t="n">
        <v>0</v>
      </c>
      <c r="K33" s="18" t="n">
        <v>0</v>
      </c>
      <c r="L33" s="20" t="n">
        <v>0</v>
      </c>
      <c r="M33" s="18" t="n">
        <v>0</v>
      </c>
      <c r="N33" s="20" t="n">
        <v>0</v>
      </c>
      <c r="O33" s="18" t="n">
        <v>0</v>
      </c>
      <c r="P33" s="20" t="n">
        <v>0</v>
      </c>
      <c r="Q33" s="18" t="n">
        <v>11.938885</v>
      </c>
      <c r="R33" s="20" t="n">
        <v>1.42254377</v>
      </c>
    </row>
    <row r="34" spans="1:18">
      <c r="A34" s="15" t="s">
        <v>456</v>
      </c>
      <c r="B34" s="17" t="n">
        <v>6350</v>
      </c>
      <c r="C34" s="18">
        <f>(5570.0/B34*100)</f>
        <v/>
      </c>
      <c r="D34" s="19" t="n">
        <v>780</v>
      </c>
      <c r="E34" s="18" t="n">
        <v>20.33269086</v>
      </c>
      <c r="F34" s="20" t="n">
        <v>1.56662862</v>
      </c>
      <c r="G34" s="18" t="n">
        <v>58.80638089</v>
      </c>
      <c r="H34" s="20" t="n">
        <v>1.95555091</v>
      </c>
      <c r="I34" s="18" t="n">
        <v>0</v>
      </c>
      <c r="J34" s="20" t="n">
        <v>0</v>
      </c>
      <c r="K34" s="18" t="n">
        <v>0.09680034</v>
      </c>
      <c r="L34" s="20" t="n">
        <v>0.0971019</v>
      </c>
      <c r="M34" s="18" t="n">
        <v>0.11334967</v>
      </c>
      <c r="N34" s="20" t="n">
        <v>0.11305991</v>
      </c>
      <c r="O34" s="18" t="n">
        <v>0</v>
      </c>
      <c r="P34" s="20" t="n">
        <v>0</v>
      </c>
      <c r="Q34" s="18" t="n">
        <v>20.65077824</v>
      </c>
      <c r="R34" s="20" t="n">
        <v>1.60687578</v>
      </c>
    </row>
    <row r="35" spans="1:18">
      <c r="A35" s="15" t="s">
        <v>457</v>
      </c>
      <c r="B35" s="17" t="n">
        <v>6406</v>
      </c>
      <c r="C35" s="18">
        <f>(5613.0/B35*100)</f>
        <v/>
      </c>
      <c r="D35" s="19" t="n">
        <v>793</v>
      </c>
      <c r="E35" s="18" t="n">
        <v>10.24892621</v>
      </c>
      <c r="F35" s="20" t="n">
        <v>1.37188582</v>
      </c>
      <c r="G35" s="18" t="n">
        <v>77.30158633000001</v>
      </c>
      <c r="H35" s="20" t="n">
        <v>1.6915471</v>
      </c>
      <c r="I35" s="18" t="n">
        <v>0</v>
      </c>
      <c r="J35" s="20" t="n">
        <v>0</v>
      </c>
      <c r="K35" s="18" t="n">
        <v>0.11646324</v>
      </c>
      <c r="L35" s="20" t="n">
        <v>0.08272868</v>
      </c>
      <c r="M35" s="18" t="n">
        <v>0.41830002</v>
      </c>
      <c r="N35" s="20" t="n">
        <v>0.28583537</v>
      </c>
      <c r="O35" s="18" t="n">
        <v>0</v>
      </c>
      <c r="P35" s="20" t="n">
        <v>0</v>
      </c>
      <c r="Q35" s="18" t="n">
        <v>11.9147242</v>
      </c>
      <c r="R35" s="20" t="n">
        <v>1.21356427</v>
      </c>
    </row>
    <row r="36" spans="1:18">
      <c r="A36" s="15" t="s">
        <v>458</v>
      </c>
      <c r="B36" s="17" t="n">
        <v>6736</v>
      </c>
      <c r="C36" s="18">
        <f>(5927.0/B36*100)</f>
        <v/>
      </c>
      <c r="D36" s="19" t="n">
        <v>809</v>
      </c>
      <c r="E36" s="18" t="n">
        <v>10.88816927</v>
      </c>
      <c r="F36" s="20" t="n">
        <v>1.13574845</v>
      </c>
      <c r="G36" s="18" t="n">
        <v>77.8783451</v>
      </c>
      <c r="H36" s="20" t="n">
        <v>1.50919407</v>
      </c>
      <c r="I36" s="18" t="n">
        <v>0</v>
      </c>
      <c r="J36" s="20" t="n">
        <v>0</v>
      </c>
      <c r="K36" s="18" t="n">
        <v>0.180589</v>
      </c>
      <c r="L36" s="20" t="n">
        <v>0.1990066</v>
      </c>
      <c r="M36" s="18" t="n">
        <v>0</v>
      </c>
      <c r="N36" s="20" t="n">
        <v>0</v>
      </c>
      <c r="O36" s="18" t="n">
        <v>0</v>
      </c>
      <c r="P36" s="20" t="n">
        <v>0</v>
      </c>
      <c r="Q36" s="18" t="n">
        <v>11.05289663</v>
      </c>
      <c r="R36" s="20" t="n">
        <v>1.21496144</v>
      </c>
    </row>
    <row r="37" spans="1:18">
      <c r="A37" s="15" t="s">
        <v>459</v>
      </c>
      <c r="B37" s="17" t="n">
        <v>5458</v>
      </c>
      <c r="C37" s="18">
        <f>(4795.0/B37*100)</f>
        <v/>
      </c>
      <c r="D37" s="19" t="n">
        <v>663</v>
      </c>
      <c r="E37" s="18" t="n">
        <v>11.53993743</v>
      </c>
      <c r="F37" s="20" t="n">
        <v>1.27956368</v>
      </c>
      <c r="G37" s="18" t="n">
        <v>70.16205092</v>
      </c>
      <c r="H37" s="20" t="n">
        <v>2.17104311</v>
      </c>
      <c r="I37" s="18" t="n">
        <v>0</v>
      </c>
      <c r="J37" s="20" t="n">
        <v>0</v>
      </c>
      <c r="K37" s="18" t="n">
        <v>0.5962697</v>
      </c>
      <c r="L37" s="20" t="n">
        <v>0.29605354</v>
      </c>
      <c r="M37" s="18" t="n">
        <v>0.12221127</v>
      </c>
      <c r="N37" s="20" t="n">
        <v>0.12215491</v>
      </c>
      <c r="O37" s="18" t="n">
        <v>0</v>
      </c>
      <c r="P37" s="20" t="n">
        <v>0</v>
      </c>
      <c r="Q37" s="18" t="n">
        <v>17.57953069</v>
      </c>
      <c r="R37" s="20" t="n">
        <v>1.72186537</v>
      </c>
    </row>
    <row r="38" spans="1:18">
      <c r="A38" s="15" t="s">
        <v>460</v>
      </c>
      <c r="B38" s="17" t="n">
        <v>5860</v>
      </c>
      <c r="C38" s="18">
        <f>(4885.0/B38*100)</f>
        <v/>
      </c>
      <c r="D38" s="19" t="n">
        <v>975</v>
      </c>
      <c r="E38" s="18" t="n">
        <v>18.87773678</v>
      </c>
      <c r="F38" s="20" t="n">
        <v>1.34841474</v>
      </c>
      <c r="G38" s="18" t="n">
        <v>63.68182208</v>
      </c>
      <c r="H38" s="20" t="n">
        <v>1.51963226</v>
      </c>
      <c r="I38" s="18" t="n">
        <v>0</v>
      </c>
      <c r="J38" s="20" t="n">
        <v>0</v>
      </c>
      <c r="K38" s="18" t="n">
        <v>0.18170402</v>
      </c>
      <c r="L38" s="20" t="n">
        <v>0.13021316</v>
      </c>
      <c r="M38" s="18" t="n">
        <v>0.11235717</v>
      </c>
      <c r="N38" s="20" t="n">
        <v>0.11229309</v>
      </c>
      <c r="O38" s="18" t="n">
        <v>0</v>
      </c>
      <c r="P38" s="20" t="n">
        <v>0</v>
      </c>
      <c r="Q38" s="18" t="n">
        <v>17.14637994</v>
      </c>
      <c r="R38" s="20" t="n">
        <v>1.44660944</v>
      </c>
    </row>
    <row r="39" spans="1:18">
      <c r="A39" s="15" t="s">
        <v>461</v>
      </c>
      <c r="B39" s="17" t="n">
        <v>5895</v>
      </c>
      <c r="C39" s="18">
        <f>(5158.0/B39*100)</f>
        <v/>
      </c>
      <c r="D39" s="19" t="n">
        <v>737</v>
      </c>
      <c r="E39" s="18" t="n">
        <v>29.30849925</v>
      </c>
      <c r="F39" s="20" t="n">
        <v>1.70978511</v>
      </c>
      <c r="G39" s="18" t="n">
        <v>55.9054108</v>
      </c>
      <c r="H39" s="20" t="n">
        <v>2.15088418</v>
      </c>
      <c r="I39" s="18" t="n">
        <v>0</v>
      </c>
      <c r="J39" s="20" t="n">
        <v>0</v>
      </c>
      <c r="K39" s="18" t="n">
        <v>0.41961814</v>
      </c>
      <c r="L39" s="20" t="n">
        <v>0.31687883</v>
      </c>
      <c r="M39" s="18" t="n">
        <v>0.16089595</v>
      </c>
      <c r="N39" s="20" t="n">
        <v>0.21207815</v>
      </c>
      <c r="O39" s="18" t="n">
        <v>0</v>
      </c>
      <c r="P39" s="20" t="n">
        <v>0</v>
      </c>
      <c r="Q39" s="18" t="n">
        <v>14.20557585</v>
      </c>
      <c r="R39" s="20" t="n">
        <v>1.43526279</v>
      </c>
    </row>
    <row r="40" spans="1:18">
      <c r="A40" s="15" t="s">
        <v>462</v>
      </c>
      <c r="B40" s="17" t="n">
        <v>14157</v>
      </c>
      <c r="C40" s="18">
        <f>(12377.0/B40*100)</f>
        <v/>
      </c>
      <c r="D40" s="19" t="n">
        <v>1780</v>
      </c>
      <c r="E40" s="18" t="n">
        <v>10.90673953</v>
      </c>
      <c r="F40" s="20" t="n">
        <v>1.0685246</v>
      </c>
      <c r="G40" s="18" t="n">
        <v>75.32089003999999</v>
      </c>
      <c r="H40" s="20" t="n">
        <v>1.75602248</v>
      </c>
      <c r="I40" s="18" t="n">
        <v>0</v>
      </c>
      <c r="J40" s="20" t="n">
        <v>0</v>
      </c>
      <c r="K40" s="18" t="n">
        <v>0.08285661</v>
      </c>
      <c r="L40" s="20" t="n">
        <v>0.03390829</v>
      </c>
      <c r="M40" s="18" t="n">
        <v>0.27493038</v>
      </c>
      <c r="N40" s="20" t="n">
        <v>0.21547164</v>
      </c>
      <c r="O40" s="18" t="n">
        <v>0</v>
      </c>
      <c r="P40" s="20" t="n">
        <v>0</v>
      </c>
      <c r="Q40" s="18" t="n">
        <v>13.41458345</v>
      </c>
      <c r="R40" s="20" t="n">
        <v>1.60455724</v>
      </c>
    </row>
    <row r="41" spans="1:18">
      <c r="A41" s="15" t="s">
        <v>463</v>
      </c>
      <c r="B41" s="17" t="n">
        <v>5712</v>
      </c>
      <c r="C41" s="18">
        <f>(5041.0/B41*100)</f>
        <v/>
      </c>
      <c r="D41" s="19" t="n">
        <v>671</v>
      </c>
      <c r="E41" s="18" t="n">
        <v>23.80230148</v>
      </c>
      <c r="F41" s="20" t="n">
        <v>1.71745853</v>
      </c>
      <c r="G41" s="18" t="n">
        <v>72.91086476</v>
      </c>
      <c r="H41" s="20" t="n">
        <v>1.72269955</v>
      </c>
      <c r="I41" s="18" t="n">
        <v>0</v>
      </c>
      <c r="J41" s="20" t="n">
        <v>0</v>
      </c>
      <c r="K41" s="18" t="n">
        <v>0</v>
      </c>
      <c r="L41" s="20" t="n">
        <v>0</v>
      </c>
      <c r="M41" s="18" t="n">
        <v>0</v>
      </c>
      <c r="N41" s="20" t="n">
        <v>0</v>
      </c>
      <c r="O41" s="18" t="n">
        <v>0</v>
      </c>
      <c r="P41" s="20" t="n">
        <v>0</v>
      </c>
      <c r="Q41" s="18" t="n">
        <v>3.28683376</v>
      </c>
      <c r="R41" s="20" t="n">
        <v>0.58827308</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(8632.0/B48*100)</f>
        <v/>
      </c>
      <c r="D48" s="19" t="n">
        <v>1209</v>
      </c>
      <c r="E48" s="18" t="n">
        <v>24.98344204</v>
      </c>
      <c r="F48" s="20" t="n">
        <v>1.43040612</v>
      </c>
      <c r="G48" s="18" t="n">
        <v>63.17048477</v>
      </c>
      <c r="H48" s="20" t="n">
        <v>1.82980679</v>
      </c>
      <c r="I48" s="18" t="n">
        <v>0</v>
      </c>
      <c r="J48" s="20" t="n">
        <v>0</v>
      </c>
      <c r="K48" s="18" t="n">
        <v>0.29228305</v>
      </c>
      <c r="L48" s="20" t="n">
        <v>0.25416643</v>
      </c>
      <c r="M48" s="18" t="n">
        <v>0.14486934</v>
      </c>
      <c r="N48" s="20" t="n">
        <v>0.14507645</v>
      </c>
      <c r="O48" s="18" t="n">
        <v>0</v>
      </c>
      <c r="P48" s="20" t="n">
        <v>0</v>
      </c>
      <c r="Q48" s="18" t="n">
        <v>11.40892081</v>
      </c>
      <c r="R48" s="20" t="n">
        <v>1.26784172</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(5085.0/B51*100)</f>
        <v/>
      </c>
      <c r="D51" s="19" t="n">
        <v>724</v>
      </c>
      <c r="E51" s="18" t="n">
        <v>13.54005777</v>
      </c>
      <c r="F51" s="20" t="n">
        <v>1.16844445</v>
      </c>
      <c r="G51" s="18" t="n">
        <v>69.04837952</v>
      </c>
      <c r="H51" s="20" t="n">
        <v>1.7697497</v>
      </c>
      <c r="I51" s="18" t="n">
        <v>0</v>
      </c>
      <c r="J51" s="20" t="n">
        <v>0</v>
      </c>
      <c r="K51" s="18" t="n">
        <v>0</v>
      </c>
      <c r="L51" s="20" t="n">
        <v>0</v>
      </c>
      <c r="M51" s="18" t="n">
        <v>0</v>
      </c>
      <c r="N51" s="20" t="n">
        <v>0</v>
      </c>
      <c r="O51" s="18" t="n">
        <v>0</v>
      </c>
      <c r="P51" s="20" t="n">
        <v>0</v>
      </c>
      <c r="Q51" s="18" t="n">
        <v>17.41156271</v>
      </c>
      <c r="R51" s="20" t="n">
        <v>1.54598891</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18.74693501</v>
      </c>
      <c r="F55" s="20" t="n">
        <v>1.53521635</v>
      </c>
      <c r="G55" s="18" t="n">
        <v>74.42776812</v>
      </c>
      <c r="H55" s="20" t="n">
        <v>1.84038122</v>
      </c>
      <c r="I55" s="18" t="n">
        <v>0</v>
      </c>
      <c r="J55" s="20" t="n">
        <v>0</v>
      </c>
      <c r="K55" s="18" t="n">
        <v>0.43320348</v>
      </c>
      <c r="L55" s="20" t="n">
        <v>0.32024206</v>
      </c>
      <c r="M55" s="18" t="n">
        <v>0</v>
      </c>
      <c r="N55" s="20" t="n">
        <v>0</v>
      </c>
      <c r="O55" s="18" t="n">
        <v>0</v>
      </c>
      <c r="P55" s="20" t="n">
        <v>0</v>
      </c>
      <c r="Q55" s="18" t="n">
        <v>6.39209339</v>
      </c>
      <c r="R55" s="20" t="n">
        <v>0.90140184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(5679.0/B61*100)</f>
        <v/>
      </c>
      <c r="D61" s="19" t="n">
        <v>846</v>
      </c>
      <c r="E61" s="18" t="n">
        <v>16.6431264</v>
      </c>
      <c r="F61" s="20" t="n">
        <v>1.53199635</v>
      </c>
      <c r="G61" s="18" t="n">
        <v>70.46040678999999</v>
      </c>
      <c r="H61" s="20" t="n">
        <v>1.54608582</v>
      </c>
      <c r="I61" s="18" t="n">
        <v>0</v>
      </c>
      <c r="J61" s="20" t="n">
        <v>0</v>
      </c>
      <c r="K61" s="18" t="n">
        <v>0.18280751</v>
      </c>
      <c r="L61" s="20" t="n">
        <v>0.15800881</v>
      </c>
      <c r="M61" s="18" t="n">
        <v>0</v>
      </c>
      <c r="N61" s="20" t="n">
        <v>0</v>
      </c>
      <c r="O61" s="18" t="n">
        <v>0</v>
      </c>
      <c r="P61" s="20" t="n">
        <v>0</v>
      </c>
      <c r="Q61" s="18" t="n">
        <v>12.7136593</v>
      </c>
      <c r="R61" s="20" t="n">
        <v>1.28703489</v>
      </c>
    </row>
    <row r="62" spans="1:18">
      <c r="A62" s="15" t="s">
        <v>486</v>
      </c>
      <c r="B62" s="17" t="n">
        <v>4476</v>
      </c>
      <c r="C62" s="18">
        <f>(3929.0/B62*100)</f>
        <v/>
      </c>
      <c r="D62" s="19" t="n">
        <v>547</v>
      </c>
      <c r="E62" s="18" t="n">
        <v>27.817235</v>
      </c>
      <c r="F62" s="20" t="n">
        <v>1.90464915</v>
      </c>
      <c r="G62" s="18" t="n">
        <v>67.23746914</v>
      </c>
      <c r="H62" s="20" t="n">
        <v>1.90025134</v>
      </c>
      <c r="I62" s="18" t="n">
        <v>0</v>
      </c>
      <c r="J62" s="20" t="n">
        <v>0</v>
      </c>
      <c r="K62" s="18" t="n">
        <v>0.18782305</v>
      </c>
      <c r="L62" s="20" t="n">
        <v>0.18735461</v>
      </c>
      <c r="M62" s="18" t="n">
        <v>0.36505736</v>
      </c>
      <c r="N62" s="20" t="n">
        <v>0.25837823</v>
      </c>
      <c r="O62" s="18" t="n">
        <v>0</v>
      </c>
      <c r="P62" s="20" t="n">
        <v>0</v>
      </c>
      <c r="Q62" s="18" t="n">
        <v>4.39241546</v>
      </c>
      <c r="R62" s="20" t="n">
        <v>0.8188866</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(5003.0/B67*100)</f>
        <v/>
      </c>
      <c r="D67" s="19" t="n">
        <v>662</v>
      </c>
      <c r="E67" s="18" t="n">
        <v>13.57724922</v>
      </c>
      <c r="F67" s="20" t="n">
        <v>1.18209887</v>
      </c>
      <c r="G67" s="18" t="n">
        <v>52.47132844</v>
      </c>
      <c r="H67" s="20" t="n">
        <v>2.14231257</v>
      </c>
      <c r="I67" s="18" t="n">
        <v>0</v>
      </c>
      <c r="J67" s="20" t="n">
        <v>0</v>
      </c>
      <c r="K67" s="18" t="n">
        <v>1.40711267</v>
      </c>
      <c r="L67" s="20" t="n">
        <v>0.45315301</v>
      </c>
      <c r="M67" s="18" t="n">
        <v>0.4193857</v>
      </c>
      <c r="N67" s="20" t="n">
        <v>0.2396635</v>
      </c>
      <c r="O67" s="18" t="n">
        <v>0</v>
      </c>
      <c r="P67" s="20" t="n">
        <v>0</v>
      </c>
      <c r="Q67" s="18" t="n">
        <v>32.12492396</v>
      </c>
      <c r="R67" s="20" t="n">
        <v>2.08329021</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(5331.0/B72*100)</f>
        <v/>
      </c>
      <c r="D72" s="19" t="n">
        <v>705</v>
      </c>
      <c r="E72" s="18" t="n">
        <v>17.51885593</v>
      </c>
      <c r="F72" s="20" t="n">
        <v>1.62300804</v>
      </c>
      <c r="G72" s="18" t="n">
        <v>69.97135951</v>
      </c>
      <c r="H72" s="20" t="n">
        <v>2.20031321</v>
      </c>
      <c r="I72" s="18" t="n">
        <v>0</v>
      </c>
      <c r="J72" s="20" t="n">
        <v>0</v>
      </c>
      <c r="K72" s="18" t="n">
        <v>0.18925403</v>
      </c>
      <c r="L72" s="20" t="n">
        <v>0.18172426</v>
      </c>
      <c r="M72" s="18" t="n">
        <v>0.22612241</v>
      </c>
      <c r="N72" s="20" t="n">
        <v>0.13237482</v>
      </c>
      <c r="O72" s="18" t="n">
        <v>0</v>
      </c>
      <c r="P72" s="20" t="n">
        <v>0</v>
      </c>
      <c r="Q72" s="18" t="n">
        <v>12.09440811</v>
      </c>
      <c r="R72" s="20" t="n">
        <v>1.42796642</v>
      </c>
    </row>
    <row r="73" spans="1:18">
      <c r="A73" s="15" t="s">
        <v>497</v>
      </c>
      <c r="B73" s="17" t="n">
        <v>6115</v>
      </c>
      <c r="C73" s="18">
        <f>(5346.0/B73*100)</f>
        <v/>
      </c>
      <c r="D73" s="19" t="n">
        <v>769</v>
      </c>
      <c r="E73" s="18" t="n">
        <v>15.06109495</v>
      </c>
      <c r="F73" s="20" t="n">
        <v>1.18509394</v>
      </c>
      <c r="G73" s="18" t="n">
        <v>80.15787965</v>
      </c>
      <c r="H73" s="20" t="n">
        <v>1.25056692</v>
      </c>
      <c r="I73" s="18" t="n">
        <v>0</v>
      </c>
      <c r="J73" s="20" t="n">
        <v>0</v>
      </c>
      <c r="K73" s="18" t="n">
        <v>0.6709897</v>
      </c>
      <c r="L73" s="20" t="n">
        <v>0.2224111</v>
      </c>
      <c r="M73" s="18" t="n">
        <v>0</v>
      </c>
      <c r="N73" s="20" t="n">
        <v>0</v>
      </c>
      <c r="O73" s="18" t="n">
        <v>0</v>
      </c>
      <c r="P73" s="20" t="n">
        <v>0</v>
      </c>
      <c r="Q73" s="18" t="n">
        <v>4.11003571</v>
      </c>
      <c r="R73" s="20" t="n">
        <v>0.72979519</v>
      </c>
    </row>
    <row r="74" spans="1:18">
      <c r="A74" s="15" t="s">
        <v>498</v>
      </c>
      <c r="B74" s="17" t="n">
        <v>7708</v>
      </c>
      <c r="C74" s="18">
        <f>(6752.0/B74*100)</f>
        <v/>
      </c>
      <c r="D74" s="19" t="n">
        <v>956</v>
      </c>
      <c r="E74" s="18" t="n">
        <v>28.30298409</v>
      </c>
      <c r="F74" s="20" t="n">
        <v>1.66311698</v>
      </c>
      <c r="G74" s="18" t="n">
        <v>64.22367678000001</v>
      </c>
      <c r="H74" s="20" t="n">
        <v>1.64713505</v>
      </c>
      <c r="I74" s="18" t="n">
        <v>0</v>
      </c>
      <c r="J74" s="20" t="n">
        <v>0</v>
      </c>
      <c r="K74" s="18" t="n">
        <v>0.26412652</v>
      </c>
      <c r="L74" s="20" t="n">
        <v>0.14082213</v>
      </c>
      <c r="M74" s="18" t="n">
        <v>0</v>
      </c>
      <c r="N74" s="20" t="n">
        <v>0</v>
      </c>
      <c r="O74" s="18" t="n">
        <v>0</v>
      </c>
      <c r="P74" s="20" t="n">
        <v>0</v>
      </c>
      <c r="Q74" s="18" t="n">
        <v>7.20921261</v>
      </c>
      <c r="R74" s="20" t="n">
        <v>0.89270404</v>
      </c>
    </row>
    <row r="75" spans="1:18">
      <c r="A75" s="15" t="s">
        <v>499</v>
      </c>
      <c r="B75" s="17" t="n">
        <v>8249</v>
      </c>
      <c r="C75" s="18">
        <f>(7260.0/B75*100)</f>
        <v/>
      </c>
      <c r="D75" s="19" t="n">
        <v>989</v>
      </c>
      <c r="E75" s="18" t="n">
        <v>49.64319269</v>
      </c>
      <c r="F75" s="20" t="n">
        <v>2.1573594</v>
      </c>
      <c r="G75" s="18" t="n">
        <v>46.13737509</v>
      </c>
      <c r="H75" s="20" t="n">
        <v>2.15427193</v>
      </c>
      <c r="I75" s="18" t="n">
        <v>0</v>
      </c>
      <c r="J75" s="20" t="n">
        <v>0</v>
      </c>
      <c r="K75" s="18" t="n">
        <v>0.14009551</v>
      </c>
      <c r="L75" s="20" t="n">
        <v>0.14005376</v>
      </c>
      <c r="M75" s="18" t="n">
        <v>0.66996304</v>
      </c>
      <c r="N75" s="20" t="n">
        <v>0.34644521</v>
      </c>
      <c r="O75" s="18" t="n">
        <v>0</v>
      </c>
      <c r="P75" s="20" t="n">
        <v>0</v>
      </c>
      <c r="Q75" s="18" t="n">
        <v>3.40937367</v>
      </c>
      <c r="R75" s="20" t="n">
        <v>0.76677124</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(28428.0/B82*100)</f>
        <v/>
      </c>
      <c r="D82" s="19" t="n">
        <v>3902</v>
      </c>
      <c r="E82" s="18" t="n">
        <v>10.11666039</v>
      </c>
      <c r="F82" s="20" t="n">
        <v>0.71737884</v>
      </c>
      <c r="G82" s="18" t="n">
        <v>80.28215369999999</v>
      </c>
      <c r="H82" s="20" t="n">
        <v>0.88197432</v>
      </c>
      <c r="I82" s="18" t="n">
        <v>0</v>
      </c>
      <c r="J82" s="20" t="n">
        <v>0</v>
      </c>
      <c r="K82" s="18" t="n">
        <v>0.1871381</v>
      </c>
      <c r="L82" s="20" t="n">
        <v>0.10539747</v>
      </c>
      <c r="M82" s="18" t="n">
        <v>0.0814851</v>
      </c>
      <c r="N82" s="20" t="n">
        <v>0.05088621</v>
      </c>
      <c r="O82" s="18" t="n">
        <v>0</v>
      </c>
      <c r="P82" s="20" t="n">
        <v>0</v>
      </c>
      <c r="Q82" s="18" t="n">
        <v>9.332562709999999</v>
      </c>
      <c r="R82" s="20" t="n">
        <v>0.71220863</v>
      </c>
    </row>
    <row r="83" spans="1:18">
      <c r="A83" s="15" t="s">
        <v>507</v>
      </c>
      <c r="B83" s="17" t="n">
        <v>1652</v>
      </c>
      <c r="C83" s="18">
        <f>(1469.0/B83*100)</f>
        <v/>
      </c>
      <c r="D83" s="19" t="n">
        <v>183</v>
      </c>
      <c r="E83" s="18" t="n">
        <v>17.96241936</v>
      </c>
      <c r="F83" s="20" t="n">
        <v>2.58491341</v>
      </c>
      <c r="G83" s="18" t="n">
        <v>78.83712541</v>
      </c>
      <c r="H83" s="20" t="n">
        <v>2.59038345</v>
      </c>
      <c r="I83" s="18" t="n">
        <v>0</v>
      </c>
      <c r="J83" s="20" t="n">
        <v>0</v>
      </c>
      <c r="K83" s="18" t="n">
        <v>0</v>
      </c>
      <c r="L83" s="20" t="n">
        <v>0</v>
      </c>
      <c r="M83" s="18" t="n">
        <v>0</v>
      </c>
      <c r="N83" s="20" t="n">
        <v>0</v>
      </c>
      <c r="O83" s="18" t="n">
        <v>0</v>
      </c>
      <c r="P83" s="20" t="n">
        <v>0</v>
      </c>
      <c r="Q83" s="18" t="n">
        <v>3.20045523</v>
      </c>
      <c r="R83" s="20" t="n">
        <v>0.94997832</v>
      </c>
    </row>
    <row r="84" spans="1:18">
      <c r="A84" s="23" t="s">
        <v>508</v>
      </c>
      <c r="B84" s="24" t="n">
        <v>1887</v>
      </c>
      <c r="C84" s="25">
        <f>(1659.0/B84*100)</f>
        <v/>
      </c>
      <c r="D84" s="19" t="n">
        <v>228</v>
      </c>
      <c r="E84" s="18" t="n">
        <v>21.5023111</v>
      </c>
      <c r="F84" s="20" t="n">
        <v>2.7463835</v>
      </c>
      <c r="G84" s="18" t="n">
        <v>74.92159685</v>
      </c>
      <c r="H84" s="20" t="n">
        <v>2.99096109</v>
      </c>
      <c r="I84" s="18" t="n">
        <v>0</v>
      </c>
      <c r="J84" s="20" t="n">
        <v>0</v>
      </c>
      <c r="K84" s="18" t="n">
        <v>0</v>
      </c>
      <c r="L84" s="20" t="n">
        <v>0</v>
      </c>
      <c r="M84" s="18" t="n">
        <v>0</v>
      </c>
      <c r="N84" s="20" t="n">
        <v>0</v>
      </c>
      <c r="O84" s="18" t="n">
        <v>0</v>
      </c>
      <c r="P84" s="20" t="n">
        <v>0</v>
      </c>
      <c r="Q84" s="18" t="n">
        <v>3.57609205</v>
      </c>
      <c r="R84" s="20" t="n">
        <v>0.85437968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(12711.0/B7*100)</f>
        <v/>
      </c>
      <c r="D7" s="19" t="n">
        <v>1819</v>
      </c>
      <c r="E7" s="18" t="n">
        <v>62.69481441</v>
      </c>
      <c r="F7" s="20" t="n">
        <v>1.30492946</v>
      </c>
      <c r="G7" s="18" t="n">
        <v>22.2898461</v>
      </c>
      <c r="H7" s="20" t="n">
        <v>1.15216281</v>
      </c>
      <c r="I7" s="18" t="n">
        <v>0</v>
      </c>
      <c r="J7" s="20" t="n">
        <v>0</v>
      </c>
      <c r="K7" s="18" t="n">
        <v>0.11579505</v>
      </c>
      <c r="L7" s="20" t="n">
        <v>0.05363662</v>
      </c>
      <c r="M7" s="18" t="n">
        <v>5.89599226</v>
      </c>
      <c r="N7" s="20" t="n">
        <v>0.72205341</v>
      </c>
      <c r="O7" s="18" t="n">
        <v>0</v>
      </c>
      <c r="P7" s="20" t="n">
        <v>0</v>
      </c>
      <c r="Q7" s="18" t="n">
        <v>9.00355218</v>
      </c>
      <c r="R7" s="20" t="n">
        <v>0.73701797</v>
      </c>
    </row>
    <row r="8" spans="1:18">
      <c r="A8" s="15" t="s">
        <v>430</v>
      </c>
      <c r="B8" s="17" t="n">
        <v>7007</v>
      </c>
      <c r="C8" s="18">
        <f>(6156.0/B8*100)</f>
        <v/>
      </c>
      <c r="D8" s="19" t="n">
        <v>851</v>
      </c>
      <c r="E8" s="18" t="n">
        <v>51.99625177</v>
      </c>
      <c r="F8" s="20" t="n">
        <v>1.90689017</v>
      </c>
      <c r="G8" s="18" t="n">
        <v>32.28822186</v>
      </c>
      <c r="H8" s="20" t="n">
        <v>1.99007428</v>
      </c>
      <c r="I8" s="18" t="n">
        <v>0</v>
      </c>
      <c r="J8" s="20" t="n">
        <v>0</v>
      </c>
      <c r="K8" s="18" t="n">
        <v>0</v>
      </c>
      <c r="L8" s="20" t="n">
        <v>0</v>
      </c>
      <c r="M8" s="18" t="n">
        <v>0</v>
      </c>
      <c r="N8" s="20" t="n">
        <v>0</v>
      </c>
      <c r="O8" s="18" t="n">
        <v>0</v>
      </c>
      <c r="P8" s="20" t="n">
        <v>0</v>
      </c>
      <c r="Q8" s="18" t="n">
        <v>15.71552637</v>
      </c>
      <c r="R8" s="20" t="n">
        <v>1.3011101</v>
      </c>
    </row>
    <row r="9" spans="1:18">
      <c r="A9" s="15" t="s">
        <v>431</v>
      </c>
      <c r="B9" s="17" t="n">
        <v>9651</v>
      </c>
      <c r="C9" s="18">
        <f>(8480.0/B9*100)</f>
        <v/>
      </c>
      <c r="D9" s="19" t="n">
        <v>1171</v>
      </c>
      <c r="E9" s="18" t="n">
        <v>50.442655</v>
      </c>
      <c r="F9" s="20" t="n">
        <v>1.42409945</v>
      </c>
      <c r="G9" s="18" t="n">
        <v>37.39105092</v>
      </c>
      <c r="H9" s="20" t="n">
        <v>1.48389284</v>
      </c>
      <c r="I9" s="18" t="n">
        <v>0</v>
      </c>
      <c r="J9" s="20" t="n">
        <v>0</v>
      </c>
      <c r="K9" s="18" t="n">
        <v>0.23230718</v>
      </c>
      <c r="L9" s="20" t="n">
        <v>0.16633851</v>
      </c>
      <c r="M9" s="18" t="n">
        <v>0.14632117</v>
      </c>
      <c r="N9" s="20" t="n">
        <v>0.09939877</v>
      </c>
      <c r="O9" s="18" t="n">
        <v>0</v>
      </c>
      <c r="P9" s="20" t="n">
        <v>0</v>
      </c>
      <c r="Q9" s="18" t="n">
        <v>11.78766573</v>
      </c>
      <c r="R9" s="20" t="n">
        <v>0.86610968</v>
      </c>
    </row>
    <row r="10" spans="1:18">
      <c r="A10" s="15" t="s">
        <v>432</v>
      </c>
      <c r="B10" s="17" t="n">
        <v>20058</v>
      </c>
      <c r="C10" s="18">
        <f>(17634.0/B10*100)</f>
        <v/>
      </c>
      <c r="D10" s="19" t="n">
        <v>2424</v>
      </c>
      <c r="E10" s="18" t="n">
        <v>62.11165597</v>
      </c>
      <c r="F10" s="20" t="n">
        <v>1.24795618</v>
      </c>
      <c r="G10" s="18" t="n">
        <v>32.28484665</v>
      </c>
      <c r="H10" s="20" t="n">
        <v>1.26721133</v>
      </c>
      <c r="I10" s="18" t="n">
        <v>0</v>
      </c>
      <c r="J10" s="20" t="n">
        <v>0</v>
      </c>
      <c r="K10" s="18" t="n">
        <v>0.41393013</v>
      </c>
      <c r="L10" s="20" t="n">
        <v>0.18957691</v>
      </c>
      <c r="M10" s="18" t="n">
        <v>0.0479003</v>
      </c>
      <c r="N10" s="20" t="n">
        <v>0.04508372</v>
      </c>
      <c r="O10" s="18" t="n">
        <v>0</v>
      </c>
      <c r="P10" s="20" t="n">
        <v>0</v>
      </c>
      <c r="Q10" s="18" t="n">
        <v>5.14166695</v>
      </c>
      <c r="R10" s="20" t="n">
        <v>0.69297661</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(6057.0/B12*100)</f>
        <v/>
      </c>
      <c r="D12" s="19" t="n">
        <v>837</v>
      </c>
      <c r="E12" s="18" t="n">
        <v>40.92984842</v>
      </c>
      <c r="F12" s="20" t="n">
        <v>1.74504119</v>
      </c>
      <c r="G12" s="18" t="n">
        <v>43.99090278</v>
      </c>
      <c r="H12" s="20" t="n">
        <v>1.86075611</v>
      </c>
      <c r="I12" s="18" t="n">
        <v>0</v>
      </c>
      <c r="J12" s="20" t="n">
        <v>0</v>
      </c>
      <c r="K12" s="18" t="n">
        <v>0</v>
      </c>
      <c r="L12" s="20" t="n">
        <v>0</v>
      </c>
      <c r="M12" s="18" t="n">
        <v>0</v>
      </c>
      <c r="N12" s="20" t="n">
        <v>0</v>
      </c>
      <c r="O12" s="18" t="n">
        <v>0</v>
      </c>
      <c r="P12" s="20" t="n">
        <v>0</v>
      </c>
      <c r="Q12" s="18" t="n">
        <v>15.0792488</v>
      </c>
      <c r="R12" s="20" t="n">
        <v>1.52690617</v>
      </c>
    </row>
    <row r="13" spans="1:18">
      <c r="A13" s="15" t="s">
        <v>435</v>
      </c>
      <c r="B13" s="17" t="n">
        <v>7161</v>
      </c>
      <c r="C13" s="18">
        <f>(6329.0/B13*100)</f>
        <v/>
      </c>
      <c r="D13" s="19" t="n">
        <v>832</v>
      </c>
      <c r="E13" s="18" t="n">
        <v>67.89489908</v>
      </c>
      <c r="F13" s="20" t="n">
        <v>1.83891487</v>
      </c>
      <c r="G13" s="18" t="n">
        <v>24.57341207</v>
      </c>
      <c r="H13" s="20" t="n">
        <v>1.97075262</v>
      </c>
      <c r="I13" s="18" t="n">
        <v>0</v>
      </c>
      <c r="J13" s="20" t="n">
        <v>0</v>
      </c>
      <c r="K13" s="18" t="n">
        <v>0.38910911</v>
      </c>
      <c r="L13" s="20" t="n">
        <v>0.28426102</v>
      </c>
      <c r="M13" s="18" t="n">
        <v>0</v>
      </c>
      <c r="N13" s="20" t="n">
        <v>0</v>
      </c>
      <c r="O13" s="18" t="n">
        <v>0</v>
      </c>
      <c r="P13" s="20" t="n">
        <v>0</v>
      </c>
      <c r="Q13" s="18" t="n">
        <v>7.14257973</v>
      </c>
      <c r="R13" s="20" t="n">
        <v>0.93662159</v>
      </c>
    </row>
    <row r="14" spans="1:18">
      <c r="A14" s="15" t="s">
        <v>436</v>
      </c>
      <c r="B14" s="17" t="n">
        <v>5587</v>
      </c>
      <c r="C14" s="18">
        <f>(4897.0/B14*100)</f>
        <v/>
      </c>
      <c r="D14" s="19" t="n">
        <v>690</v>
      </c>
      <c r="E14" s="18" t="n">
        <v>62.3797776</v>
      </c>
      <c r="F14" s="20" t="n">
        <v>1.82397918</v>
      </c>
      <c r="G14" s="18" t="n">
        <v>31.44226173</v>
      </c>
      <c r="H14" s="20" t="n">
        <v>1.729957</v>
      </c>
      <c r="I14" s="18" t="n">
        <v>0</v>
      </c>
      <c r="J14" s="20" t="n">
        <v>0</v>
      </c>
      <c r="K14" s="18" t="n">
        <v>0</v>
      </c>
      <c r="L14" s="20" t="n">
        <v>0</v>
      </c>
      <c r="M14" s="18" t="n">
        <v>0</v>
      </c>
      <c r="N14" s="20" t="n">
        <v>0</v>
      </c>
      <c r="O14" s="18" t="n">
        <v>0</v>
      </c>
      <c r="P14" s="20" t="n">
        <v>0</v>
      </c>
      <c r="Q14" s="18" t="n">
        <v>6.17796067</v>
      </c>
      <c r="R14" s="20" t="n">
        <v>0.91984564</v>
      </c>
    </row>
    <row r="15" spans="1:18">
      <c r="A15" s="15" t="s">
        <v>437</v>
      </c>
      <c r="B15" s="17" t="n">
        <v>5882</v>
      </c>
      <c r="C15" s="18">
        <f>(5163.0/B15*100)</f>
        <v/>
      </c>
      <c r="D15" s="19" t="n">
        <v>719</v>
      </c>
      <c r="E15" s="18" t="n">
        <v>54.7858049</v>
      </c>
      <c r="F15" s="20" t="n">
        <v>1.95994565</v>
      </c>
      <c r="G15" s="18" t="n">
        <v>36.33675609</v>
      </c>
      <c r="H15" s="20" t="n">
        <v>1.90045832</v>
      </c>
      <c r="I15" s="18" t="n">
        <v>0</v>
      </c>
      <c r="J15" s="20" t="n">
        <v>0</v>
      </c>
      <c r="K15" s="18" t="n">
        <v>0.55107863</v>
      </c>
      <c r="L15" s="20" t="n">
        <v>0.27394415</v>
      </c>
      <c r="M15" s="18" t="n">
        <v>0</v>
      </c>
      <c r="N15" s="20" t="n">
        <v>0</v>
      </c>
      <c r="O15" s="18" t="n">
        <v>0</v>
      </c>
      <c r="P15" s="20" t="n">
        <v>0</v>
      </c>
      <c r="Q15" s="18" t="n">
        <v>8.32636039</v>
      </c>
      <c r="R15" s="20" t="n">
        <v>1.01768605</v>
      </c>
    </row>
    <row r="16" spans="1:18">
      <c r="A16" s="15" t="s">
        <v>438</v>
      </c>
      <c r="B16" s="17" t="n">
        <v>6108</v>
      </c>
      <c r="C16" s="18">
        <f>(5360.0/B16*100)</f>
        <v/>
      </c>
      <c r="D16" s="19" t="n">
        <v>748</v>
      </c>
      <c r="E16" s="18" t="n">
        <v>36.79217503</v>
      </c>
      <c r="F16" s="20" t="n">
        <v>1.85729154</v>
      </c>
      <c r="G16" s="18" t="n">
        <v>43.72944231</v>
      </c>
      <c r="H16" s="20" t="n">
        <v>1.84931806</v>
      </c>
      <c r="I16" s="18" t="n">
        <v>0</v>
      </c>
      <c r="J16" s="20" t="n">
        <v>0</v>
      </c>
      <c r="K16" s="18" t="n">
        <v>0.56265773</v>
      </c>
      <c r="L16" s="20" t="n">
        <v>0.28965264</v>
      </c>
      <c r="M16" s="18" t="n">
        <v>0</v>
      </c>
      <c r="N16" s="20" t="n">
        <v>0</v>
      </c>
      <c r="O16" s="18" t="n">
        <v>0</v>
      </c>
      <c r="P16" s="20" t="n">
        <v>0</v>
      </c>
      <c r="Q16" s="18" t="n">
        <v>18.91572494</v>
      </c>
      <c r="R16" s="20" t="n">
        <v>1.48745779</v>
      </c>
    </row>
    <row r="17" spans="1:18">
      <c r="A17" s="15" t="s">
        <v>439</v>
      </c>
      <c r="B17" s="17" t="n">
        <v>6504</v>
      </c>
      <c r="C17" s="18">
        <f>(5713.0/B17*100)</f>
        <v/>
      </c>
      <c r="D17" s="19" t="n">
        <v>791</v>
      </c>
      <c r="E17" s="18" t="n">
        <v>54.31850865</v>
      </c>
      <c r="F17" s="20" t="n">
        <v>1.85383339</v>
      </c>
      <c r="G17" s="18" t="n">
        <v>32.60090068</v>
      </c>
      <c r="H17" s="20" t="n">
        <v>1.60479656</v>
      </c>
      <c r="I17" s="18" t="n">
        <v>0</v>
      </c>
      <c r="J17" s="20" t="n">
        <v>0</v>
      </c>
      <c r="K17" s="18" t="n">
        <v>0.15721597</v>
      </c>
      <c r="L17" s="20" t="n">
        <v>0.15224671</v>
      </c>
      <c r="M17" s="18" t="n">
        <v>0</v>
      </c>
      <c r="N17" s="20" t="n">
        <v>0</v>
      </c>
      <c r="O17" s="18" t="n">
        <v>0</v>
      </c>
      <c r="P17" s="20" t="n">
        <v>0</v>
      </c>
      <c r="Q17" s="18" t="n">
        <v>12.9233747</v>
      </c>
      <c r="R17" s="20" t="n">
        <v>1.42073353</v>
      </c>
    </row>
    <row r="18" spans="1:18">
      <c r="A18" s="15" t="s">
        <v>440</v>
      </c>
      <c r="B18" s="17" t="n">
        <v>5532</v>
      </c>
      <c r="C18" s="18">
        <f>(4855.0/B18*100)</f>
        <v/>
      </c>
      <c r="D18" s="19" t="n">
        <v>677</v>
      </c>
      <c r="E18" s="18" t="n">
        <v>50.91934296</v>
      </c>
      <c r="F18" s="20" t="n">
        <v>2.03881037</v>
      </c>
      <c r="G18" s="18" t="n">
        <v>32.28185097</v>
      </c>
      <c r="H18" s="20" t="n">
        <v>2.08603125</v>
      </c>
      <c r="I18" s="18" t="n">
        <v>0</v>
      </c>
      <c r="J18" s="20" t="n">
        <v>0</v>
      </c>
      <c r="K18" s="18" t="n">
        <v>0.12214556</v>
      </c>
      <c r="L18" s="20" t="n">
        <v>0.12078441</v>
      </c>
      <c r="M18" s="18" t="n">
        <v>0</v>
      </c>
      <c r="N18" s="20" t="n">
        <v>0</v>
      </c>
      <c r="O18" s="18" t="n">
        <v>0</v>
      </c>
      <c r="P18" s="20" t="n">
        <v>0</v>
      </c>
      <c r="Q18" s="18" t="n">
        <v>16.6766605</v>
      </c>
      <c r="R18" s="20" t="n">
        <v>1.44945642</v>
      </c>
    </row>
    <row r="19" spans="1:18">
      <c r="A19" s="15" t="s">
        <v>441</v>
      </c>
      <c r="B19" s="17" t="n">
        <v>5658</v>
      </c>
      <c r="C19" s="18">
        <f>(4977.0/B19*100)</f>
        <v/>
      </c>
      <c r="D19" s="19" t="n">
        <v>681</v>
      </c>
      <c r="E19" s="18" t="n">
        <v>49.37046541</v>
      </c>
      <c r="F19" s="20" t="n">
        <v>2.18964031</v>
      </c>
      <c r="G19" s="18" t="n">
        <v>31.70916778</v>
      </c>
      <c r="H19" s="20" t="n">
        <v>1.85413051</v>
      </c>
      <c r="I19" s="18" t="n">
        <v>0</v>
      </c>
      <c r="J19" s="20" t="n">
        <v>0</v>
      </c>
      <c r="K19" s="18" t="n">
        <v>0</v>
      </c>
      <c r="L19" s="20" t="n">
        <v>0</v>
      </c>
      <c r="M19" s="18" t="n">
        <v>0</v>
      </c>
      <c r="N19" s="20" t="n">
        <v>0</v>
      </c>
      <c r="O19" s="18" t="n">
        <v>0</v>
      </c>
      <c r="P19" s="20" t="n">
        <v>0</v>
      </c>
      <c r="Q19" s="18" t="n">
        <v>18.92036681</v>
      </c>
      <c r="R19" s="20" t="n">
        <v>1.74252115</v>
      </c>
    </row>
    <row r="20" spans="1:18">
      <c r="A20" s="15" t="s">
        <v>442</v>
      </c>
      <c r="B20" s="17" t="n">
        <v>3371</v>
      </c>
      <c r="C20" s="18">
        <f>(2971.0/B20*100)</f>
        <v/>
      </c>
      <c r="D20" s="19" t="n">
        <v>400</v>
      </c>
      <c r="E20" s="18" t="n">
        <v>54.11071041</v>
      </c>
      <c r="F20" s="20" t="n">
        <v>2.63829502</v>
      </c>
      <c r="G20" s="18" t="n">
        <v>34.25043698</v>
      </c>
      <c r="H20" s="20" t="n">
        <v>2.65750154</v>
      </c>
      <c r="I20" s="18" t="n">
        <v>0</v>
      </c>
      <c r="J20" s="20" t="n">
        <v>0</v>
      </c>
      <c r="K20" s="18" t="n">
        <v>0.23725498</v>
      </c>
      <c r="L20" s="20" t="n">
        <v>0.23915492</v>
      </c>
      <c r="M20" s="18" t="n">
        <v>0.60724216</v>
      </c>
      <c r="N20" s="20" t="n">
        <v>0.44980548</v>
      </c>
      <c r="O20" s="18" t="n">
        <v>0</v>
      </c>
      <c r="P20" s="20" t="n">
        <v>0</v>
      </c>
      <c r="Q20" s="18" t="n">
        <v>10.79435546</v>
      </c>
      <c r="R20" s="20" t="n">
        <v>1.34432734</v>
      </c>
    </row>
    <row r="21" spans="1:18">
      <c r="A21" s="15" t="s">
        <v>443</v>
      </c>
      <c r="B21" s="17" t="n">
        <v>5741</v>
      </c>
      <c r="C21" s="18">
        <f>(4795.0/B21*100)</f>
        <v/>
      </c>
      <c r="D21" s="19" t="n">
        <v>946</v>
      </c>
      <c r="E21" s="18" t="n">
        <v>66.19721982999999</v>
      </c>
      <c r="F21" s="20" t="n">
        <v>1.56678717</v>
      </c>
      <c r="G21" s="18" t="n">
        <v>28.17773025</v>
      </c>
      <c r="H21" s="20" t="n">
        <v>1.39048427</v>
      </c>
      <c r="I21" s="18" t="n">
        <v>0</v>
      </c>
      <c r="J21" s="20" t="n">
        <v>0</v>
      </c>
      <c r="K21" s="18" t="n">
        <v>0.09106713</v>
      </c>
      <c r="L21" s="20" t="n">
        <v>0.06556589</v>
      </c>
      <c r="M21" s="18" t="n">
        <v>0</v>
      </c>
      <c r="N21" s="20" t="n">
        <v>0</v>
      </c>
      <c r="O21" s="18" t="n">
        <v>0</v>
      </c>
      <c r="P21" s="20" t="n">
        <v>0</v>
      </c>
      <c r="Q21" s="18" t="n">
        <v>5.53398279</v>
      </c>
      <c r="R21" s="20" t="n">
        <v>0.72778973</v>
      </c>
    </row>
    <row r="22" spans="1:18">
      <c r="A22" s="15" t="s">
        <v>444</v>
      </c>
      <c r="B22" s="17" t="n">
        <v>6598</v>
      </c>
      <c r="C22" s="18">
        <f>(5776.0/B22*100)</f>
        <v/>
      </c>
      <c r="D22" s="19" t="n">
        <v>822</v>
      </c>
      <c r="E22" s="18" t="n">
        <v>51.68114676</v>
      </c>
      <c r="F22" s="20" t="n">
        <v>2.03917706</v>
      </c>
      <c r="G22" s="18" t="n">
        <v>32.00419788</v>
      </c>
      <c r="H22" s="20" t="n">
        <v>1.81062365</v>
      </c>
      <c r="I22" s="18" t="n">
        <v>0</v>
      </c>
      <c r="J22" s="20" t="n">
        <v>0</v>
      </c>
      <c r="K22" s="18" t="n">
        <v>0.99583824</v>
      </c>
      <c r="L22" s="20" t="n">
        <v>0.43704425</v>
      </c>
      <c r="M22" s="18" t="n">
        <v>0</v>
      </c>
      <c r="N22" s="20" t="n">
        <v>0</v>
      </c>
      <c r="O22" s="18" t="n">
        <v>0</v>
      </c>
      <c r="P22" s="20" t="n">
        <v>0</v>
      </c>
      <c r="Q22" s="18" t="n">
        <v>15.31881713</v>
      </c>
      <c r="R22" s="20" t="n">
        <v>1.63495163</v>
      </c>
    </row>
    <row r="23" spans="1:18">
      <c r="A23" s="15" t="s">
        <v>445</v>
      </c>
      <c r="B23" s="17" t="n">
        <v>11583</v>
      </c>
      <c r="C23" s="18">
        <f>(10185.0/B23*100)</f>
        <v/>
      </c>
      <c r="D23" s="19" t="n">
        <v>1398</v>
      </c>
      <c r="E23" s="18" t="n">
        <v>43.51960564</v>
      </c>
      <c r="F23" s="20" t="n">
        <v>1.74214808</v>
      </c>
      <c r="G23" s="18" t="n">
        <v>38.68634145</v>
      </c>
      <c r="H23" s="20" t="n">
        <v>1.55216466</v>
      </c>
      <c r="I23" s="18" t="n">
        <v>0</v>
      </c>
      <c r="J23" s="20" t="n">
        <v>0</v>
      </c>
      <c r="K23" s="18" t="n">
        <v>0.52875558</v>
      </c>
      <c r="L23" s="20" t="n">
        <v>0.24365139</v>
      </c>
      <c r="M23" s="18" t="n">
        <v>1.1379052</v>
      </c>
      <c r="N23" s="20" t="n">
        <v>0.76634792</v>
      </c>
      <c r="O23" s="18" t="n">
        <v>0</v>
      </c>
      <c r="P23" s="20" t="n">
        <v>0</v>
      </c>
      <c r="Q23" s="18" t="n">
        <v>16.12739213</v>
      </c>
      <c r="R23" s="20" t="n">
        <v>1.52013138</v>
      </c>
    </row>
    <row r="24" spans="1:18">
      <c r="A24" s="15" t="s">
        <v>446</v>
      </c>
      <c r="B24" s="17" t="n">
        <v>6647</v>
      </c>
      <c r="C24" s="18">
        <f>(5846.0/B24*100)</f>
        <v/>
      </c>
      <c r="D24" s="19" t="n">
        <v>801</v>
      </c>
      <c r="E24" s="18" t="n">
        <v>55.7055468</v>
      </c>
      <c r="F24" s="20" t="n">
        <v>1.73260669</v>
      </c>
      <c r="G24" s="18" t="n">
        <v>29.60219667</v>
      </c>
      <c r="H24" s="20" t="n">
        <v>1.63255726</v>
      </c>
      <c r="I24" s="18" t="n">
        <v>0</v>
      </c>
      <c r="J24" s="20" t="n">
        <v>0</v>
      </c>
      <c r="K24" s="18" t="n">
        <v>0.10379141</v>
      </c>
      <c r="L24" s="20" t="n">
        <v>0.10393039</v>
      </c>
      <c r="M24" s="18" t="n">
        <v>0</v>
      </c>
      <c r="N24" s="20" t="n">
        <v>0</v>
      </c>
      <c r="O24" s="18" t="n">
        <v>0</v>
      </c>
      <c r="P24" s="20" t="n">
        <v>0</v>
      </c>
      <c r="Q24" s="18" t="n">
        <v>14.58846512</v>
      </c>
      <c r="R24" s="20" t="n">
        <v>1.25597657</v>
      </c>
    </row>
    <row r="25" spans="1:18">
      <c r="A25" s="15" t="s">
        <v>447</v>
      </c>
      <c r="B25" s="17" t="n">
        <v>5581</v>
      </c>
      <c r="C25" s="18">
        <f>(4886.0/B25*100)</f>
        <v/>
      </c>
      <c r="D25" s="19" t="n">
        <v>695</v>
      </c>
      <c r="E25" s="18" t="n">
        <v>44.24106768</v>
      </c>
      <c r="F25" s="20" t="n">
        <v>1.73205827</v>
      </c>
      <c r="G25" s="18" t="n">
        <v>44.43869581</v>
      </c>
      <c r="H25" s="20" t="n">
        <v>1.8508394</v>
      </c>
      <c r="I25" s="18" t="n">
        <v>0</v>
      </c>
      <c r="J25" s="20" t="n">
        <v>0</v>
      </c>
      <c r="K25" s="18" t="n">
        <v>0.13402635</v>
      </c>
      <c r="L25" s="20" t="n">
        <v>0.13398772</v>
      </c>
      <c r="M25" s="18" t="n">
        <v>0.14748223</v>
      </c>
      <c r="N25" s="20" t="n">
        <v>0.14700732</v>
      </c>
      <c r="O25" s="18" t="n">
        <v>0</v>
      </c>
      <c r="P25" s="20" t="n">
        <v>0</v>
      </c>
      <c r="Q25" s="18" t="n">
        <v>11.03872793</v>
      </c>
      <c r="R25" s="20" t="n">
        <v>1.39297948</v>
      </c>
    </row>
    <row r="26" spans="1:18">
      <c r="A26" s="15" t="s">
        <v>448</v>
      </c>
      <c r="B26" s="17" t="n">
        <v>4869</v>
      </c>
      <c r="C26" s="18">
        <f>(4264.0/B26*100)</f>
        <v/>
      </c>
      <c r="D26" s="19" t="n">
        <v>605</v>
      </c>
      <c r="E26" s="18" t="n">
        <v>70.29501249</v>
      </c>
      <c r="F26" s="20" t="n">
        <v>2.16268633</v>
      </c>
      <c r="G26" s="18" t="n">
        <v>23.86209289</v>
      </c>
      <c r="H26" s="20" t="n">
        <v>1.95452721</v>
      </c>
      <c r="I26" s="18" t="n">
        <v>0</v>
      </c>
      <c r="J26" s="20" t="n">
        <v>0</v>
      </c>
      <c r="K26" s="18" t="n">
        <v>0</v>
      </c>
      <c r="L26" s="20" t="n">
        <v>0</v>
      </c>
      <c r="M26" s="18" t="n">
        <v>0.12957423</v>
      </c>
      <c r="N26" s="20" t="n">
        <v>0.12900923</v>
      </c>
      <c r="O26" s="18" t="n">
        <v>0</v>
      </c>
      <c r="P26" s="20" t="n">
        <v>0</v>
      </c>
      <c r="Q26" s="18" t="n">
        <v>5.71332039</v>
      </c>
      <c r="R26" s="20" t="n">
        <v>0.9271965</v>
      </c>
    </row>
    <row r="27" spans="1:18">
      <c r="A27" s="15" t="s">
        <v>449</v>
      </c>
      <c r="B27" s="17" t="n">
        <v>5299</v>
      </c>
      <c r="C27" s="18">
        <f>(4636.0/B27*100)</f>
        <v/>
      </c>
      <c r="D27" s="19" t="n">
        <v>663</v>
      </c>
      <c r="E27" s="18" t="n">
        <v>50.03592901</v>
      </c>
      <c r="F27" s="20" t="n">
        <v>1.88116863</v>
      </c>
      <c r="G27" s="18" t="n">
        <v>34.16588682</v>
      </c>
      <c r="H27" s="20" t="n">
        <v>2.10984831</v>
      </c>
      <c r="I27" s="18" t="n">
        <v>0</v>
      </c>
      <c r="J27" s="20" t="n">
        <v>0</v>
      </c>
      <c r="K27" s="18" t="n">
        <v>0.15128553</v>
      </c>
      <c r="L27" s="20" t="n">
        <v>0.15222126</v>
      </c>
      <c r="M27" s="18" t="n">
        <v>0</v>
      </c>
      <c r="N27" s="20" t="n">
        <v>0</v>
      </c>
      <c r="O27" s="18" t="n">
        <v>0</v>
      </c>
      <c r="P27" s="20" t="n">
        <v>0</v>
      </c>
      <c r="Q27" s="18" t="n">
        <v>15.64689864</v>
      </c>
      <c r="R27" s="20" t="n">
        <v>1.28239642</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57.33175654</v>
      </c>
      <c r="F29" s="20" t="n">
        <v>1.50159534</v>
      </c>
      <c r="G29" s="18" t="n">
        <v>38.41549965</v>
      </c>
      <c r="H29" s="20" t="n">
        <v>1.48530601</v>
      </c>
      <c r="I29" s="18" t="n">
        <v>0</v>
      </c>
      <c r="J29" s="20" t="n">
        <v>0</v>
      </c>
      <c r="K29" s="18" t="n">
        <v>0.33875531</v>
      </c>
      <c r="L29" s="20" t="n">
        <v>0.23990196</v>
      </c>
      <c r="M29" s="18" t="n">
        <v>0</v>
      </c>
      <c r="N29" s="20" t="n">
        <v>0</v>
      </c>
      <c r="O29" s="18" t="n">
        <v>0</v>
      </c>
      <c r="P29" s="20" t="n">
        <v>0</v>
      </c>
      <c r="Q29" s="18" t="n">
        <v>3.91398851</v>
      </c>
      <c r="R29" s="20" t="n">
        <v>0.7000184</v>
      </c>
    </row>
    <row r="30" spans="1:18">
      <c r="A30" s="15" t="s">
        <v>452</v>
      </c>
      <c r="B30" s="17" t="n">
        <v>4520</v>
      </c>
      <c r="C30" s="18">
        <f>(3955.0/B30*100)</f>
        <v/>
      </c>
      <c r="D30" s="19" t="n">
        <v>565</v>
      </c>
      <c r="E30" s="18" t="n">
        <v>58.34913898</v>
      </c>
      <c r="F30" s="20" t="n">
        <v>2.00460169</v>
      </c>
      <c r="G30" s="18" t="n">
        <v>27.73797294</v>
      </c>
      <c r="H30" s="20" t="n">
        <v>2.00095048</v>
      </c>
      <c r="I30" s="18" t="n">
        <v>0</v>
      </c>
      <c r="J30" s="20" t="n">
        <v>0</v>
      </c>
      <c r="K30" s="18" t="n">
        <v>0.24947349</v>
      </c>
      <c r="L30" s="20" t="n">
        <v>0.25389973</v>
      </c>
      <c r="M30" s="18" t="n">
        <v>0</v>
      </c>
      <c r="N30" s="20" t="n">
        <v>0</v>
      </c>
      <c r="O30" s="18" t="n">
        <v>0</v>
      </c>
      <c r="P30" s="20" t="n">
        <v>0</v>
      </c>
      <c r="Q30" s="18" t="n">
        <v>13.66341459</v>
      </c>
      <c r="R30" s="20" t="n">
        <v>1.40361538</v>
      </c>
    </row>
    <row r="31" spans="1:18">
      <c r="A31" s="15" t="s">
        <v>453</v>
      </c>
      <c r="B31" s="17" t="n">
        <v>5456</v>
      </c>
      <c r="C31" s="18">
        <f>(4781.0/B31*100)</f>
        <v/>
      </c>
      <c r="D31" s="19" t="n">
        <v>675</v>
      </c>
      <c r="E31" s="18" t="n">
        <v>46.5453258</v>
      </c>
      <c r="F31" s="20" t="n">
        <v>1.88817765</v>
      </c>
      <c r="G31" s="18" t="n">
        <v>40.93789547</v>
      </c>
      <c r="H31" s="20" t="n">
        <v>1.80715274</v>
      </c>
      <c r="I31" s="18" t="n">
        <v>0</v>
      </c>
      <c r="J31" s="20" t="n">
        <v>0</v>
      </c>
      <c r="K31" s="18" t="n">
        <v>0</v>
      </c>
      <c r="L31" s="20" t="n">
        <v>0</v>
      </c>
      <c r="M31" s="18" t="n">
        <v>0</v>
      </c>
      <c r="N31" s="20" t="n">
        <v>0</v>
      </c>
      <c r="O31" s="18" t="n">
        <v>0</v>
      </c>
      <c r="P31" s="20" t="n">
        <v>0</v>
      </c>
      <c r="Q31" s="18" t="n">
        <v>12.51677873</v>
      </c>
      <c r="R31" s="20" t="n">
        <v>1.42094625</v>
      </c>
    </row>
    <row r="32" spans="1:18">
      <c r="A32" s="15" t="s">
        <v>454</v>
      </c>
      <c r="B32" s="17" t="n">
        <v>4478</v>
      </c>
      <c r="C32" s="18">
        <f>(3718.0/B32*100)</f>
        <v/>
      </c>
      <c r="D32" s="19" t="n">
        <v>760</v>
      </c>
      <c r="E32" s="18" t="n">
        <v>53.80379161</v>
      </c>
      <c r="F32" s="20" t="n">
        <v>1.78849589</v>
      </c>
      <c r="G32" s="18" t="n">
        <v>36.00734287</v>
      </c>
      <c r="H32" s="20" t="n">
        <v>1.81134072</v>
      </c>
      <c r="I32" s="18" t="n">
        <v>0</v>
      </c>
      <c r="J32" s="20" t="n">
        <v>0</v>
      </c>
      <c r="K32" s="18" t="n">
        <v>0.13595364</v>
      </c>
      <c r="L32" s="20" t="n">
        <v>0.11863941</v>
      </c>
      <c r="M32" s="18" t="n">
        <v>0</v>
      </c>
      <c r="N32" s="20" t="n">
        <v>0</v>
      </c>
      <c r="O32" s="18" t="n">
        <v>0</v>
      </c>
      <c r="P32" s="20" t="n">
        <v>0</v>
      </c>
      <c r="Q32" s="18" t="n">
        <v>10.05291188</v>
      </c>
      <c r="R32" s="20" t="n">
        <v>0.99070114</v>
      </c>
    </row>
    <row r="33" spans="1:18">
      <c r="A33" s="15" t="s">
        <v>455</v>
      </c>
      <c r="B33" s="17" t="n">
        <v>7325</v>
      </c>
      <c r="C33" s="18">
        <f>(6425.0/B33*100)</f>
        <v/>
      </c>
      <c r="D33" s="19" t="n">
        <v>900</v>
      </c>
      <c r="E33" s="18" t="n">
        <v>54.84907349</v>
      </c>
      <c r="F33" s="20" t="n">
        <v>2.46210866</v>
      </c>
      <c r="G33" s="18" t="n">
        <v>32.63990277</v>
      </c>
      <c r="H33" s="20" t="n">
        <v>2.25499036</v>
      </c>
      <c r="I33" s="18" t="n">
        <v>0</v>
      </c>
      <c r="J33" s="20" t="n">
        <v>0</v>
      </c>
      <c r="K33" s="18" t="n">
        <v>0</v>
      </c>
      <c r="L33" s="20" t="n">
        <v>0</v>
      </c>
      <c r="M33" s="18" t="n">
        <v>0</v>
      </c>
      <c r="N33" s="20" t="n">
        <v>0</v>
      </c>
      <c r="O33" s="18" t="n">
        <v>0</v>
      </c>
      <c r="P33" s="20" t="n">
        <v>0</v>
      </c>
      <c r="Q33" s="18" t="n">
        <v>12.51102374</v>
      </c>
      <c r="R33" s="20" t="n">
        <v>1.45249885</v>
      </c>
    </row>
    <row r="34" spans="1:18">
      <c r="A34" s="15" t="s">
        <v>456</v>
      </c>
      <c r="B34" s="17" t="n">
        <v>6350</v>
      </c>
      <c r="C34" s="18">
        <f>(5570.0/B34*100)</f>
        <v/>
      </c>
      <c r="D34" s="19" t="n">
        <v>780</v>
      </c>
      <c r="E34" s="18" t="n">
        <v>50.16927349</v>
      </c>
      <c r="F34" s="20" t="n">
        <v>2.0150435</v>
      </c>
      <c r="G34" s="18" t="n">
        <v>29.5576746</v>
      </c>
      <c r="H34" s="20" t="n">
        <v>1.91646454</v>
      </c>
      <c r="I34" s="18" t="n">
        <v>0</v>
      </c>
      <c r="J34" s="20" t="n">
        <v>0</v>
      </c>
      <c r="K34" s="18" t="n">
        <v>0.09680034</v>
      </c>
      <c r="L34" s="20" t="n">
        <v>0.0971019</v>
      </c>
      <c r="M34" s="18" t="n">
        <v>0.11334967</v>
      </c>
      <c r="N34" s="20" t="n">
        <v>0.11305991</v>
      </c>
      <c r="O34" s="18" t="n">
        <v>0</v>
      </c>
      <c r="P34" s="20" t="n">
        <v>0</v>
      </c>
      <c r="Q34" s="18" t="n">
        <v>20.0629019</v>
      </c>
      <c r="R34" s="20" t="n">
        <v>1.75878806</v>
      </c>
    </row>
    <row r="35" spans="1:18">
      <c r="A35" s="15" t="s">
        <v>457</v>
      </c>
      <c r="B35" s="17" t="n">
        <v>6406</v>
      </c>
      <c r="C35" s="18">
        <f>(5613.0/B35*100)</f>
        <v/>
      </c>
      <c r="D35" s="19" t="n">
        <v>793</v>
      </c>
      <c r="E35" s="18" t="n">
        <v>55.68413493</v>
      </c>
      <c r="F35" s="20" t="n">
        <v>2.20141399</v>
      </c>
      <c r="G35" s="18" t="n">
        <v>35.30543439</v>
      </c>
      <c r="H35" s="20" t="n">
        <v>1.95762774</v>
      </c>
      <c r="I35" s="18" t="n">
        <v>0</v>
      </c>
      <c r="J35" s="20" t="n">
        <v>0</v>
      </c>
      <c r="K35" s="18" t="n">
        <v>0.11646324</v>
      </c>
      <c r="L35" s="20" t="n">
        <v>0.08272868</v>
      </c>
      <c r="M35" s="18" t="n">
        <v>0.41830002</v>
      </c>
      <c r="N35" s="20" t="n">
        <v>0.28583537</v>
      </c>
      <c r="O35" s="18" t="n">
        <v>0</v>
      </c>
      <c r="P35" s="20" t="n">
        <v>0</v>
      </c>
      <c r="Q35" s="18" t="n">
        <v>8.475667420000001</v>
      </c>
      <c r="R35" s="20" t="n">
        <v>1.06310402</v>
      </c>
    </row>
    <row r="36" spans="1:18">
      <c r="A36" s="15" t="s">
        <v>458</v>
      </c>
      <c r="B36" s="17" t="n">
        <v>6736</v>
      </c>
      <c r="C36" s="18">
        <f>(5927.0/B36*100)</f>
        <v/>
      </c>
      <c r="D36" s="19" t="n">
        <v>809</v>
      </c>
      <c r="E36" s="18" t="n">
        <v>45.51104115</v>
      </c>
      <c r="F36" s="20" t="n">
        <v>1.93860022</v>
      </c>
      <c r="G36" s="18" t="n">
        <v>44.58480262</v>
      </c>
      <c r="H36" s="20" t="n">
        <v>1.82481098</v>
      </c>
      <c r="I36" s="18" t="n">
        <v>0</v>
      </c>
      <c r="J36" s="20" t="n">
        <v>0</v>
      </c>
      <c r="K36" s="18" t="n">
        <v>0.180589</v>
      </c>
      <c r="L36" s="20" t="n">
        <v>0.1990066</v>
      </c>
      <c r="M36" s="18" t="n">
        <v>0</v>
      </c>
      <c r="N36" s="20" t="n">
        <v>0</v>
      </c>
      <c r="O36" s="18" t="n">
        <v>0</v>
      </c>
      <c r="P36" s="20" t="n">
        <v>0</v>
      </c>
      <c r="Q36" s="18" t="n">
        <v>9.72356722</v>
      </c>
      <c r="R36" s="20" t="n">
        <v>1.04368898</v>
      </c>
    </row>
    <row r="37" spans="1:18">
      <c r="A37" s="15" t="s">
        <v>459</v>
      </c>
      <c r="B37" s="17" t="n">
        <v>5458</v>
      </c>
      <c r="C37" s="18">
        <f>(4795.0/B37*100)</f>
        <v/>
      </c>
      <c r="D37" s="19" t="n">
        <v>663</v>
      </c>
      <c r="E37" s="18" t="n">
        <v>48.60043255</v>
      </c>
      <c r="F37" s="20" t="n">
        <v>1.89520031</v>
      </c>
      <c r="G37" s="18" t="n">
        <v>35.54952663</v>
      </c>
      <c r="H37" s="20" t="n">
        <v>2.08599546</v>
      </c>
      <c r="I37" s="18" t="n">
        <v>0</v>
      </c>
      <c r="J37" s="20" t="n">
        <v>0</v>
      </c>
      <c r="K37" s="18" t="n">
        <v>0.7336016</v>
      </c>
      <c r="L37" s="20" t="n">
        <v>0.32214285</v>
      </c>
      <c r="M37" s="18" t="n">
        <v>0.12221127</v>
      </c>
      <c r="N37" s="20" t="n">
        <v>0.12215491</v>
      </c>
      <c r="O37" s="18" t="n">
        <v>0</v>
      </c>
      <c r="P37" s="20" t="n">
        <v>0</v>
      </c>
      <c r="Q37" s="18" t="n">
        <v>14.99422795</v>
      </c>
      <c r="R37" s="20" t="n">
        <v>1.64604102</v>
      </c>
    </row>
    <row r="38" spans="1:18">
      <c r="A38" s="15" t="s">
        <v>460</v>
      </c>
      <c r="B38" s="17" t="n">
        <v>5860</v>
      </c>
      <c r="C38" s="18">
        <f>(4885.0/B38*100)</f>
        <v/>
      </c>
      <c r="D38" s="19" t="n">
        <v>975</v>
      </c>
      <c r="E38" s="18" t="n">
        <v>50.45766535</v>
      </c>
      <c r="F38" s="20" t="n">
        <v>1.68419547</v>
      </c>
      <c r="G38" s="18" t="n">
        <v>34.24266503</v>
      </c>
      <c r="H38" s="20" t="n">
        <v>1.49191263</v>
      </c>
      <c r="I38" s="18" t="n">
        <v>0</v>
      </c>
      <c r="J38" s="20" t="n">
        <v>0</v>
      </c>
      <c r="K38" s="18" t="n">
        <v>0.2035128</v>
      </c>
      <c r="L38" s="20" t="n">
        <v>0.13206634</v>
      </c>
      <c r="M38" s="18" t="n">
        <v>0.11235717</v>
      </c>
      <c r="N38" s="20" t="n">
        <v>0.11229309</v>
      </c>
      <c r="O38" s="18" t="n">
        <v>0</v>
      </c>
      <c r="P38" s="20" t="n">
        <v>0</v>
      </c>
      <c r="Q38" s="18" t="n">
        <v>14.98379965</v>
      </c>
      <c r="R38" s="20" t="n">
        <v>1.35585112</v>
      </c>
    </row>
    <row r="39" spans="1:18">
      <c r="A39" s="15" t="s">
        <v>461</v>
      </c>
      <c r="B39" s="17" t="n">
        <v>5895</v>
      </c>
      <c r="C39" s="18">
        <f>(5158.0/B39*100)</f>
        <v/>
      </c>
      <c r="D39" s="19" t="n">
        <v>737</v>
      </c>
      <c r="E39" s="18" t="n">
        <v>69.37886647000001</v>
      </c>
      <c r="F39" s="20" t="n">
        <v>2.21324781</v>
      </c>
      <c r="G39" s="18" t="n">
        <v>19.95688442</v>
      </c>
      <c r="H39" s="20" t="n">
        <v>1.92400826</v>
      </c>
      <c r="I39" s="18" t="n">
        <v>0</v>
      </c>
      <c r="J39" s="20" t="n">
        <v>0</v>
      </c>
      <c r="K39" s="18" t="n">
        <v>0.41961814</v>
      </c>
      <c r="L39" s="20" t="n">
        <v>0.31687883</v>
      </c>
      <c r="M39" s="18" t="n">
        <v>0</v>
      </c>
      <c r="N39" s="20" t="n">
        <v>0</v>
      </c>
      <c r="O39" s="18" t="n">
        <v>0</v>
      </c>
      <c r="P39" s="20" t="n">
        <v>0</v>
      </c>
      <c r="Q39" s="18" t="n">
        <v>10.24463097</v>
      </c>
      <c r="R39" s="20" t="n">
        <v>1.17727714</v>
      </c>
    </row>
    <row r="40" spans="1:18">
      <c r="A40" s="15" t="s">
        <v>462</v>
      </c>
      <c r="B40" s="17" t="n">
        <v>14157</v>
      </c>
      <c r="C40" s="18">
        <f>(12378.0/B40*100)</f>
        <v/>
      </c>
      <c r="D40" s="19" t="n">
        <v>1779</v>
      </c>
      <c r="E40" s="18" t="n">
        <v>61.9233931</v>
      </c>
      <c r="F40" s="20" t="n">
        <v>1.49531001</v>
      </c>
      <c r="G40" s="18" t="n">
        <v>26.87204925</v>
      </c>
      <c r="H40" s="20" t="n">
        <v>1.30299737</v>
      </c>
      <c r="I40" s="18" t="n">
        <v>0</v>
      </c>
      <c r="J40" s="20" t="n">
        <v>0</v>
      </c>
      <c r="K40" s="18" t="n">
        <v>0.1047184</v>
      </c>
      <c r="L40" s="20" t="n">
        <v>0.04000106</v>
      </c>
      <c r="M40" s="18" t="n">
        <v>0.27495728</v>
      </c>
      <c r="N40" s="20" t="n">
        <v>0.21549245</v>
      </c>
      <c r="O40" s="18" t="n">
        <v>0</v>
      </c>
      <c r="P40" s="20" t="n">
        <v>0</v>
      </c>
      <c r="Q40" s="18" t="n">
        <v>10.82488196</v>
      </c>
      <c r="R40" s="20" t="n">
        <v>1.46248057</v>
      </c>
    </row>
    <row r="41" spans="1:18">
      <c r="A41" s="15" t="s">
        <v>463</v>
      </c>
      <c r="B41" s="17" t="n">
        <v>5712</v>
      </c>
      <c r="C41" s="18">
        <f>(5041.0/B41*100)</f>
        <v/>
      </c>
      <c r="D41" s="19" t="n">
        <v>671</v>
      </c>
      <c r="E41" s="18" t="n">
        <v>72.58450934</v>
      </c>
      <c r="F41" s="20" t="n">
        <v>1.71895174</v>
      </c>
      <c r="G41" s="18" t="n">
        <v>25.00943886</v>
      </c>
      <c r="H41" s="20" t="n">
        <v>1.66925677</v>
      </c>
      <c r="I41" s="18" t="n">
        <v>0</v>
      </c>
      <c r="J41" s="20" t="n">
        <v>0</v>
      </c>
      <c r="K41" s="18" t="n">
        <v>0</v>
      </c>
      <c r="L41" s="20" t="n">
        <v>0</v>
      </c>
      <c r="M41" s="18" t="n">
        <v>0</v>
      </c>
      <c r="N41" s="20" t="n">
        <v>0</v>
      </c>
      <c r="O41" s="18" t="n">
        <v>0</v>
      </c>
      <c r="P41" s="20" t="n">
        <v>0</v>
      </c>
      <c r="Q41" s="18" t="n">
        <v>2.4060518</v>
      </c>
      <c r="R41" s="20" t="n">
        <v>0.5266005499999999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(8632.0/B48*100)</f>
        <v/>
      </c>
      <c r="D48" s="19" t="n">
        <v>1209</v>
      </c>
      <c r="E48" s="18" t="n">
        <v>48.81877945</v>
      </c>
      <c r="F48" s="20" t="n">
        <v>2.17554955</v>
      </c>
      <c r="G48" s="18" t="n">
        <v>41.19547166</v>
      </c>
      <c r="H48" s="20" t="n">
        <v>2.40652127</v>
      </c>
      <c r="I48" s="18" t="n">
        <v>0</v>
      </c>
      <c r="J48" s="20" t="n">
        <v>0</v>
      </c>
      <c r="K48" s="18" t="n">
        <v>0.29228305</v>
      </c>
      <c r="L48" s="20" t="n">
        <v>0.25416643</v>
      </c>
      <c r="M48" s="18" t="n">
        <v>0.14486934</v>
      </c>
      <c r="N48" s="20" t="n">
        <v>0.14507645</v>
      </c>
      <c r="O48" s="18" t="n">
        <v>0</v>
      </c>
      <c r="P48" s="20" t="n">
        <v>0</v>
      </c>
      <c r="Q48" s="18" t="n">
        <v>9.5485965</v>
      </c>
      <c r="R48" s="20" t="n">
        <v>1.0285365</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(5085.0/B51*100)</f>
        <v/>
      </c>
      <c r="D51" s="19" t="n">
        <v>724</v>
      </c>
      <c r="E51" s="18" t="n">
        <v>51.71377421</v>
      </c>
      <c r="F51" s="20" t="n">
        <v>1.87975391</v>
      </c>
      <c r="G51" s="18" t="n">
        <v>29.27238326</v>
      </c>
      <c r="H51" s="20" t="n">
        <v>1.7697925</v>
      </c>
      <c r="I51" s="18" t="n">
        <v>0</v>
      </c>
      <c r="J51" s="20" t="n">
        <v>0</v>
      </c>
      <c r="K51" s="18" t="n">
        <v>0</v>
      </c>
      <c r="L51" s="20" t="n">
        <v>0</v>
      </c>
      <c r="M51" s="18" t="n">
        <v>0</v>
      </c>
      <c r="N51" s="20" t="n">
        <v>0</v>
      </c>
      <c r="O51" s="18" t="n">
        <v>0</v>
      </c>
      <c r="P51" s="20" t="n">
        <v>0</v>
      </c>
      <c r="Q51" s="18" t="n">
        <v>19.01384253</v>
      </c>
      <c r="R51" s="20" t="n">
        <v>1.38150779</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49.03377666</v>
      </c>
      <c r="F55" s="20" t="n">
        <v>2.52996341</v>
      </c>
      <c r="G55" s="18" t="n">
        <v>45.86278756</v>
      </c>
      <c r="H55" s="20" t="n">
        <v>2.59569439</v>
      </c>
      <c r="I55" s="18" t="n">
        <v>0</v>
      </c>
      <c r="J55" s="20" t="n">
        <v>0</v>
      </c>
      <c r="K55" s="18" t="n">
        <v>0.43320348</v>
      </c>
      <c r="L55" s="20" t="n">
        <v>0.32024206</v>
      </c>
      <c r="M55" s="18" t="n">
        <v>0</v>
      </c>
      <c r="N55" s="20" t="n">
        <v>0</v>
      </c>
      <c r="O55" s="18" t="n">
        <v>0</v>
      </c>
      <c r="P55" s="20" t="n">
        <v>0</v>
      </c>
      <c r="Q55" s="18" t="n">
        <v>4.6702323</v>
      </c>
      <c r="R55" s="20" t="n">
        <v>0.86908687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(5679.0/B61*100)</f>
        <v/>
      </c>
      <c r="D61" s="19" t="n">
        <v>846</v>
      </c>
      <c r="E61" s="18" t="n">
        <v>57.53199973</v>
      </c>
      <c r="F61" s="20" t="n">
        <v>1.93833832</v>
      </c>
      <c r="G61" s="18" t="n">
        <v>29.01484327</v>
      </c>
      <c r="H61" s="20" t="n">
        <v>1.59981609</v>
      </c>
      <c r="I61" s="18" t="n">
        <v>0</v>
      </c>
      <c r="J61" s="20" t="n">
        <v>0</v>
      </c>
      <c r="K61" s="18" t="n">
        <v>0.18280751</v>
      </c>
      <c r="L61" s="20" t="n">
        <v>0.15800881</v>
      </c>
      <c r="M61" s="18" t="n">
        <v>0</v>
      </c>
      <c r="N61" s="20" t="n">
        <v>0</v>
      </c>
      <c r="O61" s="18" t="n">
        <v>0</v>
      </c>
      <c r="P61" s="20" t="n">
        <v>0</v>
      </c>
      <c r="Q61" s="18" t="n">
        <v>13.27034949</v>
      </c>
      <c r="R61" s="20" t="n">
        <v>1.44346335</v>
      </c>
    </row>
    <row r="62" spans="1:18">
      <c r="A62" s="15" t="s">
        <v>486</v>
      </c>
      <c r="B62" s="17" t="n">
        <v>4476</v>
      </c>
      <c r="C62" s="18">
        <f>(3929.0/B62*100)</f>
        <v/>
      </c>
      <c r="D62" s="19" t="n">
        <v>547</v>
      </c>
      <c r="E62" s="18" t="n">
        <v>62.54890302</v>
      </c>
      <c r="F62" s="20" t="n">
        <v>1.99847283</v>
      </c>
      <c r="G62" s="18" t="n">
        <v>32.50382026</v>
      </c>
      <c r="H62" s="20" t="n">
        <v>1.91262588</v>
      </c>
      <c r="I62" s="18" t="n">
        <v>0</v>
      </c>
      <c r="J62" s="20" t="n">
        <v>0</v>
      </c>
      <c r="K62" s="18" t="n">
        <v>0.18782305</v>
      </c>
      <c r="L62" s="20" t="n">
        <v>0.18735461</v>
      </c>
      <c r="M62" s="18" t="n">
        <v>0.36505736</v>
      </c>
      <c r="N62" s="20" t="n">
        <v>0.25837823</v>
      </c>
      <c r="O62" s="18" t="n">
        <v>0</v>
      </c>
      <c r="P62" s="20" t="n">
        <v>0</v>
      </c>
      <c r="Q62" s="18" t="n">
        <v>4.3943963</v>
      </c>
      <c r="R62" s="20" t="n">
        <v>0.92547374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(5003.0/B67*100)</f>
        <v/>
      </c>
      <c r="D67" s="19" t="n">
        <v>662</v>
      </c>
      <c r="E67" s="18" t="n">
        <v>42.28426989</v>
      </c>
      <c r="F67" s="20" t="n">
        <v>1.99761737</v>
      </c>
      <c r="G67" s="18" t="n">
        <v>19.64574821</v>
      </c>
      <c r="H67" s="20" t="n">
        <v>1.58805754</v>
      </c>
      <c r="I67" s="18" t="n">
        <v>0</v>
      </c>
      <c r="J67" s="20" t="n">
        <v>0</v>
      </c>
      <c r="K67" s="18" t="n">
        <v>1.40711267</v>
      </c>
      <c r="L67" s="20" t="n">
        <v>0.45315301</v>
      </c>
      <c r="M67" s="18" t="n">
        <v>0.4193857</v>
      </c>
      <c r="N67" s="20" t="n">
        <v>0.2396635</v>
      </c>
      <c r="O67" s="18" t="n">
        <v>0</v>
      </c>
      <c r="P67" s="20" t="n">
        <v>0</v>
      </c>
      <c r="Q67" s="18" t="n">
        <v>36.24348353</v>
      </c>
      <c r="R67" s="20" t="n">
        <v>2.0227964</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(5331.0/B72*100)</f>
        <v/>
      </c>
      <c r="D72" s="19" t="n">
        <v>705</v>
      </c>
      <c r="E72" s="18" t="n">
        <v>67.68298894</v>
      </c>
      <c r="F72" s="20" t="n">
        <v>2.4517882</v>
      </c>
      <c r="G72" s="18" t="n">
        <v>19.51049846</v>
      </c>
      <c r="H72" s="20" t="n">
        <v>1.73133623</v>
      </c>
      <c r="I72" s="18" t="n">
        <v>0</v>
      </c>
      <c r="J72" s="20" t="n">
        <v>0</v>
      </c>
      <c r="K72" s="18" t="n">
        <v>0.18925403</v>
      </c>
      <c r="L72" s="20" t="n">
        <v>0.18172426</v>
      </c>
      <c r="M72" s="18" t="n">
        <v>0.22612241</v>
      </c>
      <c r="N72" s="20" t="n">
        <v>0.13237482</v>
      </c>
      <c r="O72" s="18" t="n">
        <v>0</v>
      </c>
      <c r="P72" s="20" t="n">
        <v>0</v>
      </c>
      <c r="Q72" s="18" t="n">
        <v>12.39113616</v>
      </c>
      <c r="R72" s="20" t="n">
        <v>1.59471049</v>
      </c>
    </row>
    <row r="73" spans="1:18">
      <c r="A73" s="15" t="s">
        <v>497</v>
      </c>
      <c r="B73" s="17" t="n">
        <v>6115</v>
      </c>
      <c r="C73" s="18">
        <f>(5346.0/B73*100)</f>
        <v/>
      </c>
      <c r="D73" s="19" t="n">
        <v>769</v>
      </c>
      <c r="E73" s="18" t="n">
        <v>62.66711583</v>
      </c>
      <c r="F73" s="20" t="n">
        <v>1.80884418</v>
      </c>
      <c r="G73" s="18" t="n">
        <v>33.97803867</v>
      </c>
      <c r="H73" s="20" t="n">
        <v>1.78656849</v>
      </c>
      <c r="I73" s="18" t="n">
        <v>0</v>
      </c>
      <c r="J73" s="20" t="n">
        <v>0</v>
      </c>
      <c r="K73" s="18" t="n">
        <v>0.6709897</v>
      </c>
      <c r="L73" s="20" t="n">
        <v>0.2224111</v>
      </c>
      <c r="M73" s="18" t="n">
        <v>0</v>
      </c>
      <c r="N73" s="20" t="n">
        <v>0</v>
      </c>
      <c r="O73" s="18" t="n">
        <v>0</v>
      </c>
      <c r="P73" s="20" t="n">
        <v>0</v>
      </c>
      <c r="Q73" s="18" t="n">
        <v>2.6838558</v>
      </c>
      <c r="R73" s="20" t="n">
        <v>0.58963214</v>
      </c>
    </row>
    <row r="74" spans="1:18">
      <c r="A74" s="15" t="s">
        <v>498</v>
      </c>
      <c r="B74" s="17" t="n">
        <v>7708</v>
      </c>
      <c r="C74" s="18">
        <f>(6752.0/B74*100)</f>
        <v/>
      </c>
      <c r="D74" s="19" t="n">
        <v>956</v>
      </c>
      <c r="E74" s="18" t="n">
        <v>58.80336133</v>
      </c>
      <c r="F74" s="20" t="n">
        <v>1.85436826</v>
      </c>
      <c r="G74" s="18" t="n">
        <v>35.44811308</v>
      </c>
      <c r="H74" s="20" t="n">
        <v>1.77153827</v>
      </c>
      <c r="I74" s="18" t="n">
        <v>0</v>
      </c>
      <c r="J74" s="20" t="n">
        <v>0</v>
      </c>
      <c r="K74" s="18" t="n">
        <v>0.26412652</v>
      </c>
      <c r="L74" s="20" t="n">
        <v>0.14082213</v>
      </c>
      <c r="M74" s="18" t="n">
        <v>0</v>
      </c>
      <c r="N74" s="20" t="n">
        <v>0</v>
      </c>
      <c r="O74" s="18" t="n">
        <v>0</v>
      </c>
      <c r="P74" s="20" t="n">
        <v>0</v>
      </c>
      <c r="Q74" s="18" t="n">
        <v>5.48439907</v>
      </c>
      <c r="R74" s="20" t="n">
        <v>0.77574719</v>
      </c>
    </row>
    <row r="75" spans="1:18">
      <c r="A75" s="15" t="s">
        <v>499</v>
      </c>
      <c r="B75" s="17" t="n">
        <v>8249</v>
      </c>
      <c r="C75" s="18">
        <f>(7260.0/B75*100)</f>
        <v/>
      </c>
      <c r="D75" s="19" t="n">
        <v>989</v>
      </c>
      <c r="E75" s="18" t="n">
        <v>86.75447296</v>
      </c>
      <c r="F75" s="20" t="n">
        <v>1.19731152</v>
      </c>
      <c r="G75" s="18" t="n">
        <v>9.829128239999999</v>
      </c>
      <c r="H75" s="20" t="n">
        <v>1.15979335</v>
      </c>
      <c r="I75" s="18" t="n">
        <v>0</v>
      </c>
      <c r="J75" s="20" t="n">
        <v>0</v>
      </c>
      <c r="K75" s="18" t="n">
        <v>0.14009551</v>
      </c>
      <c r="L75" s="20" t="n">
        <v>0.14005376</v>
      </c>
      <c r="M75" s="18" t="n">
        <v>0.66996304</v>
      </c>
      <c r="N75" s="20" t="n">
        <v>0.34644521</v>
      </c>
      <c r="O75" s="18" t="n">
        <v>0</v>
      </c>
      <c r="P75" s="20" t="n">
        <v>0</v>
      </c>
      <c r="Q75" s="18" t="n">
        <v>2.60634025</v>
      </c>
      <c r="R75" s="20" t="n">
        <v>0.66642927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(28428.0/B82*100)</f>
        <v/>
      </c>
      <c r="D82" s="19" t="n">
        <v>3902</v>
      </c>
      <c r="E82" s="18" t="n">
        <v>47.53857407</v>
      </c>
      <c r="F82" s="20" t="n">
        <v>1.21938908</v>
      </c>
      <c r="G82" s="18" t="n">
        <v>44.00310584</v>
      </c>
      <c r="H82" s="20" t="n">
        <v>1.11282218</v>
      </c>
      <c r="I82" s="18" t="n">
        <v>0</v>
      </c>
      <c r="J82" s="20" t="n">
        <v>0</v>
      </c>
      <c r="K82" s="18" t="n">
        <v>0.1871381</v>
      </c>
      <c r="L82" s="20" t="n">
        <v>0.10539747</v>
      </c>
      <c r="M82" s="18" t="n">
        <v>0.07667907</v>
      </c>
      <c r="N82" s="20" t="n">
        <v>0.05065402</v>
      </c>
      <c r="O82" s="18" t="n">
        <v>0</v>
      </c>
      <c r="P82" s="20" t="n">
        <v>0</v>
      </c>
      <c r="Q82" s="18" t="n">
        <v>8.19450292</v>
      </c>
      <c r="R82" s="20" t="n">
        <v>0.6357801</v>
      </c>
    </row>
    <row r="83" spans="1:18">
      <c r="A83" s="15" t="s">
        <v>507</v>
      </c>
      <c r="B83" s="17" t="n">
        <v>1652</v>
      </c>
      <c r="C83" s="18">
        <f>(1469.0/B83*100)</f>
        <v/>
      </c>
      <c r="D83" s="19" t="n">
        <v>183</v>
      </c>
      <c r="E83" s="18" t="n">
        <v>68.50447479</v>
      </c>
      <c r="F83" s="20" t="n">
        <v>3.27209656</v>
      </c>
      <c r="G83" s="18" t="n">
        <v>30.12211091</v>
      </c>
      <c r="H83" s="20" t="n">
        <v>3.28635299</v>
      </c>
      <c r="I83" s="18" t="n">
        <v>0</v>
      </c>
      <c r="J83" s="20" t="n">
        <v>0</v>
      </c>
      <c r="K83" s="18" t="n">
        <v>0</v>
      </c>
      <c r="L83" s="20" t="n">
        <v>0</v>
      </c>
      <c r="M83" s="18" t="n">
        <v>0</v>
      </c>
      <c r="N83" s="20" t="n">
        <v>0</v>
      </c>
      <c r="O83" s="18" t="n">
        <v>0</v>
      </c>
      <c r="P83" s="20" t="n">
        <v>0</v>
      </c>
      <c r="Q83" s="18" t="n">
        <v>1.3734143</v>
      </c>
      <c r="R83" s="20" t="n">
        <v>0.12172431</v>
      </c>
    </row>
    <row r="84" spans="1:18">
      <c r="A84" s="23" t="s">
        <v>508</v>
      </c>
      <c r="B84" s="24" t="n">
        <v>1887</v>
      </c>
      <c r="C84" s="25">
        <f>(1659.0/B84*100)</f>
        <v/>
      </c>
      <c r="D84" s="19" t="n">
        <v>228</v>
      </c>
      <c r="E84" s="18" t="n">
        <v>74.92980593</v>
      </c>
      <c r="F84" s="20" t="n">
        <v>2.79109709</v>
      </c>
      <c r="G84" s="18" t="n">
        <v>20.68211642</v>
      </c>
      <c r="H84" s="20" t="n">
        <v>2.74747955</v>
      </c>
      <c r="I84" s="18" t="n">
        <v>0</v>
      </c>
      <c r="J84" s="20" t="n">
        <v>0</v>
      </c>
      <c r="K84" s="18" t="n">
        <v>0</v>
      </c>
      <c r="L84" s="20" t="n">
        <v>0</v>
      </c>
      <c r="M84" s="18" t="n">
        <v>0</v>
      </c>
      <c r="N84" s="20" t="n">
        <v>0</v>
      </c>
      <c r="O84" s="18" t="n">
        <v>0</v>
      </c>
      <c r="P84" s="20" t="n">
        <v>0</v>
      </c>
      <c r="Q84" s="18" t="n">
        <v>4.38807765</v>
      </c>
      <c r="R84" s="20" t="n">
        <v>1.16865606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(12712.0/B7*100)</f>
        <v/>
      </c>
      <c r="D7" s="19" t="n">
        <v>1818</v>
      </c>
      <c r="E7" s="18" t="n">
        <v>55.69300786</v>
      </c>
      <c r="F7" s="20" t="n">
        <v>1.48882114</v>
      </c>
      <c r="G7" s="18" t="n">
        <v>19.6609596</v>
      </c>
      <c r="H7" s="20" t="n">
        <v>1.11882951</v>
      </c>
      <c r="I7" s="18" t="n">
        <v>0</v>
      </c>
      <c r="J7" s="20" t="n">
        <v>0</v>
      </c>
      <c r="K7" s="18" t="n">
        <v>0.1957731</v>
      </c>
      <c r="L7" s="20" t="n">
        <v>0.09526349000000001</v>
      </c>
      <c r="M7" s="18" t="n">
        <v>0.09445447</v>
      </c>
      <c r="N7" s="20" t="n">
        <v>0.07499335</v>
      </c>
      <c r="O7" s="18" t="n">
        <v>0</v>
      </c>
      <c r="P7" s="20" t="n">
        <v>0</v>
      </c>
      <c r="Q7" s="18" t="n">
        <v>24.35580497</v>
      </c>
      <c r="R7" s="20" t="n">
        <v>1.12245131</v>
      </c>
    </row>
    <row r="8" spans="1:18">
      <c r="A8" s="15" t="s">
        <v>430</v>
      </c>
      <c r="B8" s="17" t="n">
        <v>7007</v>
      </c>
      <c r="C8" s="18">
        <f>(6156.0/B8*100)</f>
        <v/>
      </c>
      <c r="D8" s="19" t="n">
        <v>851</v>
      </c>
      <c r="E8" s="18" t="n">
        <v>41.06705065</v>
      </c>
      <c r="F8" s="20" t="n">
        <v>1.92873847</v>
      </c>
      <c r="G8" s="18" t="n">
        <v>18.86079748</v>
      </c>
      <c r="H8" s="20" t="n">
        <v>1.5524098</v>
      </c>
      <c r="I8" s="18" t="n">
        <v>0</v>
      </c>
      <c r="J8" s="20" t="n">
        <v>0</v>
      </c>
      <c r="K8" s="18" t="n">
        <v>0</v>
      </c>
      <c r="L8" s="20" t="n">
        <v>0</v>
      </c>
      <c r="M8" s="18" t="n">
        <v>0</v>
      </c>
      <c r="N8" s="20" t="n">
        <v>0</v>
      </c>
      <c r="O8" s="18" t="n">
        <v>0</v>
      </c>
      <c r="P8" s="20" t="n">
        <v>0</v>
      </c>
      <c r="Q8" s="18" t="n">
        <v>40.07215187</v>
      </c>
      <c r="R8" s="20" t="n">
        <v>1.9989976</v>
      </c>
    </row>
    <row r="9" spans="1:18">
      <c r="A9" s="15" t="s">
        <v>431</v>
      </c>
      <c r="B9" s="17" t="n">
        <v>9651</v>
      </c>
      <c r="C9" s="18">
        <f>(8480.0/B9*100)</f>
        <v/>
      </c>
      <c r="D9" s="19" t="n">
        <v>1171</v>
      </c>
      <c r="E9" s="18" t="n">
        <v>46.65139545</v>
      </c>
      <c r="F9" s="20" t="n">
        <v>1.74253022</v>
      </c>
      <c r="G9" s="18" t="n">
        <v>21.89112943</v>
      </c>
      <c r="H9" s="20" t="n">
        <v>1.26536712</v>
      </c>
      <c r="I9" s="18" t="n">
        <v>0</v>
      </c>
      <c r="J9" s="20" t="n">
        <v>0</v>
      </c>
      <c r="K9" s="18" t="n">
        <v>0.23230718</v>
      </c>
      <c r="L9" s="20" t="n">
        <v>0.16633851</v>
      </c>
      <c r="M9" s="18" t="n">
        <v>0.14632117</v>
      </c>
      <c r="N9" s="20" t="n">
        <v>0.09939877</v>
      </c>
      <c r="O9" s="18" t="n">
        <v>0</v>
      </c>
      <c r="P9" s="20" t="n">
        <v>0</v>
      </c>
      <c r="Q9" s="18" t="n">
        <v>31.07884677</v>
      </c>
      <c r="R9" s="20" t="n">
        <v>1.40455326</v>
      </c>
    </row>
    <row r="10" spans="1:18">
      <c r="A10" s="15" t="s">
        <v>432</v>
      </c>
      <c r="B10" s="17" t="n">
        <v>20058</v>
      </c>
      <c r="C10" s="18">
        <f>(17633.0/B10*100)</f>
        <v/>
      </c>
      <c r="D10" s="19" t="n">
        <v>2425</v>
      </c>
      <c r="E10" s="18" t="n">
        <v>52.65769792</v>
      </c>
      <c r="F10" s="20" t="n">
        <v>1.3809071</v>
      </c>
      <c r="G10" s="18" t="n">
        <v>28.39969367</v>
      </c>
      <c r="H10" s="20" t="n">
        <v>1.33831987</v>
      </c>
      <c r="I10" s="18" t="n">
        <v>0</v>
      </c>
      <c r="J10" s="20" t="n">
        <v>0</v>
      </c>
      <c r="K10" s="18" t="n">
        <v>0.48621641</v>
      </c>
      <c r="L10" s="20" t="n">
        <v>0.20247942</v>
      </c>
      <c r="M10" s="18" t="n">
        <v>0.04497702</v>
      </c>
      <c r="N10" s="20" t="n">
        <v>0.04498024</v>
      </c>
      <c r="O10" s="18" t="n">
        <v>0</v>
      </c>
      <c r="P10" s="20" t="n">
        <v>0</v>
      </c>
      <c r="Q10" s="18" t="n">
        <v>18.41141498</v>
      </c>
      <c r="R10" s="20" t="n">
        <v>1.13284381</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(6057.0/B12*100)</f>
        <v/>
      </c>
      <c r="D12" s="19" t="n">
        <v>837</v>
      </c>
      <c r="E12" s="18" t="n">
        <v>39.11557069</v>
      </c>
      <c r="F12" s="20" t="n">
        <v>1.80277481</v>
      </c>
      <c r="G12" s="18" t="n">
        <v>19.7208118</v>
      </c>
      <c r="H12" s="20" t="n">
        <v>1.41032876</v>
      </c>
      <c r="I12" s="18" t="n">
        <v>0</v>
      </c>
      <c r="J12" s="20" t="n">
        <v>0</v>
      </c>
      <c r="K12" s="18" t="n">
        <v>0</v>
      </c>
      <c r="L12" s="20" t="n">
        <v>0</v>
      </c>
      <c r="M12" s="18" t="n">
        <v>0</v>
      </c>
      <c r="N12" s="20" t="n">
        <v>0</v>
      </c>
      <c r="O12" s="18" t="n">
        <v>0</v>
      </c>
      <c r="P12" s="20" t="n">
        <v>0</v>
      </c>
      <c r="Q12" s="18" t="n">
        <v>41.16361751</v>
      </c>
      <c r="R12" s="20" t="n">
        <v>1.81393239</v>
      </c>
    </row>
    <row r="13" spans="1:18">
      <c r="A13" s="15" t="s">
        <v>435</v>
      </c>
      <c r="B13" s="17" t="n">
        <v>7161</v>
      </c>
      <c r="C13" s="18">
        <f>(6330.0/B13*100)</f>
        <v/>
      </c>
      <c r="D13" s="19" t="n">
        <v>831</v>
      </c>
      <c r="E13" s="18" t="n">
        <v>56.77481802</v>
      </c>
      <c r="F13" s="20" t="n">
        <v>2.01276259</v>
      </c>
      <c r="G13" s="18" t="n">
        <v>16.81956886</v>
      </c>
      <c r="H13" s="20" t="n">
        <v>1.68030233</v>
      </c>
      <c r="I13" s="18" t="n">
        <v>0</v>
      </c>
      <c r="J13" s="20" t="n">
        <v>0</v>
      </c>
      <c r="K13" s="18" t="n">
        <v>0.39018951</v>
      </c>
      <c r="L13" s="20" t="n">
        <v>0.28502373</v>
      </c>
      <c r="M13" s="18" t="n">
        <v>0</v>
      </c>
      <c r="N13" s="20" t="n">
        <v>0</v>
      </c>
      <c r="O13" s="18" t="n">
        <v>0</v>
      </c>
      <c r="P13" s="20" t="n">
        <v>0</v>
      </c>
      <c r="Q13" s="18" t="n">
        <v>26.01542362</v>
      </c>
      <c r="R13" s="20" t="n">
        <v>1.66790545</v>
      </c>
    </row>
    <row r="14" spans="1:18">
      <c r="A14" s="15" t="s">
        <v>436</v>
      </c>
      <c r="B14" s="17" t="n">
        <v>5587</v>
      </c>
      <c r="C14" s="18">
        <f>(4898.0/B14*100)</f>
        <v/>
      </c>
      <c r="D14" s="19" t="n">
        <v>689</v>
      </c>
      <c r="E14" s="18" t="n">
        <v>52.48228548</v>
      </c>
      <c r="F14" s="20" t="n">
        <v>2.14075426</v>
      </c>
      <c r="G14" s="18" t="n">
        <v>21.95106469</v>
      </c>
      <c r="H14" s="20" t="n">
        <v>1.66348025</v>
      </c>
      <c r="I14" s="18" t="n">
        <v>0</v>
      </c>
      <c r="J14" s="20" t="n">
        <v>0</v>
      </c>
      <c r="K14" s="18" t="n">
        <v>0</v>
      </c>
      <c r="L14" s="20" t="n">
        <v>0</v>
      </c>
      <c r="M14" s="18" t="n">
        <v>0</v>
      </c>
      <c r="N14" s="20" t="n">
        <v>0</v>
      </c>
      <c r="O14" s="18" t="n">
        <v>0</v>
      </c>
      <c r="P14" s="20" t="n">
        <v>0</v>
      </c>
      <c r="Q14" s="18" t="n">
        <v>25.56664984</v>
      </c>
      <c r="R14" s="20" t="n">
        <v>1.63437941</v>
      </c>
    </row>
    <row r="15" spans="1:18">
      <c r="A15" s="15" t="s">
        <v>437</v>
      </c>
      <c r="B15" s="17" t="n">
        <v>5882</v>
      </c>
      <c r="C15" s="18">
        <f>(5163.0/B15*100)</f>
        <v/>
      </c>
      <c r="D15" s="19" t="n">
        <v>719</v>
      </c>
      <c r="E15" s="18" t="n">
        <v>51.63893236</v>
      </c>
      <c r="F15" s="20" t="n">
        <v>1.65082251</v>
      </c>
      <c r="G15" s="18" t="n">
        <v>17.75394301</v>
      </c>
      <c r="H15" s="20" t="n">
        <v>1.4440478</v>
      </c>
      <c r="I15" s="18" t="n">
        <v>0</v>
      </c>
      <c r="J15" s="20" t="n">
        <v>0</v>
      </c>
      <c r="K15" s="18" t="n">
        <v>0.55107863</v>
      </c>
      <c r="L15" s="20" t="n">
        <v>0.27394415</v>
      </c>
      <c r="M15" s="18" t="n">
        <v>0</v>
      </c>
      <c r="N15" s="20" t="n">
        <v>0</v>
      </c>
      <c r="O15" s="18" t="n">
        <v>0</v>
      </c>
      <c r="P15" s="20" t="n">
        <v>0</v>
      </c>
      <c r="Q15" s="18" t="n">
        <v>30.056046</v>
      </c>
      <c r="R15" s="20" t="n">
        <v>1.68586735</v>
      </c>
    </row>
    <row r="16" spans="1:18">
      <c r="A16" s="15" t="s">
        <v>438</v>
      </c>
      <c r="B16" s="17" t="n">
        <v>6108</v>
      </c>
      <c r="C16" s="18">
        <f>(5360.0/B16*100)</f>
        <v/>
      </c>
      <c r="D16" s="19" t="n">
        <v>748</v>
      </c>
      <c r="E16" s="18" t="n">
        <v>30.49543061</v>
      </c>
      <c r="F16" s="20" t="n">
        <v>1.94541959</v>
      </c>
      <c r="G16" s="18" t="n">
        <v>29.61059797</v>
      </c>
      <c r="H16" s="20" t="n">
        <v>1.58484947</v>
      </c>
      <c r="I16" s="18" t="n">
        <v>0</v>
      </c>
      <c r="J16" s="20" t="n">
        <v>0</v>
      </c>
      <c r="K16" s="18" t="n">
        <v>0.68502224</v>
      </c>
      <c r="L16" s="20" t="n">
        <v>0.31120834</v>
      </c>
      <c r="M16" s="18" t="n">
        <v>0</v>
      </c>
      <c r="N16" s="20" t="n">
        <v>0</v>
      </c>
      <c r="O16" s="18" t="n">
        <v>0</v>
      </c>
      <c r="P16" s="20" t="n">
        <v>0</v>
      </c>
      <c r="Q16" s="18" t="n">
        <v>39.20894917</v>
      </c>
      <c r="R16" s="20" t="n">
        <v>1.70389668</v>
      </c>
    </row>
    <row r="17" spans="1:18">
      <c r="A17" s="15" t="s">
        <v>439</v>
      </c>
      <c r="B17" s="17" t="n">
        <v>6504</v>
      </c>
      <c r="C17" s="18">
        <f>(5713.0/B17*100)</f>
        <v/>
      </c>
      <c r="D17" s="19" t="n">
        <v>791</v>
      </c>
      <c r="E17" s="18" t="n">
        <v>42.79441328</v>
      </c>
      <c r="F17" s="20" t="n">
        <v>1.93010885</v>
      </c>
      <c r="G17" s="18" t="n">
        <v>17.56213972</v>
      </c>
      <c r="H17" s="20" t="n">
        <v>1.27886545</v>
      </c>
      <c r="I17" s="18" t="n">
        <v>0</v>
      </c>
      <c r="J17" s="20" t="n">
        <v>0</v>
      </c>
      <c r="K17" s="18" t="n">
        <v>0.25873249</v>
      </c>
      <c r="L17" s="20" t="n">
        <v>0.18324902</v>
      </c>
      <c r="M17" s="18" t="n">
        <v>0</v>
      </c>
      <c r="N17" s="20" t="n">
        <v>0</v>
      </c>
      <c r="O17" s="18" t="n">
        <v>0</v>
      </c>
      <c r="P17" s="20" t="n">
        <v>0</v>
      </c>
      <c r="Q17" s="18" t="n">
        <v>39.38471451</v>
      </c>
      <c r="R17" s="20" t="n">
        <v>1.95512641</v>
      </c>
    </row>
    <row r="18" spans="1:18">
      <c r="A18" s="15" t="s">
        <v>440</v>
      </c>
      <c r="B18" s="17" t="n">
        <v>5532</v>
      </c>
      <c r="C18" s="18">
        <f>(4855.0/B18*100)</f>
        <v/>
      </c>
      <c r="D18" s="19" t="n">
        <v>677</v>
      </c>
      <c r="E18" s="18" t="n">
        <v>39.25898716</v>
      </c>
      <c r="F18" s="20" t="n">
        <v>2.1145315</v>
      </c>
      <c r="G18" s="18" t="n">
        <v>30.03551501</v>
      </c>
      <c r="H18" s="20" t="n">
        <v>1.6409782</v>
      </c>
      <c r="I18" s="18" t="n">
        <v>0</v>
      </c>
      <c r="J18" s="20" t="n">
        <v>0</v>
      </c>
      <c r="K18" s="18" t="n">
        <v>0.12214556</v>
      </c>
      <c r="L18" s="20" t="n">
        <v>0.12078441</v>
      </c>
      <c r="M18" s="18" t="n">
        <v>0</v>
      </c>
      <c r="N18" s="20" t="n">
        <v>0</v>
      </c>
      <c r="O18" s="18" t="n">
        <v>0</v>
      </c>
      <c r="P18" s="20" t="n">
        <v>0</v>
      </c>
      <c r="Q18" s="18" t="n">
        <v>30.58335227</v>
      </c>
      <c r="R18" s="20" t="n">
        <v>2.15047692</v>
      </c>
    </row>
    <row r="19" spans="1:18">
      <c r="A19" s="15" t="s">
        <v>441</v>
      </c>
      <c r="B19" s="17" t="n">
        <v>5658</v>
      </c>
      <c r="C19" s="18">
        <f>(4977.0/B19*100)</f>
        <v/>
      </c>
      <c r="D19" s="19" t="n">
        <v>681</v>
      </c>
      <c r="E19" s="18" t="n">
        <v>41.95151508</v>
      </c>
      <c r="F19" s="20" t="n">
        <v>2.30293701</v>
      </c>
      <c r="G19" s="18" t="n">
        <v>11.90741708</v>
      </c>
      <c r="H19" s="20" t="n">
        <v>1.16708924</v>
      </c>
      <c r="I19" s="18" t="n">
        <v>0</v>
      </c>
      <c r="J19" s="20" t="n">
        <v>0</v>
      </c>
      <c r="K19" s="18" t="n">
        <v>0</v>
      </c>
      <c r="L19" s="20" t="n">
        <v>0</v>
      </c>
      <c r="M19" s="18" t="n">
        <v>0</v>
      </c>
      <c r="N19" s="20" t="n">
        <v>0</v>
      </c>
      <c r="O19" s="18" t="n">
        <v>0</v>
      </c>
      <c r="P19" s="20" t="n">
        <v>0</v>
      </c>
      <c r="Q19" s="18" t="n">
        <v>46.14106783</v>
      </c>
      <c r="R19" s="20" t="n">
        <v>2.37655334</v>
      </c>
    </row>
    <row r="20" spans="1:18">
      <c r="A20" s="15" t="s">
        <v>442</v>
      </c>
      <c r="B20" s="17" t="n">
        <v>3371</v>
      </c>
      <c r="C20" s="18">
        <f>(2971.0/B20*100)</f>
        <v/>
      </c>
      <c r="D20" s="19" t="n">
        <v>400</v>
      </c>
      <c r="E20" s="18" t="n">
        <v>56.42682007</v>
      </c>
      <c r="F20" s="20" t="n">
        <v>2.27513508</v>
      </c>
      <c r="G20" s="18" t="n">
        <v>15.35684026</v>
      </c>
      <c r="H20" s="20" t="n">
        <v>1.70492908</v>
      </c>
      <c r="I20" s="18" t="n">
        <v>0</v>
      </c>
      <c r="J20" s="20" t="n">
        <v>0</v>
      </c>
      <c r="K20" s="18" t="n">
        <v>0.23725498</v>
      </c>
      <c r="L20" s="20" t="n">
        <v>0.23915492</v>
      </c>
      <c r="M20" s="18" t="n">
        <v>0.60724216</v>
      </c>
      <c r="N20" s="20" t="n">
        <v>0.44980548</v>
      </c>
      <c r="O20" s="18" t="n">
        <v>0</v>
      </c>
      <c r="P20" s="20" t="n">
        <v>0</v>
      </c>
      <c r="Q20" s="18" t="n">
        <v>27.37184252</v>
      </c>
      <c r="R20" s="20" t="n">
        <v>2.33749945</v>
      </c>
    </row>
    <row r="21" spans="1:18">
      <c r="A21" s="15" t="s">
        <v>443</v>
      </c>
      <c r="B21" s="17" t="n">
        <v>5741</v>
      </c>
      <c r="C21" s="18">
        <f>(4795.0/B21*100)</f>
        <v/>
      </c>
      <c r="D21" s="19" t="n">
        <v>946</v>
      </c>
      <c r="E21" s="18" t="n">
        <v>49.23652985</v>
      </c>
      <c r="F21" s="20" t="n">
        <v>1.72399322</v>
      </c>
      <c r="G21" s="18" t="n">
        <v>27.21096964</v>
      </c>
      <c r="H21" s="20" t="n">
        <v>1.52036866</v>
      </c>
      <c r="I21" s="18" t="n">
        <v>0</v>
      </c>
      <c r="J21" s="20" t="n">
        <v>0</v>
      </c>
      <c r="K21" s="18" t="n">
        <v>0.09106713</v>
      </c>
      <c r="L21" s="20" t="n">
        <v>0.06556589</v>
      </c>
      <c r="M21" s="18" t="n">
        <v>0</v>
      </c>
      <c r="N21" s="20" t="n">
        <v>0</v>
      </c>
      <c r="O21" s="18" t="n">
        <v>0</v>
      </c>
      <c r="P21" s="20" t="n">
        <v>0</v>
      </c>
      <c r="Q21" s="18" t="n">
        <v>23.46143337</v>
      </c>
      <c r="R21" s="20" t="n">
        <v>1.31863387</v>
      </c>
    </row>
    <row r="22" spans="1:18">
      <c r="A22" s="15" t="s">
        <v>444</v>
      </c>
      <c r="B22" s="17" t="n">
        <v>6598</v>
      </c>
      <c r="C22" s="18">
        <f>(5775.0/B22*100)</f>
        <v/>
      </c>
      <c r="D22" s="19" t="n">
        <v>823</v>
      </c>
      <c r="E22" s="18" t="n">
        <v>45.35941457</v>
      </c>
      <c r="F22" s="20" t="n">
        <v>2.3035196</v>
      </c>
      <c r="G22" s="18" t="n">
        <v>19.63118815</v>
      </c>
      <c r="H22" s="20" t="n">
        <v>1.83169199</v>
      </c>
      <c r="I22" s="18" t="n">
        <v>0</v>
      </c>
      <c r="J22" s="20" t="n">
        <v>0</v>
      </c>
      <c r="K22" s="18" t="n">
        <v>1.10656377</v>
      </c>
      <c r="L22" s="20" t="n">
        <v>0.45128642</v>
      </c>
      <c r="M22" s="18" t="n">
        <v>0</v>
      </c>
      <c r="N22" s="20" t="n">
        <v>0</v>
      </c>
      <c r="O22" s="18" t="n">
        <v>0</v>
      </c>
      <c r="P22" s="20" t="n">
        <v>0</v>
      </c>
      <c r="Q22" s="18" t="n">
        <v>33.90283351</v>
      </c>
      <c r="R22" s="20" t="n">
        <v>1.96460459</v>
      </c>
    </row>
    <row r="23" spans="1:18">
      <c r="A23" s="15" t="s">
        <v>445</v>
      </c>
      <c r="B23" s="17" t="n">
        <v>11583</v>
      </c>
      <c r="C23" s="18">
        <f>(10185.0/B23*100)</f>
        <v/>
      </c>
      <c r="D23" s="19" t="n">
        <v>1398</v>
      </c>
      <c r="E23" s="18" t="n">
        <v>37.19529847</v>
      </c>
      <c r="F23" s="20" t="n">
        <v>1.55517531</v>
      </c>
      <c r="G23" s="18" t="n">
        <v>21.15345666</v>
      </c>
      <c r="H23" s="20" t="n">
        <v>1.30804312</v>
      </c>
      <c r="I23" s="18" t="n">
        <v>0</v>
      </c>
      <c r="J23" s="20" t="n">
        <v>0</v>
      </c>
      <c r="K23" s="18" t="n">
        <v>0.53273813</v>
      </c>
      <c r="L23" s="20" t="n">
        <v>0.243741</v>
      </c>
      <c r="M23" s="18" t="n">
        <v>1.1379052</v>
      </c>
      <c r="N23" s="20" t="n">
        <v>0.76634792</v>
      </c>
      <c r="O23" s="18" t="n">
        <v>0</v>
      </c>
      <c r="P23" s="20" t="n">
        <v>0</v>
      </c>
      <c r="Q23" s="18" t="n">
        <v>39.98060155</v>
      </c>
      <c r="R23" s="20" t="n">
        <v>1.93996206</v>
      </c>
    </row>
    <row r="24" spans="1:18">
      <c r="A24" s="15" t="s">
        <v>446</v>
      </c>
      <c r="B24" s="17" t="n">
        <v>6647</v>
      </c>
      <c r="C24" s="18">
        <f>(5846.0/B24*100)</f>
        <v/>
      </c>
      <c r="D24" s="19" t="n">
        <v>801</v>
      </c>
      <c r="E24" s="18" t="n">
        <v>38.07231568</v>
      </c>
      <c r="F24" s="20" t="n">
        <v>1.86090779</v>
      </c>
      <c r="G24" s="18" t="n">
        <v>25.41141205</v>
      </c>
      <c r="H24" s="20" t="n">
        <v>1.89525647</v>
      </c>
      <c r="I24" s="18" t="n">
        <v>0</v>
      </c>
      <c r="J24" s="20" t="n">
        <v>0</v>
      </c>
      <c r="K24" s="18" t="n">
        <v>0.22574627</v>
      </c>
      <c r="L24" s="20" t="n">
        <v>0.16032</v>
      </c>
      <c r="M24" s="18" t="n">
        <v>0</v>
      </c>
      <c r="N24" s="20" t="n">
        <v>0</v>
      </c>
      <c r="O24" s="18" t="n">
        <v>0</v>
      </c>
      <c r="P24" s="20" t="n">
        <v>0</v>
      </c>
      <c r="Q24" s="18" t="n">
        <v>36.290526</v>
      </c>
      <c r="R24" s="20" t="n">
        <v>1.89534487</v>
      </c>
    </row>
    <row r="25" spans="1:18">
      <c r="A25" s="15" t="s">
        <v>447</v>
      </c>
      <c r="B25" s="17" t="n">
        <v>5581</v>
      </c>
      <c r="C25" s="18">
        <f>(4886.0/B25*100)</f>
        <v/>
      </c>
      <c r="D25" s="19" t="n">
        <v>695</v>
      </c>
      <c r="E25" s="18" t="n">
        <v>52.39987526</v>
      </c>
      <c r="F25" s="20" t="n">
        <v>2.15226115</v>
      </c>
      <c r="G25" s="18" t="n">
        <v>23.55732856</v>
      </c>
      <c r="H25" s="20" t="n">
        <v>1.63643483</v>
      </c>
      <c r="I25" s="18" t="n">
        <v>0</v>
      </c>
      <c r="J25" s="20" t="n">
        <v>0</v>
      </c>
      <c r="K25" s="18" t="n">
        <v>0.13402635</v>
      </c>
      <c r="L25" s="20" t="n">
        <v>0.13398772</v>
      </c>
      <c r="M25" s="18" t="n">
        <v>0.14748223</v>
      </c>
      <c r="N25" s="20" t="n">
        <v>0.14700732</v>
      </c>
      <c r="O25" s="18" t="n">
        <v>0</v>
      </c>
      <c r="P25" s="20" t="n">
        <v>0</v>
      </c>
      <c r="Q25" s="18" t="n">
        <v>23.76128759</v>
      </c>
      <c r="R25" s="20" t="n">
        <v>1.92596728</v>
      </c>
    </row>
    <row r="26" spans="1:18">
      <c r="A26" s="15" t="s">
        <v>448</v>
      </c>
      <c r="B26" s="17" t="n">
        <v>4869</v>
      </c>
      <c r="C26" s="18">
        <f>(4264.0/B26*100)</f>
        <v/>
      </c>
      <c r="D26" s="19" t="n">
        <v>605</v>
      </c>
      <c r="E26" s="18" t="n">
        <v>52.37709461</v>
      </c>
      <c r="F26" s="20" t="n">
        <v>2.34929182</v>
      </c>
      <c r="G26" s="18" t="n">
        <v>24.44959386</v>
      </c>
      <c r="H26" s="20" t="n">
        <v>1.98949481</v>
      </c>
      <c r="I26" s="18" t="n">
        <v>0</v>
      </c>
      <c r="J26" s="20" t="n">
        <v>0</v>
      </c>
      <c r="K26" s="18" t="n">
        <v>0</v>
      </c>
      <c r="L26" s="20" t="n">
        <v>0</v>
      </c>
      <c r="M26" s="18" t="n">
        <v>0.12957423</v>
      </c>
      <c r="N26" s="20" t="n">
        <v>0.12900923</v>
      </c>
      <c r="O26" s="18" t="n">
        <v>0</v>
      </c>
      <c r="P26" s="20" t="n">
        <v>0</v>
      </c>
      <c r="Q26" s="18" t="n">
        <v>23.04373729</v>
      </c>
      <c r="R26" s="20" t="n">
        <v>1.63929156</v>
      </c>
    </row>
    <row r="27" spans="1:18">
      <c r="A27" s="15" t="s">
        <v>449</v>
      </c>
      <c r="B27" s="17" t="n">
        <v>5299</v>
      </c>
      <c r="C27" s="18">
        <f>(4635.0/B27*100)</f>
        <v/>
      </c>
      <c r="D27" s="19" t="n">
        <v>664</v>
      </c>
      <c r="E27" s="18" t="n">
        <v>36.4079829</v>
      </c>
      <c r="F27" s="20" t="n">
        <v>1.83311793</v>
      </c>
      <c r="G27" s="18" t="n">
        <v>21.3436885</v>
      </c>
      <c r="H27" s="20" t="n">
        <v>1.41835014</v>
      </c>
      <c r="I27" s="18" t="n">
        <v>0</v>
      </c>
      <c r="J27" s="20" t="n">
        <v>0</v>
      </c>
      <c r="K27" s="18" t="n">
        <v>0.15102393</v>
      </c>
      <c r="L27" s="20" t="n">
        <v>0.15195586</v>
      </c>
      <c r="M27" s="18" t="n">
        <v>0</v>
      </c>
      <c r="N27" s="20" t="n">
        <v>0</v>
      </c>
      <c r="O27" s="18" t="n">
        <v>0</v>
      </c>
      <c r="P27" s="20" t="n">
        <v>0</v>
      </c>
      <c r="Q27" s="18" t="n">
        <v>42.09730467</v>
      </c>
      <c r="R27" s="20" t="n">
        <v>2.10092339</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63.36059997</v>
      </c>
      <c r="F29" s="20" t="n">
        <v>2.00548851</v>
      </c>
      <c r="G29" s="18" t="n">
        <v>20.9805422</v>
      </c>
      <c r="H29" s="20" t="n">
        <v>1.69032344</v>
      </c>
      <c r="I29" s="18" t="n">
        <v>0</v>
      </c>
      <c r="J29" s="20" t="n">
        <v>0</v>
      </c>
      <c r="K29" s="18" t="n">
        <v>0.33875531</v>
      </c>
      <c r="L29" s="20" t="n">
        <v>0.23990196</v>
      </c>
      <c r="M29" s="18" t="n">
        <v>0</v>
      </c>
      <c r="N29" s="20" t="n">
        <v>0</v>
      </c>
      <c r="O29" s="18" t="n">
        <v>0</v>
      </c>
      <c r="P29" s="20" t="n">
        <v>0</v>
      </c>
      <c r="Q29" s="18" t="n">
        <v>15.32010252</v>
      </c>
      <c r="R29" s="20" t="n">
        <v>1.52194681</v>
      </c>
    </row>
    <row r="30" spans="1:18">
      <c r="A30" s="15" t="s">
        <v>452</v>
      </c>
      <c r="B30" s="17" t="n">
        <v>4520</v>
      </c>
      <c r="C30" s="18">
        <f>(3954.0/B30*100)</f>
        <v/>
      </c>
      <c r="D30" s="19" t="n">
        <v>566</v>
      </c>
      <c r="E30" s="18" t="n">
        <v>45.34786519</v>
      </c>
      <c r="F30" s="20" t="n">
        <v>2.225067</v>
      </c>
      <c r="G30" s="18" t="n">
        <v>19.33305362</v>
      </c>
      <c r="H30" s="20" t="n">
        <v>1.68067587</v>
      </c>
      <c r="I30" s="18" t="n">
        <v>0</v>
      </c>
      <c r="J30" s="20" t="n">
        <v>0</v>
      </c>
      <c r="K30" s="18" t="n">
        <v>0.24913138</v>
      </c>
      <c r="L30" s="20" t="n">
        <v>0.253556</v>
      </c>
      <c r="M30" s="18" t="n">
        <v>0</v>
      </c>
      <c r="N30" s="20" t="n">
        <v>0</v>
      </c>
      <c r="O30" s="18" t="n">
        <v>0</v>
      </c>
      <c r="P30" s="20" t="n">
        <v>0</v>
      </c>
      <c r="Q30" s="18" t="n">
        <v>35.0699498</v>
      </c>
      <c r="R30" s="20" t="n">
        <v>2.05540197</v>
      </c>
    </row>
    <row r="31" spans="1:18">
      <c r="A31" s="15" t="s">
        <v>453</v>
      </c>
      <c r="B31" s="17" t="n">
        <v>5456</v>
      </c>
      <c r="C31" s="18">
        <f>(4781.0/B31*100)</f>
        <v/>
      </c>
      <c r="D31" s="19" t="n">
        <v>675</v>
      </c>
      <c r="E31" s="18" t="n">
        <v>36.61925467</v>
      </c>
      <c r="F31" s="20" t="n">
        <v>1.7717303</v>
      </c>
      <c r="G31" s="18" t="n">
        <v>35.94262479</v>
      </c>
      <c r="H31" s="20" t="n">
        <v>1.73363078</v>
      </c>
      <c r="I31" s="18" t="n">
        <v>0</v>
      </c>
      <c r="J31" s="20" t="n">
        <v>0</v>
      </c>
      <c r="K31" s="18" t="n">
        <v>0</v>
      </c>
      <c r="L31" s="20" t="n">
        <v>0</v>
      </c>
      <c r="M31" s="18" t="n">
        <v>0</v>
      </c>
      <c r="N31" s="20" t="n">
        <v>0</v>
      </c>
      <c r="O31" s="18" t="n">
        <v>0</v>
      </c>
      <c r="P31" s="20" t="n">
        <v>0</v>
      </c>
      <c r="Q31" s="18" t="n">
        <v>27.43812055</v>
      </c>
      <c r="R31" s="20" t="n">
        <v>1.61741543</v>
      </c>
    </row>
    <row r="32" spans="1:18">
      <c r="A32" s="15" t="s">
        <v>454</v>
      </c>
      <c r="B32" s="17" t="n">
        <v>4478</v>
      </c>
      <c r="C32" s="18">
        <f>(3718.0/B32*100)</f>
        <v/>
      </c>
      <c r="D32" s="19" t="n">
        <v>760</v>
      </c>
      <c r="E32" s="18" t="n">
        <v>38.18783607</v>
      </c>
      <c r="F32" s="20" t="n">
        <v>1.57846089</v>
      </c>
      <c r="G32" s="18" t="n">
        <v>25.56159523</v>
      </c>
      <c r="H32" s="20" t="n">
        <v>1.50147282</v>
      </c>
      <c r="I32" s="18" t="n">
        <v>0</v>
      </c>
      <c r="J32" s="20" t="n">
        <v>0</v>
      </c>
      <c r="K32" s="18" t="n">
        <v>0.13595364</v>
      </c>
      <c r="L32" s="20" t="n">
        <v>0.11863941</v>
      </c>
      <c r="M32" s="18" t="n">
        <v>0</v>
      </c>
      <c r="N32" s="20" t="n">
        <v>0</v>
      </c>
      <c r="O32" s="18" t="n">
        <v>0</v>
      </c>
      <c r="P32" s="20" t="n">
        <v>0</v>
      </c>
      <c r="Q32" s="18" t="n">
        <v>36.11461507</v>
      </c>
      <c r="R32" s="20" t="n">
        <v>1.93829098</v>
      </c>
    </row>
    <row r="33" spans="1:18">
      <c r="A33" s="15" t="s">
        <v>455</v>
      </c>
      <c r="B33" s="17" t="n">
        <v>7325</v>
      </c>
      <c r="C33" s="18">
        <f>(6425.0/B33*100)</f>
        <v/>
      </c>
      <c r="D33" s="19" t="n">
        <v>900</v>
      </c>
      <c r="E33" s="18" t="n">
        <v>37.31328687</v>
      </c>
      <c r="F33" s="20" t="n">
        <v>1.80040793</v>
      </c>
      <c r="G33" s="18" t="n">
        <v>25.39986406</v>
      </c>
      <c r="H33" s="20" t="n">
        <v>1.83131118</v>
      </c>
      <c r="I33" s="18" t="n">
        <v>0</v>
      </c>
      <c r="J33" s="20" t="n">
        <v>0</v>
      </c>
      <c r="K33" s="18" t="n">
        <v>0</v>
      </c>
      <c r="L33" s="20" t="n">
        <v>0</v>
      </c>
      <c r="M33" s="18" t="n">
        <v>0</v>
      </c>
      <c r="N33" s="20" t="n">
        <v>0</v>
      </c>
      <c r="O33" s="18" t="n">
        <v>0</v>
      </c>
      <c r="P33" s="20" t="n">
        <v>0</v>
      </c>
      <c r="Q33" s="18" t="n">
        <v>37.28684907</v>
      </c>
      <c r="R33" s="20" t="n">
        <v>2.07401607</v>
      </c>
    </row>
    <row r="34" spans="1:18">
      <c r="A34" s="15" t="s">
        <v>456</v>
      </c>
      <c r="B34" s="17" t="n">
        <v>6350</v>
      </c>
      <c r="C34" s="18">
        <f>(5570.0/B34*100)</f>
        <v/>
      </c>
      <c r="D34" s="19" t="n">
        <v>780</v>
      </c>
      <c r="E34" s="18" t="n">
        <v>47.3984452</v>
      </c>
      <c r="F34" s="20" t="n">
        <v>1.82047716</v>
      </c>
      <c r="G34" s="18" t="n">
        <v>11.94263738</v>
      </c>
      <c r="H34" s="20" t="n">
        <v>1.1357292</v>
      </c>
      <c r="I34" s="18" t="n">
        <v>0</v>
      </c>
      <c r="J34" s="20" t="n">
        <v>0</v>
      </c>
      <c r="K34" s="18" t="n">
        <v>0.09680034</v>
      </c>
      <c r="L34" s="20" t="n">
        <v>0.0971019</v>
      </c>
      <c r="M34" s="18" t="n">
        <v>0.11334967</v>
      </c>
      <c r="N34" s="20" t="n">
        <v>0.11305991</v>
      </c>
      <c r="O34" s="18" t="n">
        <v>0</v>
      </c>
      <c r="P34" s="20" t="n">
        <v>0</v>
      </c>
      <c r="Q34" s="18" t="n">
        <v>40.44876742</v>
      </c>
      <c r="R34" s="20" t="n">
        <v>1.88390962</v>
      </c>
    </row>
    <row r="35" spans="1:18">
      <c r="A35" s="15" t="s">
        <v>457</v>
      </c>
      <c r="B35" s="17" t="n">
        <v>6406</v>
      </c>
      <c r="C35" s="18">
        <f>(5613.0/B35*100)</f>
        <v/>
      </c>
      <c r="D35" s="19" t="n">
        <v>793</v>
      </c>
      <c r="E35" s="18" t="n">
        <v>51.51747519</v>
      </c>
      <c r="F35" s="20" t="n">
        <v>2.03168602</v>
      </c>
      <c r="G35" s="18" t="n">
        <v>20.02437686</v>
      </c>
      <c r="H35" s="20" t="n">
        <v>1.83724714</v>
      </c>
      <c r="I35" s="18" t="n">
        <v>0</v>
      </c>
      <c r="J35" s="20" t="n">
        <v>0</v>
      </c>
      <c r="K35" s="18" t="n">
        <v>0.11646324</v>
      </c>
      <c r="L35" s="20" t="n">
        <v>0.08272868</v>
      </c>
      <c r="M35" s="18" t="n">
        <v>0.41830002</v>
      </c>
      <c r="N35" s="20" t="n">
        <v>0.28583537</v>
      </c>
      <c r="O35" s="18" t="n">
        <v>0</v>
      </c>
      <c r="P35" s="20" t="n">
        <v>0</v>
      </c>
      <c r="Q35" s="18" t="n">
        <v>27.92338468</v>
      </c>
      <c r="R35" s="20" t="n">
        <v>1.89199588</v>
      </c>
    </row>
    <row r="36" spans="1:18">
      <c r="A36" s="15" t="s">
        <v>458</v>
      </c>
      <c r="B36" s="17" t="n">
        <v>6736</v>
      </c>
      <c r="C36" s="18">
        <f>(5927.0/B36*100)</f>
        <v/>
      </c>
      <c r="D36" s="19" t="n">
        <v>809</v>
      </c>
      <c r="E36" s="18" t="n">
        <v>49.09207302</v>
      </c>
      <c r="F36" s="20" t="n">
        <v>1.95136139</v>
      </c>
      <c r="G36" s="18" t="n">
        <v>24.1626174</v>
      </c>
      <c r="H36" s="20" t="n">
        <v>1.6145706</v>
      </c>
      <c r="I36" s="18" t="n">
        <v>0</v>
      </c>
      <c r="J36" s="20" t="n">
        <v>0</v>
      </c>
      <c r="K36" s="18" t="n">
        <v>0.180589</v>
      </c>
      <c r="L36" s="20" t="n">
        <v>0.1990066</v>
      </c>
      <c r="M36" s="18" t="n">
        <v>0</v>
      </c>
      <c r="N36" s="20" t="n">
        <v>0</v>
      </c>
      <c r="O36" s="18" t="n">
        <v>0</v>
      </c>
      <c r="P36" s="20" t="n">
        <v>0</v>
      </c>
      <c r="Q36" s="18" t="n">
        <v>26.56472057</v>
      </c>
      <c r="R36" s="20" t="n">
        <v>1.69536281</v>
      </c>
    </row>
    <row r="37" spans="1:18">
      <c r="A37" s="15" t="s">
        <v>459</v>
      </c>
      <c r="B37" s="17" t="n">
        <v>5458</v>
      </c>
      <c r="C37" s="18">
        <f>(4795.0/B37*100)</f>
        <v/>
      </c>
      <c r="D37" s="19" t="n">
        <v>663</v>
      </c>
      <c r="E37" s="18" t="n">
        <v>42.07419656</v>
      </c>
      <c r="F37" s="20" t="n">
        <v>1.96558712</v>
      </c>
      <c r="G37" s="18" t="n">
        <v>19.74761946</v>
      </c>
      <c r="H37" s="20" t="n">
        <v>2.04282162</v>
      </c>
      <c r="I37" s="18" t="n">
        <v>0</v>
      </c>
      <c r="J37" s="20" t="n">
        <v>0</v>
      </c>
      <c r="K37" s="18" t="n">
        <v>0.7336016</v>
      </c>
      <c r="L37" s="20" t="n">
        <v>0.32214285</v>
      </c>
      <c r="M37" s="18" t="n">
        <v>0.12221127</v>
      </c>
      <c r="N37" s="20" t="n">
        <v>0.12215491</v>
      </c>
      <c r="O37" s="18" t="n">
        <v>0</v>
      </c>
      <c r="P37" s="20" t="n">
        <v>0</v>
      </c>
      <c r="Q37" s="18" t="n">
        <v>37.32237111</v>
      </c>
      <c r="R37" s="20" t="n">
        <v>2.01445021</v>
      </c>
    </row>
    <row r="38" spans="1:18">
      <c r="A38" s="15" t="s">
        <v>460</v>
      </c>
      <c r="B38" s="17" t="n">
        <v>5860</v>
      </c>
      <c r="C38" s="18">
        <f>(4885.0/B38*100)</f>
        <v/>
      </c>
      <c r="D38" s="19" t="n">
        <v>975</v>
      </c>
      <c r="E38" s="18" t="n">
        <v>45.45842869</v>
      </c>
      <c r="F38" s="20" t="n">
        <v>1.97049049</v>
      </c>
      <c r="G38" s="18" t="n">
        <v>17.45424295</v>
      </c>
      <c r="H38" s="20" t="n">
        <v>1.36948571</v>
      </c>
      <c r="I38" s="18" t="n">
        <v>0</v>
      </c>
      <c r="J38" s="20" t="n">
        <v>0</v>
      </c>
      <c r="K38" s="18" t="n">
        <v>0.2035128</v>
      </c>
      <c r="L38" s="20" t="n">
        <v>0.13206634</v>
      </c>
      <c r="M38" s="18" t="n">
        <v>0.11235717</v>
      </c>
      <c r="N38" s="20" t="n">
        <v>0.11229309</v>
      </c>
      <c r="O38" s="18" t="n">
        <v>0</v>
      </c>
      <c r="P38" s="20" t="n">
        <v>0</v>
      </c>
      <c r="Q38" s="18" t="n">
        <v>36.77145839</v>
      </c>
      <c r="R38" s="20" t="n">
        <v>1.75084736</v>
      </c>
    </row>
    <row r="39" spans="1:18">
      <c r="A39" s="15" t="s">
        <v>461</v>
      </c>
      <c r="B39" s="17" t="n">
        <v>5895</v>
      </c>
      <c r="C39" s="18">
        <f>(5158.0/B39*100)</f>
        <v/>
      </c>
      <c r="D39" s="19" t="n">
        <v>737</v>
      </c>
      <c r="E39" s="18" t="n">
        <v>33.16212668</v>
      </c>
      <c r="F39" s="20" t="n">
        <v>1.77112822</v>
      </c>
      <c r="G39" s="18" t="n">
        <v>34.95562865</v>
      </c>
      <c r="H39" s="20" t="n">
        <v>2.22828471</v>
      </c>
      <c r="I39" s="18" t="n">
        <v>0</v>
      </c>
      <c r="J39" s="20" t="n">
        <v>0</v>
      </c>
      <c r="K39" s="18" t="n">
        <v>0.41961814</v>
      </c>
      <c r="L39" s="20" t="n">
        <v>0.31687883</v>
      </c>
      <c r="M39" s="18" t="n">
        <v>0</v>
      </c>
      <c r="N39" s="20" t="n">
        <v>0</v>
      </c>
      <c r="O39" s="18" t="n">
        <v>0</v>
      </c>
      <c r="P39" s="20" t="n">
        <v>0</v>
      </c>
      <c r="Q39" s="18" t="n">
        <v>31.46262653</v>
      </c>
      <c r="R39" s="20" t="n">
        <v>2.12446456</v>
      </c>
    </row>
    <row r="40" spans="1:18">
      <c r="A40" s="15" t="s">
        <v>462</v>
      </c>
      <c r="B40" s="17" t="n">
        <v>14157</v>
      </c>
      <c r="C40" s="18">
        <f>(12379.0/B40*100)</f>
        <v/>
      </c>
      <c r="D40" s="19" t="n">
        <v>1778</v>
      </c>
      <c r="E40" s="18" t="n">
        <v>46.44692126</v>
      </c>
      <c r="F40" s="20" t="n">
        <v>2.28756341</v>
      </c>
      <c r="G40" s="18" t="n">
        <v>21.27739376</v>
      </c>
      <c r="H40" s="20" t="n">
        <v>1.77052861</v>
      </c>
      <c r="I40" s="18" t="n">
        <v>0</v>
      </c>
      <c r="J40" s="20" t="n">
        <v>0</v>
      </c>
      <c r="K40" s="18" t="n">
        <v>0.1257925</v>
      </c>
      <c r="L40" s="20" t="n">
        <v>0.04408594</v>
      </c>
      <c r="M40" s="18" t="n">
        <v>0.2753468</v>
      </c>
      <c r="N40" s="20" t="n">
        <v>0.21579303</v>
      </c>
      <c r="O40" s="18" t="n">
        <v>0</v>
      </c>
      <c r="P40" s="20" t="n">
        <v>0</v>
      </c>
      <c r="Q40" s="18" t="n">
        <v>31.87454568</v>
      </c>
      <c r="R40" s="20" t="n">
        <v>2.41582225</v>
      </c>
    </row>
    <row r="41" spans="1:18">
      <c r="A41" s="15" t="s">
        <v>463</v>
      </c>
      <c r="B41" s="17" t="n">
        <v>5712</v>
      </c>
      <c r="C41" s="18">
        <f>(5041.0/B41*100)</f>
        <v/>
      </c>
      <c r="D41" s="19" t="n">
        <v>671</v>
      </c>
      <c r="E41" s="18" t="n">
        <v>68.32759118</v>
      </c>
      <c r="F41" s="20" t="n">
        <v>2.11405437</v>
      </c>
      <c r="G41" s="18" t="n">
        <v>20.10589189</v>
      </c>
      <c r="H41" s="20" t="n">
        <v>1.99010975</v>
      </c>
      <c r="I41" s="18" t="n">
        <v>0</v>
      </c>
      <c r="J41" s="20" t="n">
        <v>0</v>
      </c>
      <c r="K41" s="18" t="n">
        <v>0</v>
      </c>
      <c r="L41" s="20" t="n">
        <v>0</v>
      </c>
      <c r="M41" s="18" t="n">
        <v>0</v>
      </c>
      <c r="N41" s="20" t="n">
        <v>0</v>
      </c>
      <c r="O41" s="18" t="n">
        <v>0</v>
      </c>
      <c r="P41" s="20" t="n">
        <v>0</v>
      </c>
      <c r="Q41" s="18" t="n">
        <v>11.56651693</v>
      </c>
      <c r="R41" s="20" t="n">
        <v>1.27772741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(8632.0/B48*100)</f>
        <v/>
      </c>
      <c r="D48" s="19" t="n">
        <v>1209</v>
      </c>
      <c r="E48" s="18" t="n">
        <v>57.32506545</v>
      </c>
      <c r="F48" s="20" t="n">
        <v>2.45393005</v>
      </c>
      <c r="G48" s="18" t="n">
        <v>25.74439189</v>
      </c>
      <c r="H48" s="20" t="n">
        <v>2.24331223</v>
      </c>
      <c r="I48" s="18" t="n">
        <v>0</v>
      </c>
      <c r="J48" s="20" t="n">
        <v>0</v>
      </c>
      <c r="K48" s="18" t="n">
        <v>0.29228305</v>
      </c>
      <c r="L48" s="20" t="n">
        <v>0.25416643</v>
      </c>
      <c r="M48" s="18" t="n">
        <v>0.14486934</v>
      </c>
      <c r="N48" s="20" t="n">
        <v>0.14507645</v>
      </c>
      <c r="O48" s="18" t="n">
        <v>0</v>
      </c>
      <c r="P48" s="20" t="n">
        <v>0</v>
      </c>
      <c r="Q48" s="18" t="n">
        <v>16.49339028</v>
      </c>
      <c r="R48" s="20" t="n">
        <v>1.4056605</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(5085.0/B51*100)</f>
        <v/>
      </c>
      <c r="D51" s="19" t="n">
        <v>724</v>
      </c>
      <c r="E51" s="18" t="n">
        <v>33.89032958</v>
      </c>
      <c r="F51" s="20" t="n">
        <v>1.75576725</v>
      </c>
      <c r="G51" s="18" t="n">
        <v>23.02845709</v>
      </c>
      <c r="H51" s="20" t="n">
        <v>1.59907532</v>
      </c>
      <c r="I51" s="18" t="n">
        <v>0</v>
      </c>
      <c r="J51" s="20" t="n">
        <v>0</v>
      </c>
      <c r="K51" s="18" t="n">
        <v>0</v>
      </c>
      <c r="L51" s="20" t="n">
        <v>0</v>
      </c>
      <c r="M51" s="18" t="n">
        <v>0</v>
      </c>
      <c r="N51" s="20" t="n">
        <v>0</v>
      </c>
      <c r="O51" s="18" t="n">
        <v>0</v>
      </c>
      <c r="P51" s="20" t="n">
        <v>0</v>
      </c>
      <c r="Q51" s="18" t="n">
        <v>43.08121334</v>
      </c>
      <c r="R51" s="20" t="n">
        <v>1.89958524</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61.41184085</v>
      </c>
      <c r="F55" s="20" t="n">
        <v>2.05652903</v>
      </c>
      <c r="G55" s="18" t="n">
        <v>25.19653805</v>
      </c>
      <c r="H55" s="20" t="n">
        <v>1.69650402</v>
      </c>
      <c r="I55" s="18" t="n">
        <v>0</v>
      </c>
      <c r="J55" s="20" t="n">
        <v>0</v>
      </c>
      <c r="K55" s="18" t="n">
        <v>0.43320348</v>
      </c>
      <c r="L55" s="20" t="n">
        <v>0.32024206</v>
      </c>
      <c r="M55" s="18" t="n">
        <v>0.16294969</v>
      </c>
      <c r="N55" s="20" t="n">
        <v>0.16220612</v>
      </c>
      <c r="O55" s="18" t="n">
        <v>0</v>
      </c>
      <c r="P55" s="20" t="n">
        <v>0</v>
      </c>
      <c r="Q55" s="18" t="n">
        <v>12.79546794</v>
      </c>
      <c r="R55" s="20" t="n">
        <v>1.37099005</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(5679.0/B61*100)</f>
        <v/>
      </c>
      <c r="D61" s="19" t="n">
        <v>846</v>
      </c>
      <c r="E61" s="18" t="n">
        <v>42.96678761</v>
      </c>
      <c r="F61" s="20" t="n">
        <v>1.98056275</v>
      </c>
      <c r="G61" s="18" t="n">
        <v>21.61137333</v>
      </c>
      <c r="H61" s="20" t="n">
        <v>1.59108214</v>
      </c>
      <c r="I61" s="18" t="n">
        <v>0</v>
      </c>
      <c r="J61" s="20" t="n">
        <v>0</v>
      </c>
      <c r="K61" s="18" t="n">
        <v>0.18280751</v>
      </c>
      <c r="L61" s="20" t="n">
        <v>0.15800881</v>
      </c>
      <c r="M61" s="18" t="n">
        <v>0</v>
      </c>
      <c r="N61" s="20" t="n">
        <v>0</v>
      </c>
      <c r="O61" s="18" t="n">
        <v>0</v>
      </c>
      <c r="P61" s="20" t="n">
        <v>0</v>
      </c>
      <c r="Q61" s="18" t="n">
        <v>35.23903155</v>
      </c>
      <c r="R61" s="20" t="n">
        <v>1.90220572</v>
      </c>
    </row>
    <row r="62" spans="1:18">
      <c r="A62" s="15" t="s">
        <v>486</v>
      </c>
      <c r="B62" s="17" t="n">
        <v>4476</v>
      </c>
      <c r="C62" s="18">
        <f>(3929.0/B62*100)</f>
        <v/>
      </c>
      <c r="D62" s="19" t="n">
        <v>547</v>
      </c>
      <c r="E62" s="18" t="n">
        <v>62.52899467</v>
      </c>
      <c r="F62" s="20" t="n">
        <v>1.97312433</v>
      </c>
      <c r="G62" s="18" t="n">
        <v>25.16052872</v>
      </c>
      <c r="H62" s="20" t="n">
        <v>1.81251176</v>
      </c>
      <c r="I62" s="18" t="n">
        <v>0</v>
      </c>
      <c r="J62" s="20" t="n">
        <v>0</v>
      </c>
      <c r="K62" s="18" t="n">
        <v>0.18782305</v>
      </c>
      <c r="L62" s="20" t="n">
        <v>0.18735461</v>
      </c>
      <c r="M62" s="18" t="n">
        <v>0.36505736</v>
      </c>
      <c r="N62" s="20" t="n">
        <v>0.25837823</v>
      </c>
      <c r="O62" s="18" t="n">
        <v>0</v>
      </c>
      <c r="P62" s="20" t="n">
        <v>0</v>
      </c>
      <c r="Q62" s="18" t="n">
        <v>11.7575962</v>
      </c>
      <c r="R62" s="20" t="n">
        <v>1.26456358</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(5003.0/B67*100)</f>
        <v/>
      </c>
      <c r="D67" s="19" t="n">
        <v>662</v>
      </c>
      <c r="E67" s="18" t="n">
        <v>25.87096047</v>
      </c>
      <c r="F67" s="20" t="n">
        <v>1.94876478</v>
      </c>
      <c r="G67" s="18" t="n">
        <v>15.33520996</v>
      </c>
      <c r="H67" s="20" t="n">
        <v>1.42122946</v>
      </c>
      <c r="I67" s="18" t="n">
        <v>0</v>
      </c>
      <c r="J67" s="20" t="n">
        <v>0</v>
      </c>
      <c r="K67" s="18" t="n">
        <v>1.40711267</v>
      </c>
      <c r="L67" s="20" t="n">
        <v>0.45315301</v>
      </c>
      <c r="M67" s="18" t="n">
        <v>0.55165743</v>
      </c>
      <c r="N67" s="20" t="n">
        <v>0.27282484</v>
      </c>
      <c r="O67" s="18" t="n">
        <v>0</v>
      </c>
      <c r="P67" s="20" t="n">
        <v>0</v>
      </c>
      <c r="Q67" s="18" t="n">
        <v>56.83505947</v>
      </c>
      <c r="R67" s="20" t="n">
        <v>1.93829651</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(5332.0/B72*100)</f>
        <v/>
      </c>
      <c r="D72" s="19" t="n">
        <v>704</v>
      </c>
      <c r="E72" s="18" t="n">
        <v>49.21660849</v>
      </c>
      <c r="F72" s="20" t="n">
        <v>2.66042269</v>
      </c>
      <c r="G72" s="18" t="n">
        <v>25.7853764</v>
      </c>
      <c r="H72" s="20" t="n">
        <v>1.96668521</v>
      </c>
      <c r="I72" s="18" t="n">
        <v>0</v>
      </c>
      <c r="J72" s="20" t="n">
        <v>0</v>
      </c>
      <c r="K72" s="18" t="n">
        <v>0.18952504</v>
      </c>
      <c r="L72" s="20" t="n">
        <v>0.18198897</v>
      </c>
      <c r="M72" s="18" t="n">
        <v>0.22644621</v>
      </c>
      <c r="N72" s="20" t="n">
        <v>0.13256788</v>
      </c>
      <c r="O72" s="18" t="n">
        <v>0</v>
      </c>
      <c r="P72" s="20" t="n">
        <v>0</v>
      </c>
      <c r="Q72" s="18" t="n">
        <v>24.58204386</v>
      </c>
      <c r="R72" s="20" t="n">
        <v>1.94095475</v>
      </c>
    </row>
    <row r="73" spans="1:18">
      <c r="A73" s="15" t="s">
        <v>497</v>
      </c>
      <c r="B73" s="17" t="n">
        <v>6115</v>
      </c>
      <c r="C73" s="18">
        <f>(5346.0/B73*100)</f>
        <v/>
      </c>
      <c r="D73" s="19" t="n">
        <v>769</v>
      </c>
      <c r="E73" s="18" t="n">
        <v>57.71474953</v>
      </c>
      <c r="F73" s="20" t="n">
        <v>2.13773951</v>
      </c>
      <c r="G73" s="18" t="n">
        <v>30.06349609</v>
      </c>
      <c r="H73" s="20" t="n">
        <v>1.97480644</v>
      </c>
      <c r="I73" s="18" t="n">
        <v>0</v>
      </c>
      <c r="J73" s="20" t="n">
        <v>0</v>
      </c>
      <c r="K73" s="18" t="n">
        <v>0.6709897</v>
      </c>
      <c r="L73" s="20" t="n">
        <v>0.2224111</v>
      </c>
      <c r="M73" s="18" t="n">
        <v>0</v>
      </c>
      <c r="N73" s="20" t="n">
        <v>0</v>
      </c>
      <c r="O73" s="18" t="n">
        <v>0</v>
      </c>
      <c r="P73" s="20" t="n">
        <v>0</v>
      </c>
      <c r="Q73" s="18" t="n">
        <v>11.55076469</v>
      </c>
      <c r="R73" s="20" t="n">
        <v>1.35059488</v>
      </c>
    </row>
    <row r="74" spans="1:18">
      <c r="A74" s="15" t="s">
        <v>498</v>
      </c>
      <c r="B74" s="17" t="n">
        <v>7708</v>
      </c>
      <c r="C74" s="18">
        <f>(6752.0/B74*100)</f>
        <v/>
      </c>
      <c r="D74" s="19" t="n">
        <v>956</v>
      </c>
      <c r="E74" s="18" t="n">
        <v>61.58610979</v>
      </c>
      <c r="F74" s="20" t="n">
        <v>1.9975908</v>
      </c>
      <c r="G74" s="18" t="n">
        <v>27.16541642</v>
      </c>
      <c r="H74" s="20" t="n">
        <v>1.82635738</v>
      </c>
      <c r="I74" s="18" t="n">
        <v>0</v>
      </c>
      <c r="J74" s="20" t="n">
        <v>0</v>
      </c>
      <c r="K74" s="18" t="n">
        <v>0.26412652</v>
      </c>
      <c r="L74" s="20" t="n">
        <v>0.14082213</v>
      </c>
      <c r="M74" s="18" t="n">
        <v>0</v>
      </c>
      <c r="N74" s="20" t="n">
        <v>0</v>
      </c>
      <c r="O74" s="18" t="n">
        <v>0</v>
      </c>
      <c r="P74" s="20" t="n">
        <v>0</v>
      </c>
      <c r="Q74" s="18" t="n">
        <v>10.98434726</v>
      </c>
      <c r="R74" s="20" t="n">
        <v>1.11345461</v>
      </c>
    </row>
    <row r="75" spans="1:18">
      <c r="A75" s="15" t="s">
        <v>499</v>
      </c>
      <c r="B75" s="17" t="n">
        <v>8249</v>
      </c>
      <c r="C75" s="18">
        <f>(7260.0/B75*100)</f>
        <v/>
      </c>
      <c r="D75" s="19" t="n">
        <v>989</v>
      </c>
      <c r="E75" s="18" t="n">
        <v>82.183865</v>
      </c>
      <c r="F75" s="20" t="n">
        <v>1.16547908</v>
      </c>
      <c r="G75" s="18" t="n">
        <v>11.70723676</v>
      </c>
      <c r="H75" s="20" t="n">
        <v>0.97290519</v>
      </c>
      <c r="I75" s="18" t="n">
        <v>0</v>
      </c>
      <c r="J75" s="20" t="n">
        <v>0</v>
      </c>
      <c r="K75" s="18" t="n">
        <v>0.14009551</v>
      </c>
      <c r="L75" s="20" t="n">
        <v>0.14005376</v>
      </c>
      <c r="M75" s="18" t="n">
        <v>0.66996304</v>
      </c>
      <c r="N75" s="20" t="n">
        <v>0.34644521</v>
      </c>
      <c r="O75" s="18" t="n">
        <v>0</v>
      </c>
      <c r="P75" s="20" t="n">
        <v>0</v>
      </c>
      <c r="Q75" s="18" t="n">
        <v>5.29883969</v>
      </c>
      <c r="R75" s="20" t="n">
        <v>0.79608941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(28428.0/B82*100)</f>
        <v/>
      </c>
      <c r="D82" s="19" t="n">
        <v>3902</v>
      </c>
      <c r="E82" s="18" t="n">
        <v>48.27468498</v>
      </c>
      <c r="F82" s="20" t="n">
        <v>1.08537454</v>
      </c>
      <c r="G82" s="18" t="n">
        <v>24.66092245</v>
      </c>
      <c r="H82" s="20" t="n">
        <v>0.95383901</v>
      </c>
      <c r="I82" s="18" t="n">
        <v>0</v>
      </c>
      <c r="J82" s="20" t="n">
        <v>0</v>
      </c>
      <c r="K82" s="18" t="n">
        <v>0.19918539</v>
      </c>
      <c r="L82" s="20" t="n">
        <v>0.10617365</v>
      </c>
      <c r="M82" s="18" t="n">
        <v>0.07667907</v>
      </c>
      <c r="N82" s="20" t="n">
        <v>0.05065402</v>
      </c>
      <c r="O82" s="18" t="n">
        <v>0</v>
      </c>
      <c r="P82" s="20" t="n">
        <v>0</v>
      </c>
      <c r="Q82" s="18" t="n">
        <v>26.78852812</v>
      </c>
      <c r="R82" s="20" t="n">
        <v>1.09138786</v>
      </c>
    </row>
    <row r="83" spans="1:18">
      <c r="A83" s="15" t="s">
        <v>507</v>
      </c>
      <c r="B83" s="17" t="n">
        <v>1652</v>
      </c>
      <c r="C83" s="18">
        <f>(1469.0/B83*100)</f>
        <v/>
      </c>
      <c r="D83" s="19" t="n">
        <v>183</v>
      </c>
      <c r="E83" s="18" t="n">
        <v>56.49791311</v>
      </c>
      <c r="F83" s="20" t="n">
        <v>3.2060868</v>
      </c>
      <c r="G83" s="18" t="n">
        <v>34.18472665</v>
      </c>
      <c r="H83" s="20" t="n">
        <v>2.93679474</v>
      </c>
      <c r="I83" s="18" t="n">
        <v>0</v>
      </c>
      <c r="J83" s="20" t="n">
        <v>0</v>
      </c>
      <c r="K83" s="18" t="n">
        <v>0</v>
      </c>
      <c r="L83" s="20" t="n">
        <v>0</v>
      </c>
      <c r="M83" s="18" t="n">
        <v>0</v>
      </c>
      <c r="N83" s="20" t="n">
        <v>0</v>
      </c>
      <c r="O83" s="18" t="n">
        <v>0</v>
      </c>
      <c r="P83" s="20" t="n">
        <v>0</v>
      </c>
      <c r="Q83" s="18" t="n">
        <v>9.317360239999999</v>
      </c>
      <c r="R83" s="20" t="n">
        <v>2.09053698</v>
      </c>
    </row>
    <row r="84" spans="1:18">
      <c r="A84" s="23" t="s">
        <v>508</v>
      </c>
      <c r="B84" s="24" t="n">
        <v>1887</v>
      </c>
      <c r="C84" s="25">
        <f>(1659.0/B84*100)</f>
        <v/>
      </c>
      <c r="D84" s="19" t="n">
        <v>228</v>
      </c>
      <c r="E84" s="18" t="n">
        <v>63.65693647</v>
      </c>
      <c r="F84" s="20" t="n">
        <v>3.22655375</v>
      </c>
      <c r="G84" s="18" t="n">
        <v>24.18476589</v>
      </c>
      <c r="H84" s="20" t="n">
        <v>2.63227424</v>
      </c>
      <c r="I84" s="18" t="n">
        <v>0</v>
      </c>
      <c r="J84" s="20" t="n">
        <v>0</v>
      </c>
      <c r="K84" s="18" t="n">
        <v>0</v>
      </c>
      <c r="L84" s="20" t="n">
        <v>0</v>
      </c>
      <c r="M84" s="18" t="n">
        <v>0</v>
      </c>
      <c r="N84" s="20" t="n">
        <v>0</v>
      </c>
      <c r="O84" s="18" t="n">
        <v>0</v>
      </c>
      <c r="P84" s="20" t="n">
        <v>0</v>
      </c>
      <c r="Q84" s="18" t="n">
        <v>12.15829764</v>
      </c>
      <c r="R84" s="20" t="n">
        <v>2.34042637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(12712.0/B7*100)</f>
        <v/>
      </c>
      <c r="D7" s="19" t="n">
        <v>1818</v>
      </c>
      <c r="E7" s="18" t="n">
        <v>69.64858122</v>
      </c>
      <c r="F7" s="20" t="n">
        <v>1.3173274</v>
      </c>
      <c r="G7" s="18" t="n">
        <v>28.18474668</v>
      </c>
      <c r="H7" s="20" t="n">
        <v>1.29659633</v>
      </c>
      <c r="I7" s="18" t="n">
        <v>0</v>
      </c>
      <c r="J7" s="20" t="n">
        <v>0</v>
      </c>
      <c r="K7" s="18" t="n">
        <v>0.25999121</v>
      </c>
      <c r="L7" s="20" t="n">
        <v>0.11251807</v>
      </c>
      <c r="M7" s="18" t="n">
        <v>0</v>
      </c>
      <c r="N7" s="20" t="n">
        <v>0</v>
      </c>
      <c r="O7" s="18" t="n">
        <v>0</v>
      </c>
      <c r="P7" s="20" t="n">
        <v>0</v>
      </c>
      <c r="Q7" s="18" t="n">
        <v>1.9066809</v>
      </c>
      <c r="R7" s="20" t="n">
        <v>0.3764979</v>
      </c>
    </row>
    <row r="8" spans="1:18">
      <c r="A8" s="15" t="s">
        <v>430</v>
      </c>
      <c r="B8" s="17" t="n">
        <v>7007</v>
      </c>
      <c r="C8" s="18">
        <f>(6156.0/B8*100)</f>
        <v/>
      </c>
      <c r="D8" s="19" t="n">
        <v>851</v>
      </c>
      <c r="E8" s="18" t="n">
        <v>58.49231125</v>
      </c>
      <c r="F8" s="20" t="n">
        <v>1.79020852</v>
      </c>
      <c r="G8" s="18" t="n">
        <v>37.58223152</v>
      </c>
      <c r="H8" s="20" t="n">
        <v>1.79881144</v>
      </c>
      <c r="I8" s="18" t="n">
        <v>0</v>
      </c>
      <c r="J8" s="20" t="n">
        <v>0</v>
      </c>
      <c r="K8" s="18" t="n">
        <v>0.07022534</v>
      </c>
      <c r="L8" s="20" t="n">
        <v>0.06995891</v>
      </c>
      <c r="M8" s="18" t="n">
        <v>0</v>
      </c>
      <c r="N8" s="20" t="n">
        <v>0</v>
      </c>
      <c r="O8" s="18" t="n">
        <v>0</v>
      </c>
      <c r="P8" s="20" t="n">
        <v>0</v>
      </c>
      <c r="Q8" s="18" t="n">
        <v>3.85523189</v>
      </c>
      <c r="R8" s="20" t="n">
        <v>0.63703127</v>
      </c>
    </row>
    <row r="9" spans="1:18">
      <c r="A9" s="15" t="s">
        <v>431</v>
      </c>
      <c r="B9" s="17" t="n">
        <v>9651</v>
      </c>
      <c r="C9" s="18">
        <f>(8480.0/B9*100)</f>
        <v/>
      </c>
      <c r="D9" s="19" t="n">
        <v>1171</v>
      </c>
      <c r="E9" s="18" t="n">
        <v>59.73311659</v>
      </c>
      <c r="F9" s="20" t="n">
        <v>1.48190718</v>
      </c>
      <c r="G9" s="18" t="n">
        <v>36.48447892</v>
      </c>
      <c r="H9" s="20" t="n">
        <v>1.52316865</v>
      </c>
      <c r="I9" s="18" t="n">
        <v>0</v>
      </c>
      <c r="J9" s="20" t="n">
        <v>0</v>
      </c>
      <c r="K9" s="18" t="n">
        <v>0.23230718</v>
      </c>
      <c r="L9" s="20" t="n">
        <v>0.16633851</v>
      </c>
      <c r="M9" s="18" t="n">
        <v>0</v>
      </c>
      <c r="N9" s="20" t="n">
        <v>0</v>
      </c>
      <c r="O9" s="18" t="n">
        <v>0</v>
      </c>
      <c r="P9" s="20" t="n">
        <v>0</v>
      </c>
      <c r="Q9" s="18" t="n">
        <v>3.55009732</v>
      </c>
      <c r="R9" s="20" t="n">
        <v>0.50385882</v>
      </c>
    </row>
    <row r="10" spans="1:18">
      <c r="A10" s="15" t="s">
        <v>432</v>
      </c>
      <c r="B10" s="17" t="n">
        <v>20058</v>
      </c>
      <c r="C10" s="18">
        <f>(17634.0/B10*100)</f>
        <v/>
      </c>
      <c r="D10" s="19" t="n">
        <v>2424</v>
      </c>
      <c r="E10" s="18" t="n">
        <v>65.16609345000001</v>
      </c>
      <c r="F10" s="20" t="n">
        <v>1.33138642</v>
      </c>
      <c r="G10" s="18" t="n">
        <v>32.59199671</v>
      </c>
      <c r="H10" s="20" t="n">
        <v>1.41711118</v>
      </c>
      <c r="I10" s="18" t="n">
        <v>0</v>
      </c>
      <c r="J10" s="20" t="n">
        <v>0</v>
      </c>
      <c r="K10" s="18" t="n">
        <v>0.48629581</v>
      </c>
      <c r="L10" s="20" t="n">
        <v>0.20251494</v>
      </c>
      <c r="M10" s="18" t="n">
        <v>0</v>
      </c>
      <c r="N10" s="20" t="n">
        <v>0</v>
      </c>
      <c r="O10" s="18" t="n">
        <v>0</v>
      </c>
      <c r="P10" s="20" t="n">
        <v>0</v>
      </c>
      <c r="Q10" s="18" t="n">
        <v>1.75561403</v>
      </c>
      <c r="R10" s="20" t="n">
        <v>0.4088711</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(6057.0/B12*100)</f>
        <v/>
      </c>
      <c r="D12" s="19" t="n">
        <v>837</v>
      </c>
      <c r="E12" s="18" t="n">
        <v>42.7578419</v>
      </c>
      <c r="F12" s="20" t="n">
        <v>1.79750004</v>
      </c>
      <c r="G12" s="18" t="n">
        <v>55.85999617</v>
      </c>
      <c r="H12" s="20" t="n">
        <v>1.89085582</v>
      </c>
      <c r="I12" s="18" t="n">
        <v>0</v>
      </c>
      <c r="J12" s="20" t="n">
        <v>0</v>
      </c>
      <c r="K12" s="18" t="n">
        <v>0</v>
      </c>
      <c r="L12" s="20" t="n">
        <v>0</v>
      </c>
      <c r="M12" s="18" t="n">
        <v>0</v>
      </c>
      <c r="N12" s="20" t="n">
        <v>0</v>
      </c>
      <c r="O12" s="18" t="n">
        <v>0</v>
      </c>
      <c r="P12" s="20" t="n">
        <v>0</v>
      </c>
      <c r="Q12" s="18" t="n">
        <v>1.38216193</v>
      </c>
      <c r="R12" s="20" t="n">
        <v>0.50773717</v>
      </c>
    </row>
    <row r="13" spans="1:18">
      <c r="A13" s="15" t="s">
        <v>435</v>
      </c>
      <c r="B13" s="17" t="n">
        <v>7161</v>
      </c>
      <c r="C13" s="18">
        <f>(6329.0/B13*100)</f>
        <v/>
      </c>
      <c r="D13" s="19" t="n">
        <v>832</v>
      </c>
      <c r="E13" s="18" t="n">
        <v>62.31106262</v>
      </c>
      <c r="F13" s="20" t="n">
        <v>1.92908812</v>
      </c>
      <c r="G13" s="18" t="n">
        <v>35.84149427</v>
      </c>
      <c r="H13" s="20" t="n">
        <v>1.93890247</v>
      </c>
      <c r="I13" s="18" t="n">
        <v>0</v>
      </c>
      <c r="J13" s="20" t="n">
        <v>0</v>
      </c>
      <c r="K13" s="18" t="n">
        <v>0.38910911</v>
      </c>
      <c r="L13" s="20" t="n">
        <v>0.28426102</v>
      </c>
      <c r="M13" s="18" t="n">
        <v>0</v>
      </c>
      <c r="N13" s="20" t="n">
        <v>0</v>
      </c>
      <c r="O13" s="18" t="n">
        <v>0</v>
      </c>
      <c r="P13" s="20" t="n">
        <v>0</v>
      </c>
      <c r="Q13" s="18" t="n">
        <v>1.458334</v>
      </c>
      <c r="R13" s="20" t="n">
        <v>0.4327333</v>
      </c>
    </row>
    <row r="14" spans="1:18">
      <c r="A14" s="15" t="s">
        <v>436</v>
      </c>
      <c r="B14" s="17" t="n">
        <v>5587</v>
      </c>
      <c r="C14" s="18">
        <f>(4897.0/B14*100)</f>
        <v/>
      </c>
      <c r="D14" s="19" t="n">
        <v>690</v>
      </c>
      <c r="E14" s="18" t="n">
        <v>55.19027927</v>
      </c>
      <c r="F14" s="20" t="n">
        <v>2.26954372</v>
      </c>
      <c r="G14" s="18" t="n">
        <v>44.5832999</v>
      </c>
      <c r="H14" s="20" t="n">
        <v>2.27764169</v>
      </c>
      <c r="I14" s="18" t="n">
        <v>0</v>
      </c>
      <c r="J14" s="20" t="n">
        <v>0</v>
      </c>
      <c r="K14" s="18" t="n">
        <v>0</v>
      </c>
      <c r="L14" s="20" t="n">
        <v>0</v>
      </c>
      <c r="M14" s="18" t="n">
        <v>0</v>
      </c>
      <c r="N14" s="20" t="n">
        <v>0</v>
      </c>
      <c r="O14" s="18" t="n">
        <v>0</v>
      </c>
      <c r="P14" s="20" t="n">
        <v>0</v>
      </c>
      <c r="Q14" s="18" t="n">
        <v>0.22642083</v>
      </c>
      <c r="R14" s="20" t="n">
        <v>0.16265534</v>
      </c>
    </row>
    <row r="15" spans="1:18">
      <c r="A15" s="15" t="s">
        <v>437</v>
      </c>
      <c r="B15" s="17" t="n">
        <v>5882</v>
      </c>
      <c r="C15" s="18">
        <f>(5163.0/B15*100)</f>
        <v/>
      </c>
      <c r="D15" s="19" t="n">
        <v>719</v>
      </c>
      <c r="E15" s="18" t="n">
        <v>64.07215595</v>
      </c>
      <c r="F15" s="20" t="n">
        <v>1.69048408</v>
      </c>
      <c r="G15" s="18" t="n">
        <v>34.27788614</v>
      </c>
      <c r="H15" s="20" t="n">
        <v>1.63552429</v>
      </c>
      <c r="I15" s="18" t="n">
        <v>0</v>
      </c>
      <c r="J15" s="20" t="n">
        <v>0</v>
      </c>
      <c r="K15" s="18" t="n">
        <v>0.55107863</v>
      </c>
      <c r="L15" s="20" t="n">
        <v>0.27394415</v>
      </c>
      <c r="M15" s="18" t="n">
        <v>0</v>
      </c>
      <c r="N15" s="20" t="n">
        <v>0</v>
      </c>
      <c r="O15" s="18" t="n">
        <v>0</v>
      </c>
      <c r="P15" s="20" t="n">
        <v>0</v>
      </c>
      <c r="Q15" s="18" t="n">
        <v>1.09887928</v>
      </c>
      <c r="R15" s="20" t="n">
        <v>0.46769739</v>
      </c>
    </row>
    <row r="16" spans="1:18">
      <c r="A16" s="15" t="s">
        <v>438</v>
      </c>
      <c r="B16" s="17" t="n">
        <v>6108</v>
      </c>
      <c r="C16" s="18">
        <f>(5360.0/B16*100)</f>
        <v/>
      </c>
      <c r="D16" s="19" t="n">
        <v>748</v>
      </c>
      <c r="E16" s="18" t="n">
        <v>47.18418095</v>
      </c>
      <c r="F16" s="20" t="n">
        <v>1.57605795</v>
      </c>
      <c r="G16" s="18" t="n">
        <v>46.28333869</v>
      </c>
      <c r="H16" s="20" t="n">
        <v>1.53505474</v>
      </c>
      <c r="I16" s="18" t="n">
        <v>0</v>
      </c>
      <c r="J16" s="20" t="n">
        <v>0</v>
      </c>
      <c r="K16" s="18" t="n">
        <v>0.68502224</v>
      </c>
      <c r="L16" s="20" t="n">
        <v>0.31120834</v>
      </c>
      <c r="M16" s="18" t="n">
        <v>0</v>
      </c>
      <c r="N16" s="20" t="n">
        <v>0</v>
      </c>
      <c r="O16" s="18" t="n">
        <v>0</v>
      </c>
      <c r="P16" s="20" t="n">
        <v>0</v>
      </c>
      <c r="Q16" s="18" t="n">
        <v>5.84745811</v>
      </c>
      <c r="R16" s="20" t="n">
        <v>0.8398953300000001</v>
      </c>
    </row>
    <row r="17" spans="1:18">
      <c r="A17" s="15" t="s">
        <v>439</v>
      </c>
      <c r="B17" s="17" t="n">
        <v>6504</v>
      </c>
      <c r="C17" s="18">
        <f>(5713.0/B17*100)</f>
        <v/>
      </c>
      <c r="D17" s="19" t="n">
        <v>791</v>
      </c>
      <c r="E17" s="18" t="n">
        <v>52.44292314</v>
      </c>
      <c r="F17" s="20" t="n">
        <v>1.85823494</v>
      </c>
      <c r="G17" s="18" t="n">
        <v>44.41645205</v>
      </c>
      <c r="H17" s="20" t="n">
        <v>1.80802403</v>
      </c>
      <c r="I17" s="18" t="n">
        <v>0</v>
      </c>
      <c r="J17" s="20" t="n">
        <v>0</v>
      </c>
      <c r="K17" s="18" t="n">
        <v>0.37897756</v>
      </c>
      <c r="L17" s="20" t="n">
        <v>0.2169746</v>
      </c>
      <c r="M17" s="18" t="n">
        <v>0</v>
      </c>
      <c r="N17" s="20" t="n">
        <v>0</v>
      </c>
      <c r="O17" s="18" t="n">
        <v>0</v>
      </c>
      <c r="P17" s="20" t="n">
        <v>0</v>
      </c>
      <c r="Q17" s="18" t="n">
        <v>2.76164725</v>
      </c>
      <c r="R17" s="20" t="n">
        <v>0.54806687</v>
      </c>
    </row>
    <row r="18" spans="1:18">
      <c r="A18" s="15" t="s">
        <v>440</v>
      </c>
      <c r="B18" s="17" t="n">
        <v>5532</v>
      </c>
      <c r="C18" s="18">
        <f>(4856.0/B18*100)</f>
        <v/>
      </c>
      <c r="D18" s="19" t="n">
        <v>676</v>
      </c>
      <c r="E18" s="18" t="n">
        <v>58.0490483</v>
      </c>
      <c r="F18" s="20" t="n">
        <v>2.00301794</v>
      </c>
      <c r="G18" s="18" t="n">
        <v>39.04627592</v>
      </c>
      <c r="H18" s="20" t="n">
        <v>2.02875374</v>
      </c>
      <c r="I18" s="18" t="n">
        <v>0</v>
      </c>
      <c r="J18" s="20" t="n">
        <v>0</v>
      </c>
      <c r="K18" s="18" t="n">
        <v>0.1223187</v>
      </c>
      <c r="L18" s="20" t="n">
        <v>0.12096442</v>
      </c>
      <c r="M18" s="18" t="n">
        <v>0</v>
      </c>
      <c r="N18" s="20" t="n">
        <v>0</v>
      </c>
      <c r="O18" s="18" t="n">
        <v>0</v>
      </c>
      <c r="P18" s="20" t="n">
        <v>0</v>
      </c>
      <c r="Q18" s="18" t="n">
        <v>2.78235708</v>
      </c>
      <c r="R18" s="20" t="n">
        <v>0.73295544</v>
      </c>
    </row>
    <row r="19" spans="1:18">
      <c r="A19" s="15" t="s">
        <v>441</v>
      </c>
      <c r="B19" s="17" t="n">
        <v>5658</v>
      </c>
      <c r="C19" s="18">
        <f>(4977.0/B19*100)</f>
        <v/>
      </c>
      <c r="D19" s="19" t="n">
        <v>681</v>
      </c>
      <c r="E19" s="18" t="n">
        <v>45.52408488</v>
      </c>
      <c r="F19" s="20" t="n">
        <v>2.06026196</v>
      </c>
      <c r="G19" s="18" t="n">
        <v>53.08438683</v>
      </c>
      <c r="H19" s="20" t="n">
        <v>2.06555242</v>
      </c>
      <c r="I19" s="18" t="n">
        <v>0</v>
      </c>
      <c r="J19" s="20" t="n">
        <v>0</v>
      </c>
      <c r="K19" s="18" t="n">
        <v>0</v>
      </c>
      <c r="L19" s="20" t="n">
        <v>0</v>
      </c>
      <c r="M19" s="18" t="n">
        <v>0</v>
      </c>
      <c r="N19" s="20" t="n">
        <v>0</v>
      </c>
      <c r="O19" s="18" t="n">
        <v>0</v>
      </c>
      <c r="P19" s="20" t="n">
        <v>0</v>
      </c>
      <c r="Q19" s="18" t="n">
        <v>1.39152829</v>
      </c>
      <c r="R19" s="20" t="n">
        <v>0.5224533099999999</v>
      </c>
    </row>
    <row r="20" spans="1:18">
      <c r="A20" s="15" t="s">
        <v>442</v>
      </c>
      <c r="B20" s="17" t="n">
        <v>3371</v>
      </c>
      <c r="C20" s="18">
        <f>(2971.0/B20*100)</f>
        <v/>
      </c>
      <c r="D20" s="19" t="n">
        <v>400</v>
      </c>
      <c r="E20" s="18" t="n">
        <v>58.32832553</v>
      </c>
      <c r="F20" s="20" t="n">
        <v>2.14315386</v>
      </c>
      <c r="G20" s="18" t="n">
        <v>37.99869461</v>
      </c>
      <c r="H20" s="20" t="n">
        <v>2.3034292</v>
      </c>
      <c r="I20" s="18" t="n">
        <v>0</v>
      </c>
      <c r="J20" s="20" t="n">
        <v>0</v>
      </c>
      <c r="K20" s="18" t="n">
        <v>0.23725498</v>
      </c>
      <c r="L20" s="20" t="n">
        <v>0.23915492</v>
      </c>
      <c r="M20" s="18" t="n">
        <v>0</v>
      </c>
      <c r="N20" s="20" t="n">
        <v>0</v>
      </c>
      <c r="O20" s="18" t="n">
        <v>0</v>
      </c>
      <c r="P20" s="20" t="n">
        <v>0</v>
      </c>
      <c r="Q20" s="18" t="n">
        <v>3.43572488</v>
      </c>
      <c r="R20" s="20" t="n">
        <v>0.94331993</v>
      </c>
    </row>
    <row r="21" spans="1:18">
      <c r="A21" s="15" t="s">
        <v>443</v>
      </c>
      <c r="B21" s="17" t="n">
        <v>5741</v>
      </c>
      <c r="C21" s="18">
        <f>(4795.0/B21*100)</f>
        <v/>
      </c>
      <c r="D21" s="19" t="n">
        <v>946</v>
      </c>
      <c r="E21" s="18" t="n">
        <v>67.96653827999999</v>
      </c>
      <c r="F21" s="20" t="n">
        <v>1.43387219</v>
      </c>
      <c r="G21" s="18" t="n">
        <v>31.19872201</v>
      </c>
      <c r="H21" s="20" t="n">
        <v>1.36774172</v>
      </c>
      <c r="I21" s="18" t="n">
        <v>0</v>
      </c>
      <c r="J21" s="20" t="n">
        <v>0</v>
      </c>
      <c r="K21" s="18" t="n">
        <v>0.17140348</v>
      </c>
      <c r="L21" s="20" t="n">
        <v>0.10361286</v>
      </c>
      <c r="M21" s="18" t="n">
        <v>0</v>
      </c>
      <c r="N21" s="20" t="n">
        <v>0</v>
      </c>
      <c r="O21" s="18" t="n">
        <v>0</v>
      </c>
      <c r="P21" s="20" t="n">
        <v>0</v>
      </c>
      <c r="Q21" s="18" t="n">
        <v>0.66333623</v>
      </c>
      <c r="R21" s="20" t="n">
        <v>0.2795445</v>
      </c>
    </row>
    <row r="22" spans="1:18">
      <c r="A22" s="15" t="s">
        <v>444</v>
      </c>
      <c r="B22" s="17" t="n">
        <v>6598</v>
      </c>
      <c r="C22" s="18">
        <f>(5774.0/B22*100)</f>
        <v/>
      </c>
      <c r="D22" s="19" t="n">
        <v>824</v>
      </c>
      <c r="E22" s="18" t="n">
        <v>65.22918420000001</v>
      </c>
      <c r="F22" s="20" t="n">
        <v>2.06677235</v>
      </c>
      <c r="G22" s="18" t="n">
        <v>30.02688624</v>
      </c>
      <c r="H22" s="20" t="n">
        <v>2.02041087</v>
      </c>
      <c r="I22" s="18" t="n">
        <v>0</v>
      </c>
      <c r="J22" s="20" t="n">
        <v>0</v>
      </c>
      <c r="K22" s="18" t="n">
        <v>1.10552558</v>
      </c>
      <c r="L22" s="20" t="n">
        <v>0.45086377</v>
      </c>
      <c r="M22" s="18" t="n">
        <v>0</v>
      </c>
      <c r="N22" s="20" t="n">
        <v>0</v>
      </c>
      <c r="O22" s="18" t="n">
        <v>0</v>
      </c>
      <c r="P22" s="20" t="n">
        <v>0</v>
      </c>
      <c r="Q22" s="18" t="n">
        <v>3.63840398</v>
      </c>
      <c r="R22" s="20" t="n">
        <v>0.69065938</v>
      </c>
    </row>
    <row r="23" spans="1:18">
      <c r="A23" s="15" t="s">
        <v>445</v>
      </c>
      <c r="B23" s="17" t="n">
        <v>11583</v>
      </c>
      <c r="C23" s="18">
        <f>(10185.0/B23*100)</f>
        <v/>
      </c>
      <c r="D23" s="19" t="n">
        <v>1398</v>
      </c>
      <c r="E23" s="18" t="n">
        <v>59.3657661</v>
      </c>
      <c r="F23" s="20" t="n">
        <v>1.92576038</v>
      </c>
      <c r="G23" s="18" t="n">
        <v>37.97885411</v>
      </c>
      <c r="H23" s="20" t="n">
        <v>1.88023801</v>
      </c>
      <c r="I23" s="18" t="n">
        <v>0</v>
      </c>
      <c r="J23" s="20" t="n">
        <v>0</v>
      </c>
      <c r="K23" s="18" t="n">
        <v>0.53273813</v>
      </c>
      <c r="L23" s="20" t="n">
        <v>0.243741</v>
      </c>
      <c r="M23" s="18" t="n">
        <v>0</v>
      </c>
      <c r="N23" s="20" t="n">
        <v>0</v>
      </c>
      <c r="O23" s="18" t="n">
        <v>0</v>
      </c>
      <c r="P23" s="20" t="n">
        <v>0</v>
      </c>
      <c r="Q23" s="18" t="n">
        <v>2.12264166</v>
      </c>
      <c r="R23" s="20" t="n">
        <v>0.4416446</v>
      </c>
    </row>
    <row r="24" spans="1:18">
      <c r="A24" s="15" t="s">
        <v>446</v>
      </c>
      <c r="B24" s="17" t="n">
        <v>6647</v>
      </c>
      <c r="C24" s="18">
        <f>(5846.0/B24*100)</f>
        <v/>
      </c>
      <c r="D24" s="19" t="n">
        <v>801</v>
      </c>
      <c r="E24" s="18" t="n">
        <v>60.71475929</v>
      </c>
      <c r="F24" s="20" t="n">
        <v>1.75128595</v>
      </c>
      <c r="G24" s="18" t="n">
        <v>37.29662413</v>
      </c>
      <c r="H24" s="20" t="n">
        <v>1.680513</v>
      </c>
      <c r="I24" s="18" t="n">
        <v>0</v>
      </c>
      <c r="J24" s="20" t="n">
        <v>0</v>
      </c>
      <c r="K24" s="18" t="n">
        <v>0.22574627</v>
      </c>
      <c r="L24" s="20" t="n">
        <v>0.16032</v>
      </c>
      <c r="M24" s="18" t="n">
        <v>0</v>
      </c>
      <c r="N24" s="20" t="n">
        <v>0</v>
      </c>
      <c r="O24" s="18" t="n">
        <v>0</v>
      </c>
      <c r="P24" s="20" t="n">
        <v>0</v>
      </c>
      <c r="Q24" s="18" t="n">
        <v>1.76287031</v>
      </c>
      <c r="R24" s="20" t="n">
        <v>0.58407458</v>
      </c>
    </row>
    <row r="25" spans="1:18">
      <c r="A25" s="15" t="s">
        <v>447</v>
      </c>
      <c r="B25" s="17" t="n">
        <v>5581</v>
      </c>
      <c r="C25" s="18">
        <f>(4886.0/B25*100)</f>
        <v/>
      </c>
      <c r="D25" s="19" t="n">
        <v>695</v>
      </c>
      <c r="E25" s="18" t="n">
        <v>65.89343988</v>
      </c>
      <c r="F25" s="20" t="n">
        <v>1.77409196</v>
      </c>
      <c r="G25" s="18" t="n">
        <v>33.15613794</v>
      </c>
      <c r="H25" s="20" t="n">
        <v>1.74680626</v>
      </c>
      <c r="I25" s="18" t="n">
        <v>0</v>
      </c>
      <c r="J25" s="20" t="n">
        <v>0</v>
      </c>
      <c r="K25" s="18" t="n">
        <v>0.13402635</v>
      </c>
      <c r="L25" s="20" t="n">
        <v>0.13398772</v>
      </c>
      <c r="M25" s="18" t="n">
        <v>0</v>
      </c>
      <c r="N25" s="20" t="n">
        <v>0</v>
      </c>
      <c r="O25" s="18" t="n">
        <v>0</v>
      </c>
      <c r="P25" s="20" t="n">
        <v>0</v>
      </c>
      <c r="Q25" s="18" t="n">
        <v>0.81639583</v>
      </c>
      <c r="R25" s="20" t="n">
        <v>0.3363332</v>
      </c>
    </row>
    <row r="26" spans="1:18">
      <c r="A26" s="15" t="s">
        <v>448</v>
      </c>
      <c r="B26" s="17" t="n">
        <v>4869</v>
      </c>
      <c r="C26" s="18">
        <f>(4264.0/B26*100)</f>
        <v/>
      </c>
      <c r="D26" s="19" t="n">
        <v>605</v>
      </c>
      <c r="E26" s="18" t="n">
        <v>51.88644505</v>
      </c>
      <c r="F26" s="20" t="n">
        <v>2.24160814</v>
      </c>
      <c r="G26" s="18" t="n">
        <v>47.82808144</v>
      </c>
      <c r="H26" s="20" t="n">
        <v>2.21625675</v>
      </c>
      <c r="I26" s="18" t="n">
        <v>0</v>
      </c>
      <c r="J26" s="20" t="n">
        <v>0</v>
      </c>
      <c r="K26" s="18" t="n">
        <v>0</v>
      </c>
      <c r="L26" s="20" t="n">
        <v>0</v>
      </c>
      <c r="M26" s="18" t="n">
        <v>0</v>
      </c>
      <c r="N26" s="20" t="n">
        <v>0</v>
      </c>
      <c r="O26" s="18" t="n">
        <v>0</v>
      </c>
      <c r="P26" s="20" t="n">
        <v>0</v>
      </c>
      <c r="Q26" s="18" t="n">
        <v>0.28547352</v>
      </c>
      <c r="R26" s="20" t="n">
        <v>0.1970507</v>
      </c>
    </row>
    <row r="27" spans="1:18">
      <c r="A27" s="15" t="s">
        <v>449</v>
      </c>
      <c r="B27" s="17" t="n">
        <v>5299</v>
      </c>
      <c r="C27" s="18">
        <f>(4635.0/B27*100)</f>
        <v/>
      </c>
      <c r="D27" s="19" t="n">
        <v>664</v>
      </c>
      <c r="E27" s="18" t="n">
        <v>60.42341515</v>
      </c>
      <c r="F27" s="20" t="n">
        <v>1.73105297</v>
      </c>
      <c r="G27" s="18" t="n">
        <v>34.85676272</v>
      </c>
      <c r="H27" s="20" t="n">
        <v>1.86247501</v>
      </c>
      <c r="I27" s="18" t="n">
        <v>0</v>
      </c>
      <c r="J27" s="20" t="n">
        <v>0</v>
      </c>
      <c r="K27" s="18" t="n">
        <v>0.15102393</v>
      </c>
      <c r="L27" s="20" t="n">
        <v>0.15195586</v>
      </c>
      <c r="M27" s="18" t="n">
        <v>0</v>
      </c>
      <c r="N27" s="20" t="n">
        <v>0</v>
      </c>
      <c r="O27" s="18" t="n">
        <v>0</v>
      </c>
      <c r="P27" s="20" t="n">
        <v>0</v>
      </c>
      <c r="Q27" s="18" t="n">
        <v>4.5687982</v>
      </c>
      <c r="R27" s="20" t="n">
        <v>0.70617246</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69.06993626000001</v>
      </c>
      <c r="F29" s="20" t="n">
        <v>1.97367909</v>
      </c>
      <c r="G29" s="18" t="n">
        <v>29.41140553</v>
      </c>
      <c r="H29" s="20" t="n">
        <v>1.87564727</v>
      </c>
      <c r="I29" s="18" t="n">
        <v>0</v>
      </c>
      <c r="J29" s="20" t="n">
        <v>0</v>
      </c>
      <c r="K29" s="18" t="n">
        <v>0.33875531</v>
      </c>
      <c r="L29" s="20" t="n">
        <v>0.23990196</v>
      </c>
      <c r="M29" s="18" t="n">
        <v>0</v>
      </c>
      <c r="N29" s="20" t="n">
        <v>0</v>
      </c>
      <c r="O29" s="18" t="n">
        <v>0</v>
      </c>
      <c r="P29" s="20" t="n">
        <v>0</v>
      </c>
      <c r="Q29" s="18" t="n">
        <v>1.17990291</v>
      </c>
      <c r="R29" s="20" t="n">
        <v>0.39584984</v>
      </c>
    </row>
    <row r="30" spans="1:18">
      <c r="A30" s="15" t="s">
        <v>452</v>
      </c>
      <c r="B30" s="17" t="n">
        <v>4520</v>
      </c>
      <c r="C30" s="18">
        <f>(3954.0/B30*100)</f>
        <v/>
      </c>
      <c r="D30" s="19" t="n">
        <v>566</v>
      </c>
      <c r="E30" s="18" t="n">
        <v>66.29725826000001</v>
      </c>
      <c r="F30" s="20" t="n">
        <v>2.04427922</v>
      </c>
      <c r="G30" s="18" t="n">
        <v>30.32332357</v>
      </c>
      <c r="H30" s="20" t="n">
        <v>1.98790257</v>
      </c>
      <c r="I30" s="18" t="n">
        <v>0</v>
      </c>
      <c r="J30" s="20" t="n">
        <v>0</v>
      </c>
      <c r="K30" s="18" t="n">
        <v>0.40654463</v>
      </c>
      <c r="L30" s="20" t="n">
        <v>0.29732832</v>
      </c>
      <c r="M30" s="18" t="n">
        <v>0</v>
      </c>
      <c r="N30" s="20" t="n">
        <v>0</v>
      </c>
      <c r="O30" s="18" t="n">
        <v>0</v>
      </c>
      <c r="P30" s="20" t="n">
        <v>0</v>
      </c>
      <c r="Q30" s="18" t="n">
        <v>2.97287355</v>
      </c>
      <c r="R30" s="20" t="n">
        <v>0.82023187</v>
      </c>
    </row>
    <row r="31" spans="1:18">
      <c r="A31" s="15" t="s">
        <v>453</v>
      </c>
      <c r="B31" s="17" t="n">
        <v>5456</v>
      </c>
      <c r="C31" s="18">
        <f>(4782.0/B31*100)</f>
        <v/>
      </c>
      <c r="D31" s="19" t="n">
        <v>674</v>
      </c>
      <c r="E31" s="18" t="n">
        <v>49.27355377</v>
      </c>
      <c r="F31" s="20" t="n">
        <v>2.04676923</v>
      </c>
      <c r="G31" s="18" t="n">
        <v>48.36923432</v>
      </c>
      <c r="H31" s="20" t="n">
        <v>2.06201019</v>
      </c>
      <c r="I31" s="18" t="n">
        <v>0</v>
      </c>
      <c r="J31" s="20" t="n">
        <v>0</v>
      </c>
      <c r="K31" s="18" t="n">
        <v>0.14241628</v>
      </c>
      <c r="L31" s="20" t="n">
        <v>0.1376162</v>
      </c>
      <c r="M31" s="18" t="n">
        <v>0</v>
      </c>
      <c r="N31" s="20" t="n">
        <v>0</v>
      </c>
      <c r="O31" s="18" t="n">
        <v>0</v>
      </c>
      <c r="P31" s="20" t="n">
        <v>0</v>
      </c>
      <c r="Q31" s="18" t="n">
        <v>2.21479563</v>
      </c>
      <c r="R31" s="20" t="n">
        <v>0.77349296</v>
      </c>
    </row>
    <row r="32" spans="1:18">
      <c r="A32" s="15" t="s">
        <v>454</v>
      </c>
      <c r="B32" s="17" t="n">
        <v>4478</v>
      </c>
      <c r="C32" s="18">
        <f>(3718.0/B32*100)</f>
        <v/>
      </c>
      <c r="D32" s="19" t="n">
        <v>760</v>
      </c>
      <c r="E32" s="18" t="n">
        <v>51.10100904</v>
      </c>
      <c r="F32" s="20" t="n">
        <v>2.00083646</v>
      </c>
      <c r="G32" s="18" t="n">
        <v>47.51997809</v>
      </c>
      <c r="H32" s="20" t="n">
        <v>1.98746123</v>
      </c>
      <c r="I32" s="18" t="n">
        <v>0</v>
      </c>
      <c r="J32" s="20" t="n">
        <v>0</v>
      </c>
      <c r="K32" s="18" t="n">
        <v>0.13595364</v>
      </c>
      <c r="L32" s="20" t="n">
        <v>0.11863941</v>
      </c>
      <c r="M32" s="18" t="n">
        <v>0</v>
      </c>
      <c r="N32" s="20" t="n">
        <v>0</v>
      </c>
      <c r="O32" s="18" t="n">
        <v>0</v>
      </c>
      <c r="P32" s="20" t="n">
        <v>0</v>
      </c>
      <c r="Q32" s="18" t="n">
        <v>1.24305923</v>
      </c>
      <c r="R32" s="20" t="n">
        <v>0.35344626</v>
      </c>
    </row>
    <row r="33" spans="1:18">
      <c r="A33" s="15" t="s">
        <v>455</v>
      </c>
      <c r="B33" s="17" t="n">
        <v>7325</v>
      </c>
      <c r="C33" s="18">
        <f>(6425.0/B33*100)</f>
        <v/>
      </c>
      <c r="D33" s="19" t="n">
        <v>900</v>
      </c>
      <c r="E33" s="18" t="n">
        <v>65.43636629</v>
      </c>
      <c r="F33" s="20" t="n">
        <v>1.96904256</v>
      </c>
      <c r="G33" s="18" t="n">
        <v>33.59506196</v>
      </c>
      <c r="H33" s="20" t="n">
        <v>2.03040805</v>
      </c>
      <c r="I33" s="18" t="n">
        <v>0</v>
      </c>
      <c r="J33" s="20" t="n">
        <v>0</v>
      </c>
      <c r="K33" s="18" t="n">
        <v>0</v>
      </c>
      <c r="L33" s="20" t="n">
        <v>0</v>
      </c>
      <c r="M33" s="18" t="n">
        <v>0</v>
      </c>
      <c r="N33" s="20" t="n">
        <v>0</v>
      </c>
      <c r="O33" s="18" t="n">
        <v>0</v>
      </c>
      <c r="P33" s="20" t="n">
        <v>0</v>
      </c>
      <c r="Q33" s="18" t="n">
        <v>0.96857176</v>
      </c>
      <c r="R33" s="20" t="n">
        <v>0.36446624</v>
      </c>
    </row>
    <row r="34" spans="1:18">
      <c r="A34" s="15" t="s">
        <v>456</v>
      </c>
      <c r="B34" s="17" t="n">
        <v>6350</v>
      </c>
      <c r="C34" s="18">
        <f>(5570.0/B34*100)</f>
        <v/>
      </c>
      <c r="D34" s="19" t="n">
        <v>780</v>
      </c>
      <c r="E34" s="18" t="n">
        <v>50.77404857</v>
      </c>
      <c r="F34" s="20" t="n">
        <v>2.07667896</v>
      </c>
      <c r="G34" s="18" t="n">
        <v>47.20343296</v>
      </c>
      <c r="H34" s="20" t="n">
        <v>2.08544343</v>
      </c>
      <c r="I34" s="18" t="n">
        <v>0</v>
      </c>
      <c r="J34" s="20" t="n">
        <v>0</v>
      </c>
      <c r="K34" s="18" t="n">
        <v>0.09680034</v>
      </c>
      <c r="L34" s="20" t="n">
        <v>0.0971019</v>
      </c>
      <c r="M34" s="18" t="n">
        <v>0</v>
      </c>
      <c r="N34" s="20" t="n">
        <v>0</v>
      </c>
      <c r="O34" s="18" t="n">
        <v>0</v>
      </c>
      <c r="P34" s="20" t="n">
        <v>0</v>
      </c>
      <c r="Q34" s="18" t="n">
        <v>1.92571813</v>
      </c>
      <c r="R34" s="20" t="n">
        <v>0.48260575</v>
      </c>
    </row>
    <row r="35" spans="1:18">
      <c r="A35" s="15" t="s">
        <v>457</v>
      </c>
      <c r="B35" s="17" t="n">
        <v>6406</v>
      </c>
      <c r="C35" s="18">
        <f>(5613.0/B35*100)</f>
        <v/>
      </c>
      <c r="D35" s="19" t="n">
        <v>793</v>
      </c>
      <c r="E35" s="18" t="n">
        <v>44.55535319</v>
      </c>
      <c r="F35" s="20" t="n">
        <v>1.94315058</v>
      </c>
      <c r="G35" s="18" t="n">
        <v>53.32874883</v>
      </c>
      <c r="H35" s="20" t="n">
        <v>1.93435696</v>
      </c>
      <c r="I35" s="18" t="n">
        <v>0</v>
      </c>
      <c r="J35" s="20" t="n">
        <v>0</v>
      </c>
      <c r="K35" s="18" t="n">
        <v>0.11646324</v>
      </c>
      <c r="L35" s="20" t="n">
        <v>0.08272868</v>
      </c>
      <c r="M35" s="18" t="n">
        <v>0</v>
      </c>
      <c r="N35" s="20" t="n">
        <v>0</v>
      </c>
      <c r="O35" s="18" t="n">
        <v>0</v>
      </c>
      <c r="P35" s="20" t="n">
        <v>0</v>
      </c>
      <c r="Q35" s="18" t="n">
        <v>1.99943473</v>
      </c>
      <c r="R35" s="20" t="n">
        <v>0.60912176</v>
      </c>
    </row>
    <row r="36" spans="1:18">
      <c r="A36" s="15" t="s">
        <v>458</v>
      </c>
      <c r="B36" s="17" t="n">
        <v>6736</v>
      </c>
      <c r="C36" s="18">
        <f>(5927.0/B36*100)</f>
        <v/>
      </c>
      <c r="D36" s="19" t="n">
        <v>809</v>
      </c>
      <c r="E36" s="18" t="n">
        <v>61.07253181</v>
      </c>
      <c r="F36" s="20" t="n">
        <v>1.59598194</v>
      </c>
      <c r="G36" s="18" t="n">
        <v>37.10986967</v>
      </c>
      <c r="H36" s="20" t="n">
        <v>1.53472586</v>
      </c>
      <c r="I36" s="18" t="n">
        <v>0</v>
      </c>
      <c r="J36" s="20" t="n">
        <v>0</v>
      </c>
      <c r="K36" s="18" t="n">
        <v>0.180589</v>
      </c>
      <c r="L36" s="20" t="n">
        <v>0.1990066</v>
      </c>
      <c r="M36" s="18" t="n">
        <v>0</v>
      </c>
      <c r="N36" s="20" t="n">
        <v>0</v>
      </c>
      <c r="O36" s="18" t="n">
        <v>0</v>
      </c>
      <c r="P36" s="20" t="n">
        <v>0</v>
      </c>
      <c r="Q36" s="18" t="n">
        <v>1.63700952</v>
      </c>
      <c r="R36" s="20" t="n">
        <v>0.42818454</v>
      </c>
    </row>
    <row r="37" spans="1:18">
      <c r="A37" s="15" t="s">
        <v>459</v>
      </c>
      <c r="B37" s="17" t="n">
        <v>5458</v>
      </c>
      <c r="C37" s="18">
        <f>(4795.0/B37*100)</f>
        <v/>
      </c>
      <c r="D37" s="19" t="n">
        <v>663</v>
      </c>
      <c r="E37" s="18" t="n">
        <v>47.80893071</v>
      </c>
      <c r="F37" s="20" t="n">
        <v>2.35794288</v>
      </c>
      <c r="G37" s="18" t="n">
        <v>47.78437467</v>
      </c>
      <c r="H37" s="20" t="n">
        <v>2.34797671</v>
      </c>
      <c r="I37" s="18" t="n">
        <v>0</v>
      </c>
      <c r="J37" s="20" t="n">
        <v>0</v>
      </c>
      <c r="K37" s="18" t="n">
        <v>0.8576645899999999</v>
      </c>
      <c r="L37" s="20" t="n">
        <v>0.34389767</v>
      </c>
      <c r="M37" s="18" t="n">
        <v>0</v>
      </c>
      <c r="N37" s="20" t="n">
        <v>0</v>
      </c>
      <c r="O37" s="18" t="n">
        <v>0</v>
      </c>
      <c r="P37" s="20" t="n">
        <v>0</v>
      </c>
      <c r="Q37" s="18" t="n">
        <v>3.54903003</v>
      </c>
      <c r="R37" s="20" t="n">
        <v>0.79828358</v>
      </c>
    </row>
    <row r="38" spans="1:18">
      <c r="A38" s="15" t="s">
        <v>460</v>
      </c>
      <c r="B38" s="17" t="n">
        <v>5860</v>
      </c>
      <c r="C38" s="18">
        <f>(4885.0/B38*100)</f>
        <v/>
      </c>
      <c r="D38" s="19" t="n">
        <v>975</v>
      </c>
      <c r="E38" s="18" t="n">
        <v>54.97470489</v>
      </c>
      <c r="F38" s="20" t="n">
        <v>1.92033601</v>
      </c>
      <c r="G38" s="18" t="n">
        <v>40.61137853</v>
      </c>
      <c r="H38" s="20" t="n">
        <v>1.95072596</v>
      </c>
      <c r="I38" s="18" t="n">
        <v>0</v>
      </c>
      <c r="J38" s="20" t="n">
        <v>0</v>
      </c>
      <c r="K38" s="18" t="n">
        <v>0.2035128</v>
      </c>
      <c r="L38" s="20" t="n">
        <v>0.13206634</v>
      </c>
      <c r="M38" s="18" t="n">
        <v>0</v>
      </c>
      <c r="N38" s="20" t="n">
        <v>0</v>
      </c>
      <c r="O38" s="18" t="n">
        <v>0</v>
      </c>
      <c r="P38" s="20" t="n">
        <v>0</v>
      </c>
      <c r="Q38" s="18" t="n">
        <v>4.21040378</v>
      </c>
      <c r="R38" s="20" t="n">
        <v>0.73601891</v>
      </c>
    </row>
    <row r="39" spans="1:18">
      <c r="A39" s="15" t="s">
        <v>461</v>
      </c>
      <c r="B39" s="17" t="n">
        <v>5895</v>
      </c>
      <c r="C39" s="18">
        <f>(5158.0/B39*100)</f>
        <v/>
      </c>
      <c r="D39" s="19" t="n">
        <v>737</v>
      </c>
      <c r="E39" s="18" t="n">
        <v>66.68234124</v>
      </c>
      <c r="F39" s="20" t="n">
        <v>2.18409851</v>
      </c>
      <c r="G39" s="18" t="n">
        <v>31.44982723</v>
      </c>
      <c r="H39" s="20" t="n">
        <v>2.26204615</v>
      </c>
      <c r="I39" s="18" t="n">
        <v>0</v>
      </c>
      <c r="J39" s="20" t="n">
        <v>0</v>
      </c>
      <c r="K39" s="18" t="n">
        <v>0.41961814</v>
      </c>
      <c r="L39" s="20" t="n">
        <v>0.31687883</v>
      </c>
      <c r="M39" s="18" t="n">
        <v>0</v>
      </c>
      <c r="N39" s="20" t="n">
        <v>0</v>
      </c>
      <c r="O39" s="18" t="n">
        <v>0</v>
      </c>
      <c r="P39" s="20" t="n">
        <v>0</v>
      </c>
      <c r="Q39" s="18" t="n">
        <v>1.44821339</v>
      </c>
      <c r="R39" s="20" t="n">
        <v>0.3981349</v>
      </c>
    </row>
    <row r="40" spans="1:18">
      <c r="A40" s="15" t="s">
        <v>462</v>
      </c>
      <c r="B40" s="17" t="n">
        <v>14157</v>
      </c>
      <c r="C40" s="18">
        <f>(12377.0/B40*100)</f>
        <v/>
      </c>
      <c r="D40" s="19" t="n">
        <v>1780</v>
      </c>
      <c r="E40" s="18" t="n">
        <v>67.96336986</v>
      </c>
      <c r="F40" s="20" t="n">
        <v>1.68333801</v>
      </c>
      <c r="G40" s="18" t="n">
        <v>28.02891348</v>
      </c>
      <c r="H40" s="20" t="n">
        <v>1.57941621</v>
      </c>
      <c r="I40" s="18" t="n">
        <v>0</v>
      </c>
      <c r="J40" s="20" t="n">
        <v>0</v>
      </c>
      <c r="K40" s="18" t="n">
        <v>0.12560226</v>
      </c>
      <c r="L40" s="20" t="n">
        <v>0.04402285</v>
      </c>
      <c r="M40" s="18" t="n">
        <v>0</v>
      </c>
      <c r="N40" s="20" t="n">
        <v>0</v>
      </c>
      <c r="O40" s="18" t="n">
        <v>0</v>
      </c>
      <c r="P40" s="20" t="n">
        <v>0</v>
      </c>
      <c r="Q40" s="18" t="n">
        <v>3.8821144</v>
      </c>
      <c r="R40" s="20" t="n">
        <v>0.96321743</v>
      </c>
    </row>
    <row r="41" spans="1:18">
      <c r="A41" s="15" t="s">
        <v>463</v>
      </c>
      <c r="B41" s="17" t="n">
        <v>5712</v>
      </c>
      <c r="C41" s="18">
        <f>(5042.0/B41*100)</f>
        <v/>
      </c>
      <c r="D41" s="19" t="n">
        <v>670</v>
      </c>
      <c r="E41" s="18" t="n">
        <v>72.85869375</v>
      </c>
      <c r="F41" s="20" t="n">
        <v>2.04508671</v>
      </c>
      <c r="G41" s="18" t="n">
        <v>26.44618292</v>
      </c>
      <c r="H41" s="20" t="n">
        <v>2.02938363</v>
      </c>
      <c r="I41" s="18" t="n">
        <v>0</v>
      </c>
      <c r="J41" s="20" t="n">
        <v>0</v>
      </c>
      <c r="K41" s="18" t="n">
        <v>0</v>
      </c>
      <c r="L41" s="20" t="n">
        <v>0</v>
      </c>
      <c r="M41" s="18" t="n">
        <v>0</v>
      </c>
      <c r="N41" s="20" t="n">
        <v>0</v>
      </c>
      <c r="O41" s="18" t="n">
        <v>0</v>
      </c>
      <c r="P41" s="20" t="n">
        <v>0</v>
      </c>
      <c r="Q41" s="18" t="n">
        <v>0.69512333</v>
      </c>
      <c r="R41" s="20" t="n">
        <v>0.33831033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(8632.0/B48*100)</f>
        <v/>
      </c>
      <c r="D48" s="19" t="n">
        <v>1209</v>
      </c>
      <c r="E48" s="18" t="n">
        <v>57.6022786</v>
      </c>
      <c r="F48" s="20" t="n">
        <v>2.19650802</v>
      </c>
      <c r="G48" s="18" t="n">
        <v>40.63891456</v>
      </c>
      <c r="H48" s="20" t="n">
        <v>2.27763091</v>
      </c>
      <c r="I48" s="18" t="n">
        <v>0</v>
      </c>
      <c r="J48" s="20" t="n">
        <v>0</v>
      </c>
      <c r="K48" s="18" t="n">
        <v>0.29228305</v>
      </c>
      <c r="L48" s="20" t="n">
        <v>0.25416643</v>
      </c>
      <c r="M48" s="18" t="n">
        <v>0</v>
      </c>
      <c r="N48" s="20" t="n">
        <v>0</v>
      </c>
      <c r="O48" s="18" t="n">
        <v>0</v>
      </c>
      <c r="P48" s="20" t="n">
        <v>0</v>
      </c>
      <c r="Q48" s="18" t="n">
        <v>1.46652379</v>
      </c>
      <c r="R48" s="20" t="n">
        <v>0.40714212</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(5085.0/B51*100)</f>
        <v/>
      </c>
      <c r="D51" s="19" t="n">
        <v>724</v>
      </c>
      <c r="E51" s="18" t="n">
        <v>54.23259798</v>
      </c>
      <c r="F51" s="20" t="n">
        <v>1.89216392</v>
      </c>
      <c r="G51" s="18" t="n">
        <v>44.33965548</v>
      </c>
      <c r="H51" s="20" t="n">
        <v>1.8982584</v>
      </c>
      <c r="I51" s="18" t="n">
        <v>0</v>
      </c>
      <c r="J51" s="20" t="n">
        <v>0</v>
      </c>
      <c r="K51" s="18" t="n">
        <v>0</v>
      </c>
      <c r="L51" s="20" t="n">
        <v>0</v>
      </c>
      <c r="M51" s="18" t="n">
        <v>0</v>
      </c>
      <c r="N51" s="20" t="n">
        <v>0</v>
      </c>
      <c r="O51" s="18" t="n">
        <v>0</v>
      </c>
      <c r="P51" s="20" t="n">
        <v>0</v>
      </c>
      <c r="Q51" s="18" t="n">
        <v>1.42774654</v>
      </c>
      <c r="R51" s="20" t="n">
        <v>0.45143568</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48.27891853</v>
      </c>
      <c r="F55" s="20" t="n">
        <v>2.42705417</v>
      </c>
      <c r="G55" s="18" t="n">
        <v>50.53388601</v>
      </c>
      <c r="H55" s="20" t="n">
        <v>2.50838629</v>
      </c>
      <c r="I55" s="18" t="n">
        <v>0</v>
      </c>
      <c r="J55" s="20" t="n">
        <v>0</v>
      </c>
      <c r="K55" s="18" t="n">
        <v>0.43320348</v>
      </c>
      <c r="L55" s="20" t="n">
        <v>0.32024206</v>
      </c>
      <c r="M55" s="18" t="n">
        <v>0</v>
      </c>
      <c r="N55" s="20" t="n">
        <v>0</v>
      </c>
      <c r="O55" s="18" t="n">
        <v>0</v>
      </c>
      <c r="P55" s="20" t="n">
        <v>0</v>
      </c>
      <c r="Q55" s="18" t="n">
        <v>0.7539919899999999</v>
      </c>
      <c r="R55" s="20" t="n">
        <v>0.35169652</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(5679.0/B61*100)</f>
        <v/>
      </c>
      <c r="D61" s="19" t="n">
        <v>846</v>
      </c>
      <c r="E61" s="18" t="n">
        <v>50.53743923</v>
      </c>
      <c r="F61" s="20" t="n">
        <v>1.78993802</v>
      </c>
      <c r="G61" s="18" t="n">
        <v>47.58815232</v>
      </c>
      <c r="H61" s="20" t="n">
        <v>1.72379812</v>
      </c>
      <c r="I61" s="18" t="n">
        <v>0</v>
      </c>
      <c r="J61" s="20" t="n">
        <v>0</v>
      </c>
      <c r="K61" s="18" t="n">
        <v>0.2083771</v>
      </c>
      <c r="L61" s="20" t="n">
        <v>0.159997</v>
      </c>
      <c r="M61" s="18" t="n">
        <v>0</v>
      </c>
      <c r="N61" s="20" t="n">
        <v>0</v>
      </c>
      <c r="O61" s="18" t="n">
        <v>0</v>
      </c>
      <c r="P61" s="20" t="n">
        <v>0</v>
      </c>
      <c r="Q61" s="18" t="n">
        <v>1.66603135</v>
      </c>
      <c r="R61" s="20" t="n">
        <v>0.48592953</v>
      </c>
    </row>
    <row r="62" spans="1:18">
      <c r="A62" s="15" t="s">
        <v>486</v>
      </c>
      <c r="B62" s="17" t="n">
        <v>4476</v>
      </c>
      <c r="C62" s="18">
        <f>(3929.0/B62*100)</f>
        <v/>
      </c>
      <c r="D62" s="19" t="n">
        <v>547</v>
      </c>
      <c r="E62" s="18" t="n">
        <v>59.10738806</v>
      </c>
      <c r="F62" s="20" t="n">
        <v>1.77056359</v>
      </c>
      <c r="G62" s="18" t="n">
        <v>40.34166336</v>
      </c>
      <c r="H62" s="20" t="n">
        <v>1.82489744</v>
      </c>
      <c r="I62" s="18" t="n">
        <v>0</v>
      </c>
      <c r="J62" s="20" t="n">
        <v>0</v>
      </c>
      <c r="K62" s="18" t="n">
        <v>0.18782305</v>
      </c>
      <c r="L62" s="20" t="n">
        <v>0.18735461</v>
      </c>
      <c r="M62" s="18" t="n">
        <v>0</v>
      </c>
      <c r="N62" s="20" t="n">
        <v>0</v>
      </c>
      <c r="O62" s="18" t="n">
        <v>0</v>
      </c>
      <c r="P62" s="20" t="n">
        <v>0</v>
      </c>
      <c r="Q62" s="18" t="n">
        <v>0.36312553</v>
      </c>
      <c r="R62" s="20" t="n">
        <v>0.2585727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(5003.0/B67*100)</f>
        <v/>
      </c>
      <c r="D67" s="19" t="n">
        <v>662</v>
      </c>
      <c r="E67" s="18" t="n">
        <v>64.01823684999999</v>
      </c>
      <c r="F67" s="20" t="n">
        <v>1.91025906</v>
      </c>
      <c r="G67" s="18" t="n">
        <v>28.68426049</v>
      </c>
      <c r="H67" s="20" t="n">
        <v>1.74298553</v>
      </c>
      <c r="I67" s="18" t="n">
        <v>0</v>
      </c>
      <c r="J67" s="20" t="n">
        <v>0</v>
      </c>
      <c r="K67" s="18" t="n">
        <v>1.40711267</v>
      </c>
      <c r="L67" s="20" t="n">
        <v>0.45315301</v>
      </c>
      <c r="M67" s="18" t="n">
        <v>0</v>
      </c>
      <c r="N67" s="20" t="n">
        <v>0</v>
      </c>
      <c r="O67" s="18" t="n">
        <v>0</v>
      </c>
      <c r="P67" s="20" t="n">
        <v>0</v>
      </c>
      <c r="Q67" s="18" t="n">
        <v>5.89038999</v>
      </c>
      <c r="R67" s="20" t="n">
        <v>0.86803505</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(5331.0/B72*100)</f>
        <v/>
      </c>
      <c r="D72" s="19" t="n">
        <v>705</v>
      </c>
      <c r="E72" s="18" t="n">
        <v>51.78260938</v>
      </c>
      <c r="F72" s="20" t="n">
        <v>2.38462991</v>
      </c>
      <c r="G72" s="18" t="n">
        <v>46.90093262</v>
      </c>
      <c r="H72" s="20" t="n">
        <v>2.31924248</v>
      </c>
      <c r="I72" s="18" t="n">
        <v>0</v>
      </c>
      <c r="J72" s="20" t="n">
        <v>0</v>
      </c>
      <c r="K72" s="18" t="n">
        <v>0.31814964</v>
      </c>
      <c r="L72" s="20" t="n">
        <v>0.21900196</v>
      </c>
      <c r="M72" s="18" t="n">
        <v>0</v>
      </c>
      <c r="N72" s="20" t="n">
        <v>0</v>
      </c>
      <c r="O72" s="18" t="n">
        <v>0</v>
      </c>
      <c r="P72" s="20" t="n">
        <v>0</v>
      </c>
      <c r="Q72" s="18" t="n">
        <v>0.99830836</v>
      </c>
      <c r="R72" s="20" t="n">
        <v>0.46898256</v>
      </c>
    </row>
    <row r="73" spans="1:18">
      <c r="A73" s="15" t="s">
        <v>497</v>
      </c>
      <c r="B73" s="17" t="n">
        <v>6115</v>
      </c>
      <c r="C73" s="18">
        <f>(5346.0/B73*100)</f>
        <v/>
      </c>
      <c r="D73" s="19" t="n">
        <v>769</v>
      </c>
      <c r="E73" s="18" t="n">
        <v>53.52657565</v>
      </c>
      <c r="F73" s="20" t="n">
        <v>1.97320744</v>
      </c>
      <c r="G73" s="18" t="n">
        <v>44.90403566</v>
      </c>
      <c r="H73" s="20" t="n">
        <v>1.93581769</v>
      </c>
      <c r="I73" s="18" t="n">
        <v>0</v>
      </c>
      <c r="J73" s="20" t="n">
        <v>0</v>
      </c>
      <c r="K73" s="18" t="n">
        <v>0.78176891</v>
      </c>
      <c r="L73" s="20" t="n">
        <v>0.24597231</v>
      </c>
      <c r="M73" s="18" t="n">
        <v>0</v>
      </c>
      <c r="N73" s="20" t="n">
        <v>0</v>
      </c>
      <c r="O73" s="18" t="n">
        <v>0</v>
      </c>
      <c r="P73" s="20" t="n">
        <v>0</v>
      </c>
      <c r="Q73" s="18" t="n">
        <v>0.78761978</v>
      </c>
      <c r="R73" s="20" t="n">
        <v>0.32500923</v>
      </c>
    </row>
    <row r="74" spans="1:18">
      <c r="A74" s="15" t="s">
        <v>498</v>
      </c>
      <c r="B74" s="17" t="n">
        <v>7708</v>
      </c>
      <c r="C74" s="18">
        <f>(6752.0/B74*100)</f>
        <v/>
      </c>
      <c r="D74" s="19" t="n">
        <v>956</v>
      </c>
      <c r="E74" s="18" t="n">
        <v>60.77522678</v>
      </c>
      <c r="F74" s="20" t="n">
        <v>1.76638998</v>
      </c>
      <c r="G74" s="18" t="n">
        <v>37.76332384</v>
      </c>
      <c r="H74" s="20" t="n">
        <v>1.67658155</v>
      </c>
      <c r="I74" s="18" t="n">
        <v>0</v>
      </c>
      <c r="J74" s="20" t="n">
        <v>0</v>
      </c>
      <c r="K74" s="18" t="n">
        <v>0.26412652</v>
      </c>
      <c r="L74" s="20" t="n">
        <v>0.14082213</v>
      </c>
      <c r="M74" s="18" t="n">
        <v>0</v>
      </c>
      <c r="N74" s="20" t="n">
        <v>0</v>
      </c>
      <c r="O74" s="18" t="n">
        <v>0</v>
      </c>
      <c r="P74" s="20" t="n">
        <v>0</v>
      </c>
      <c r="Q74" s="18" t="n">
        <v>1.19732285</v>
      </c>
      <c r="R74" s="20" t="n">
        <v>0.38752721</v>
      </c>
    </row>
    <row r="75" spans="1:18">
      <c r="A75" s="15" t="s">
        <v>499</v>
      </c>
      <c r="B75" s="17" t="n">
        <v>8249</v>
      </c>
      <c r="C75" s="18">
        <f>(7262.0/B75*100)</f>
        <v/>
      </c>
      <c r="D75" s="19" t="n">
        <v>987</v>
      </c>
      <c r="E75" s="18" t="n">
        <v>84.28646918</v>
      </c>
      <c r="F75" s="20" t="n">
        <v>1.33828648</v>
      </c>
      <c r="G75" s="18" t="n">
        <v>15.28504971</v>
      </c>
      <c r="H75" s="20" t="n">
        <v>1.34409731</v>
      </c>
      <c r="I75" s="18" t="n">
        <v>0</v>
      </c>
      <c r="J75" s="20" t="n">
        <v>0</v>
      </c>
      <c r="K75" s="18" t="n">
        <v>0.14055945</v>
      </c>
      <c r="L75" s="20" t="n">
        <v>0.14055259</v>
      </c>
      <c r="M75" s="18" t="n">
        <v>0</v>
      </c>
      <c r="N75" s="20" t="n">
        <v>0</v>
      </c>
      <c r="O75" s="18" t="n">
        <v>0</v>
      </c>
      <c r="P75" s="20" t="n">
        <v>0</v>
      </c>
      <c r="Q75" s="18" t="n">
        <v>0.28792166</v>
      </c>
      <c r="R75" s="20" t="n">
        <v>0.20121962</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(28428.0/B82*100)</f>
        <v/>
      </c>
      <c r="D82" s="19" t="n">
        <v>3902</v>
      </c>
      <c r="E82" s="18" t="n">
        <v>60.44692346</v>
      </c>
      <c r="F82" s="20" t="n">
        <v>1.08728041</v>
      </c>
      <c r="G82" s="18" t="n">
        <v>37.3557673</v>
      </c>
      <c r="H82" s="20" t="n">
        <v>1.08347772</v>
      </c>
      <c r="I82" s="18" t="n">
        <v>0</v>
      </c>
      <c r="J82" s="20" t="n">
        <v>0</v>
      </c>
      <c r="K82" s="18" t="n">
        <v>0.19918539</v>
      </c>
      <c r="L82" s="20" t="n">
        <v>0.10617365</v>
      </c>
      <c r="M82" s="18" t="n">
        <v>0</v>
      </c>
      <c r="N82" s="20" t="n">
        <v>0</v>
      </c>
      <c r="O82" s="18" t="n">
        <v>0</v>
      </c>
      <c r="P82" s="20" t="n">
        <v>0</v>
      </c>
      <c r="Q82" s="18" t="n">
        <v>1.99812386</v>
      </c>
      <c r="R82" s="20" t="n">
        <v>0.33348354</v>
      </c>
    </row>
    <row r="83" spans="1:18">
      <c r="A83" s="15" t="s">
        <v>507</v>
      </c>
      <c r="B83" s="17" t="n">
        <v>1652</v>
      </c>
      <c r="C83" s="18">
        <f>(1469.0/B83*100)</f>
        <v/>
      </c>
      <c r="D83" s="19" t="n">
        <v>183</v>
      </c>
      <c r="E83" s="18" t="n">
        <v>62.51049295</v>
      </c>
      <c r="F83" s="20" t="n">
        <v>3.62202527</v>
      </c>
      <c r="G83" s="18" t="n">
        <v>35.95589916</v>
      </c>
      <c r="H83" s="20" t="n">
        <v>3.39913058</v>
      </c>
      <c r="I83" s="18" t="n">
        <v>0</v>
      </c>
      <c r="J83" s="20" t="n">
        <v>0</v>
      </c>
      <c r="K83" s="18" t="n">
        <v>0</v>
      </c>
      <c r="L83" s="20" t="n">
        <v>0</v>
      </c>
      <c r="M83" s="18" t="n">
        <v>0</v>
      </c>
      <c r="N83" s="20" t="n">
        <v>0</v>
      </c>
      <c r="O83" s="18" t="n">
        <v>0</v>
      </c>
      <c r="P83" s="20" t="n">
        <v>0</v>
      </c>
      <c r="Q83" s="18" t="n">
        <v>1.53360788</v>
      </c>
      <c r="R83" s="20" t="n">
        <v>0.88508659</v>
      </c>
    </row>
    <row r="84" spans="1:18">
      <c r="A84" s="23" t="s">
        <v>508</v>
      </c>
      <c r="B84" s="24" t="n">
        <v>1887</v>
      </c>
      <c r="C84" s="25">
        <f>(1659.0/B84*100)</f>
        <v/>
      </c>
      <c r="D84" s="19" t="n">
        <v>228</v>
      </c>
      <c r="E84" s="18" t="n">
        <v>74.76524354999999</v>
      </c>
      <c r="F84" s="20" t="n">
        <v>2.6614471</v>
      </c>
      <c r="G84" s="18" t="n">
        <v>23.97394837</v>
      </c>
      <c r="H84" s="20" t="n">
        <v>2.60806483</v>
      </c>
      <c r="I84" s="18" t="n">
        <v>0</v>
      </c>
      <c r="J84" s="20" t="n">
        <v>0</v>
      </c>
      <c r="K84" s="18" t="n">
        <v>0</v>
      </c>
      <c r="L84" s="20" t="n">
        <v>0</v>
      </c>
      <c r="M84" s="18" t="n">
        <v>0</v>
      </c>
      <c r="N84" s="20" t="n">
        <v>0</v>
      </c>
      <c r="O84" s="18" t="n">
        <v>0</v>
      </c>
      <c r="P84" s="20" t="n">
        <v>0</v>
      </c>
      <c r="Q84" s="18" t="n">
        <v>1.26080808</v>
      </c>
      <c r="R84" s="20" t="n">
        <v>0.74068377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(12719.0/B7*100)</f>
        <v/>
      </c>
      <c r="D7" s="19" t="n">
        <v>1811</v>
      </c>
      <c r="E7" s="18" t="n">
        <v>45.87538624</v>
      </c>
      <c r="F7" s="20" t="n">
        <v>1.5270692</v>
      </c>
      <c r="G7" s="18" t="n">
        <v>53.45601311</v>
      </c>
      <c r="H7" s="20" t="n">
        <v>1.52209741</v>
      </c>
      <c r="I7" s="18" t="n">
        <v>0</v>
      </c>
      <c r="J7" s="20" t="n">
        <v>0</v>
      </c>
      <c r="K7" s="18" t="n">
        <v>0.29622779</v>
      </c>
      <c r="L7" s="20" t="n">
        <v>0.11770789</v>
      </c>
      <c r="M7" s="18" t="n">
        <v>0</v>
      </c>
      <c r="N7" s="20" t="n">
        <v>0</v>
      </c>
      <c r="O7" s="18" t="n">
        <v>0</v>
      </c>
      <c r="P7" s="20" t="n">
        <v>0</v>
      </c>
      <c r="Q7" s="18" t="n">
        <v>0.37237286</v>
      </c>
      <c r="R7" s="20" t="n">
        <v>0.19322871</v>
      </c>
    </row>
    <row r="8" spans="1:18">
      <c r="A8" s="15" t="s">
        <v>430</v>
      </c>
      <c r="B8" s="17" t="n">
        <v>7007</v>
      </c>
      <c r="C8" s="18">
        <f>(6158.0/B8*100)</f>
        <v/>
      </c>
      <c r="D8" s="19" t="n">
        <v>849</v>
      </c>
      <c r="E8" s="18" t="n">
        <v>32.43191631</v>
      </c>
      <c r="F8" s="20" t="n">
        <v>1.72966451</v>
      </c>
      <c r="G8" s="18" t="n">
        <v>66.35959966</v>
      </c>
      <c r="H8" s="20" t="n">
        <v>1.70642298</v>
      </c>
      <c r="I8" s="18" t="n">
        <v>0</v>
      </c>
      <c r="J8" s="20" t="n">
        <v>0</v>
      </c>
      <c r="K8" s="18" t="n">
        <v>0.22598491</v>
      </c>
      <c r="L8" s="20" t="n">
        <v>0.13434785</v>
      </c>
      <c r="M8" s="18" t="n">
        <v>0</v>
      </c>
      <c r="N8" s="20" t="n">
        <v>0</v>
      </c>
      <c r="O8" s="18" t="n">
        <v>0</v>
      </c>
      <c r="P8" s="20" t="n">
        <v>0</v>
      </c>
      <c r="Q8" s="18" t="n">
        <v>0.9824991199999999</v>
      </c>
      <c r="R8" s="20" t="n">
        <v>0.36637972</v>
      </c>
    </row>
    <row r="9" spans="1:18">
      <c r="A9" s="15" t="s">
        <v>431</v>
      </c>
      <c r="B9" s="17" t="n">
        <v>9651</v>
      </c>
      <c r="C9" s="18">
        <f>(8483.0/B9*100)</f>
        <v/>
      </c>
      <c r="D9" s="19" t="n">
        <v>1168</v>
      </c>
      <c r="E9" s="18" t="n">
        <v>31.35528965</v>
      </c>
      <c r="F9" s="20" t="n">
        <v>1.28105628</v>
      </c>
      <c r="G9" s="18" t="n">
        <v>68.20488167000001</v>
      </c>
      <c r="H9" s="20" t="n">
        <v>1.34250285</v>
      </c>
      <c r="I9" s="18" t="n">
        <v>0</v>
      </c>
      <c r="J9" s="20" t="n">
        <v>0</v>
      </c>
      <c r="K9" s="18" t="n">
        <v>0.30768069</v>
      </c>
      <c r="L9" s="20" t="n">
        <v>0.1828687</v>
      </c>
      <c r="M9" s="18" t="n">
        <v>0</v>
      </c>
      <c r="N9" s="20" t="n">
        <v>0</v>
      </c>
      <c r="O9" s="18" t="n">
        <v>0</v>
      </c>
      <c r="P9" s="20" t="n">
        <v>0</v>
      </c>
      <c r="Q9" s="18" t="n">
        <v>0.13214799</v>
      </c>
      <c r="R9" s="20" t="n">
        <v>0.0923356</v>
      </c>
    </row>
    <row r="10" spans="1:18">
      <c r="A10" s="15" t="s">
        <v>432</v>
      </c>
      <c r="B10" s="17" t="n">
        <v>20058</v>
      </c>
      <c r="C10" s="18">
        <f>(17637.0/B10*100)</f>
        <v/>
      </c>
      <c r="D10" s="19" t="n">
        <v>2421</v>
      </c>
      <c r="E10" s="18" t="n">
        <v>40.85397133</v>
      </c>
      <c r="F10" s="20" t="n">
        <v>1.62490711</v>
      </c>
      <c r="G10" s="18" t="n">
        <v>57.99965065</v>
      </c>
      <c r="H10" s="20" t="n">
        <v>1.64537257</v>
      </c>
      <c r="I10" s="18" t="n">
        <v>0</v>
      </c>
      <c r="J10" s="20" t="n">
        <v>0</v>
      </c>
      <c r="K10" s="18" t="n">
        <v>0.55396019</v>
      </c>
      <c r="L10" s="20" t="n">
        <v>0.20687435</v>
      </c>
      <c r="M10" s="18" t="n">
        <v>0</v>
      </c>
      <c r="N10" s="20" t="n">
        <v>0</v>
      </c>
      <c r="O10" s="18" t="n">
        <v>0</v>
      </c>
      <c r="P10" s="20" t="n">
        <v>0</v>
      </c>
      <c r="Q10" s="18" t="n">
        <v>0.59241783</v>
      </c>
      <c r="R10" s="20" t="n">
        <v>0.20740192</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(6060.0/B12*100)</f>
        <v/>
      </c>
      <c r="D12" s="19" t="n">
        <v>834</v>
      </c>
      <c r="E12" s="18" t="n">
        <v>31.94526967</v>
      </c>
      <c r="F12" s="20" t="n">
        <v>2.13563784</v>
      </c>
      <c r="G12" s="18" t="n">
        <v>67.74667829000001</v>
      </c>
      <c r="H12" s="20" t="n">
        <v>2.15050189</v>
      </c>
      <c r="I12" s="18" t="n">
        <v>0</v>
      </c>
      <c r="J12" s="20" t="n">
        <v>0</v>
      </c>
      <c r="K12" s="18" t="n">
        <v>0</v>
      </c>
      <c r="L12" s="20" t="n">
        <v>0</v>
      </c>
      <c r="M12" s="18" t="n">
        <v>0</v>
      </c>
      <c r="N12" s="20" t="n">
        <v>0</v>
      </c>
      <c r="O12" s="18" t="n">
        <v>0</v>
      </c>
      <c r="P12" s="20" t="n">
        <v>0</v>
      </c>
      <c r="Q12" s="18" t="n">
        <v>0.30805204</v>
      </c>
      <c r="R12" s="20" t="n">
        <v>0.24722582</v>
      </c>
    </row>
    <row r="13" spans="1:18">
      <c r="A13" s="15" t="s">
        <v>435</v>
      </c>
      <c r="B13" s="17" t="n">
        <v>7161</v>
      </c>
      <c r="C13" s="18">
        <f>(6329.0/B13*100)</f>
        <v/>
      </c>
      <c r="D13" s="19" t="n">
        <v>832</v>
      </c>
      <c r="E13" s="18" t="n">
        <v>31.98302767</v>
      </c>
      <c r="F13" s="20" t="n">
        <v>2.11862557</v>
      </c>
      <c r="G13" s="18" t="n">
        <v>67.4963722</v>
      </c>
      <c r="H13" s="20" t="n">
        <v>2.12767267</v>
      </c>
      <c r="I13" s="18" t="n">
        <v>0</v>
      </c>
      <c r="J13" s="20" t="n">
        <v>0</v>
      </c>
      <c r="K13" s="18" t="n">
        <v>0.44007422</v>
      </c>
      <c r="L13" s="20" t="n">
        <v>0.28931145</v>
      </c>
      <c r="M13" s="18" t="n">
        <v>0</v>
      </c>
      <c r="N13" s="20" t="n">
        <v>0</v>
      </c>
      <c r="O13" s="18" t="n">
        <v>0</v>
      </c>
      <c r="P13" s="20" t="n">
        <v>0</v>
      </c>
      <c r="Q13" s="18" t="n">
        <v>0.08052591000000001</v>
      </c>
      <c r="R13" s="20" t="n">
        <v>0.08312853000000001</v>
      </c>
    </row>
    <row r="14" spans="1:18">
      <c r="A14" s="15" t="s">
        <v>436</v>
      </c>
      <c r="B14" s="17" t="n">
        <v>5587</v>
      </c>
      <c r="C14" s="18">
        <f>(4900.0/B14*100)</f>
        <v/>
      </c>
      <c r="D14" s="19" t="n">
        <v>687</v>
      </c>
      <c r="E14" s="18" t="n">
        <v>35.2469366</v>
      </c>
      <c r="F14" s="20" t="n">
        <v>2.11876896</v>
      </c>
      <c r="G14" s="18" t="n">
        <v>64.38752194</v>
      </c>
      <c r="H14" s="20" t="n">
        <v>2.10880452</v>
      </c>
      <c r="I14" s="18" t="n">
        <v>0</v>
      </c>
      <c r="J14" s="20" t="n">
        <v>0</v>
      </c>
      <c r="K14" s="18" t="n">
        <v>0</v>
      </c>
      <c r="L14" s="20" t="n">
        <v>0</v>
      </c>
      <c r="M14" s="18" t="n">
        <v>0</v>
      </c>
      <c r="N14" s="20" t="n">
        <v>0</v>
      </c>
      <c r="O14" s="18" t="n">
        <v>0</v>
      </c>
      <c r="P14" s="20" t="n">
        <v>0</v>
      </c>
      <c r="Q14" s="18" t="n">
        <v>0.36554146</v>
      </c>
      <c r="R14" s="20" t="n">
        <v>0.27616305</v>
      </c>
    </row>
    <row r="15" spans="1:18">
      <c r="A15" s="15" t="s">
        <v>437</v>
      </c>
      <c r="B15" s="17" t="n">
        <v>5882</v>
      </c>
      <c r="C15" s="18">
        <f>(5163.0/B15*100)</f>
        <v/>
      </c>
      <c r="D15" s="19" t="n">
        <v>719</v>
      </c>
      <c r="E15" s="18" t="n">
        <v>20.2894136</v>
      </c>
      <c r="F15" s="20" t="n">
        <v>1.43824966</v>
      </c>
      <c r="G15" s="18" t="n">
        <v>79.03858452</v>
      </c>
      <c r="H15" s="20" t="n">
        <v>1.44063965</v>
      </c>
      <c r="I15" s="18" t="n">
        <v>0</v>
      </c>
      <c r="J15" s="20" t="n">
        <v>0</v>
      </c>
      <c r="K15" s="18" t="n">
        <v>0.55107863</v>
      </c>
      <c r="L15" s="20" t="n">
        <v>0.27394415</v>
      </c>
      <c r="M15" s="18" t="n">
        <v>0</v>
      </c>
      <c r="N15" s="20" t="n">
        <v>0</v>
      </c>
      <c r="O15" s="18" t="n">
        <v>0</v>
      </c>
      <c r="P15" s="20" t="n">
        <v>0</v>
      </c>
      <c r="Q15" s="18" t="n">
        <v>0.12092326</v>
      </c>
      <c r="R15" s="20" t="n">
        <v>0.12123397</v>
      </c>
    </row>
    <row r="16" spans="1:18">
      <c r="A16" s="15" t="s">
        <v>438</v>
      </c>
      <c r="B16" s="17" t="n">
        <v>6108</v>
      </c>
      <c r="C16" s="18">
        <f>(5362.0/B16*100)</f>
        <v/>
      </c>
      <c r="D16" s="19" t="n">
        <v>746</v>
      </c>
      <c r="E16" s="18" t="n">
        <v>34.94809365</v>
      </c>
      <c r="F16" s="20" t="n">
        <v>1.74298338</v>
      </c>
      <c r="G16" s="18" t="n">
        <v>63.69516701</v>
      </c>
      <c r="H16" s="20" t="n">
        <v>1.8095568</v>
      </c>
      <c r="I16" s="18" t="n">
        <v>0</v>
      </c>
      <c r="J16" s="20" t="n">
        <v>0</v>
      </c>
      <c r="K16" s="18" t="n">
        <v>0.81977298</v>
      </c>
      <c r="L16" s="20" t="n">
        <v>0.33867579</v>
      </c>
      <c r="M16" s="18" t="n">
        <v>0</v>
      </c>
      <c r="N16" s="20" t="n">
        <v>0</v>
      </c>
      <c r="O16" s="18" t="n">
        <v>0</v>
      </c>
      <c r="P16" s="20" t="n">
        <v>0</v>
      </c>
      <c r="Q16" s="18" t="n">
        <v>0.53696637</v>
      </c>
      <c r="R16" s="20" t="n">
        <v>0.26134089</v>
      </c>
    </row>
    <row r="17" spans="1:18">
      <c r="A17" s="15" t="s">
        <v>439</v>
      </c>
      <c r="B17" s="17" t="n">
        <v>6504</v>
      </c>
      <c r="C17" s="18">
        <f>(5716.0/B17*100)</f>
        <v/>
      </c>
      <c r="D17" s="19" t="n">
        <v>788</v>
      </c>
      <c r="E17" s="18" t="n">
        <v>22.75213523</v>
      </c>
      <c r="F17" s="20" t="n">
        <v>1.65361717</v>
      </c>
      <c r="G17" s="18" t="n">
        <v>76.0667668</v>
      </c>
      <c r="H17" s="20" t="n">
        <v>1.67788999</v>
      </c>
      <c r="I17" s="18" t="n">
        <v>0</v>
      </c>
      <c r="J17" s="20" t="n">
        <v>0</v>
      </c>
      <c r="K17" s="18" t="n">
        <v>0.48971487</v>
      </c>
      <c r="L17" s="20" t="n">
        <v>0.24442955</v>
      </c>
      <c r="M17" s="18" t="n">
        <v>0</v>
      </c>
      <c r="N17" s="20" t="n">
        <v>0</v>
      </c>
      <c r="O17" s="18" t="n">
        <v>0</v>
      </c>
      <c r="P17" s="20" t="n">
        <v>0</v>
      </c>
      <c r="Q17" s="18" t="n">
        <v>0.6913831</v>
      </c>
      <c r="R17" s="20" t="n">
        <v>0.19916906</v>
      </c>
    </row>
    <row r="18" spans="1:18">
      <c r="A18" s="15" t="s">
        <v>440</v>
      </c>
      <c r="B18" s="17" t="n">
        <v>5532</v>
      </c>
      <c r="C18" s="18">
        <f>(4858.0/B18*100)</f>
        <v/>
      </c>
      <c r="D18" s="19" t="n">
        <v>674</v>
      </c>
      <c r="E18" s="18" t="n">
        <v>56.22260027</v>
      </c>
      <c r="F18" s="20" t="n">
        <v>2.0665891</v>
      </c>
      <c r="G18" s="18" t="n">
        <v>42.47920346</v>
      </c>
      <c r="H18" s="20" t="n">
        <v>2.02561111</v>
      </c>
      <c r="I18" s="18" t="n">
        <v>0</v>
      </c>
      <c r="J18" s="20" t="n">
        <v>0</v>
      </c>
      <c r="K18" s="18" t="n">
        <v>0.12266871</v>
      </c>
      <c r="L18" s="20" t="n">
        <v>0.12130654</v>
      </c>
      <c r="M18" s="18" t="n">
        <v>0</v>
      </c>
      <c r="N18" s="20" t="n">
        <v>0</v>
      </c>
      <c r="O18" s="18" t="n">
        <v>0</v>
      </c>
      <c r="P18" s="20" t="n">
        <v>0</v>
      </c>
      <c r="Q18" s="18" t="n">
        <v>1.17552756</v>
      </c>
      <c r="R18" s="20" t="n">
        <v>0.4470912</v>
      </c>
    </row>
    <row r="19" spans="1:18">
      <c r="A19" s="15" t="s">
        <v>441</v>
      </c>
      <c r="B19" s="17" t="n">
        <v>5658</v>
      </c>
      <c r="C19" s="18">
        <f>(4978.0/B19*100)</f>
        <v/>
      </c>
      <c r="D19" s="19" t="n">
        <v>680</v>
      </c>
      <c r="E19" s="18" t="n">
        <v>33.7244921</v>
      </c>
      <c r="F19" s="20" t="n">
        <v>1.99467373</v>
      </c>
      <c r="G19" s="18" t="n">
        <v>65.3962793</v>
      </c>
      <c r="H19" s="20" t="n">
        <v>1.9983684</v>
      </c>
      <c r="I19" s="18" t="n">
        <v>0</v>
      </c>
      <c r="J19" s="20" t="n">
        <v>0</v>
      </c>
      <c r="K19" s="18" t="n">
        <v>0.13280493</v>
      </c>
      <c r="L19" s="20" t="n">
        <v>0.1325625</v>
      </c>
      <c r="M19" s="18" t="n">
        <v>0</v>
      </c>
      <c r="N19" s="20" t="n">
        <v>0</v>
      </c>
      <c r="O19" s="18" t="n">
        <v>0</v>
      </c>
      <c r="P19" s="20" t="n">
        <v>0</v>
      </c>
      <c r="Q19" s="18" t="n">
        <v>0.74642367</v>
      </c>
      <c r="R19" s="20" t="n">
        <v>0.4130472</v>
      </c>
    </row>
    <row r="20" spans="1:18">
      <c r="A20" s="15" t="s">
        <v>442</v>
      </c>
      <c r="B20" s="17" t="n">
        <v>3371</v>
      </c>
      <c r="C20" s="18">
        <f>(2974.0/B20*100)</f>
        <v/>
      </c>
      <c r="D20" s="19" t="n">
        <v>397</v>
      </c>
      <c r="E20" s="18" t="n">
        <v>38.79244771</v>
      </c>
      <c r="F20" s="20" t="n">
        <v>2.59056623</v>
      </c>
      <c r="G20" s="18" t="n">
        <v>60.21533517</v>
      </c>
      <c r="H20" s="20" t="n">
        <v>2.64242706</v>
      </c>
      <c r="I20" s="18" t="n">
        <v>0</v>
      </c>
      <c r="J20" s="20" t="n">
        <v>0</v>
      </c>
      <c r="K20" s="18" t="n">
        <v>0.23891989</v>
      </c>
      <c r="L20" s="20" t="n">
        <v>0.24088973</v>
      </c>
      <c r="M20" s="18" t="n">
        <v>0</v>
      </c>
      <c r="N20" s="20" t="n">
        <v>0</v>
      </c>
      <c r="O20" s="18" t="n">
        <v>0</v>
      </c>
      <c r="P20" s="20" t="n">
        <v>0</v>
      </c>
      <c r="Q20" s="18" t="n">
        <v>0.75329724</v>
      </c>
      <c r="R20" s="20" t="n">
        <v>0.4366674</v>
      </c>
    </row>
    <row r="21" spans="1:18">
      <c r="A21" s="15" t="s">
        <v>443</v>
      </c>
      <c r="B21" s="17" t="n">
        <v>5741</v>
      </c>
      <c r="C21" s="18">
        <f>(4795.0/B21*100)</f>
        <v/>
      </c>
      <c r="D21" s="19" t="n">
        <v>946</v>
      </c>
      <c r="E21" s="18" t="n">
        <v>37.84444485</v>
      </c>
      <c r="F21" s="20" t="n">
        <v>1.62597364</v>
      </c>
      <c r="G21" s="18" t="n">
        <v>61.60073806</v>
      </c>
      <c r="H21" s="20" t="n">
        <v>1.64075564</v>
      </c>
      <c r="I21" s="18" t="n">
        <v>0</v>
      </c>
      <c r="J21" s="20" t="n">
        <v>0</v>
      </c>
      <c r="K21" s="18" t="n">
        <v>0.17140348</v>
      </c>
      <c r="L21" s="20" t="n">
        <v>0.10361286</v>
      </c>
      <c r="M21" s="18" t="n">
        <v>0</v>
      </c>
      <c r="N21" s="20" t="n">
        <v>0</v>
      </c>
      <c r="O21" s="18" t="n">
        <v>0</v>
      </c>
      <c r="P21" s="20" t="n">
        <v>0</v>
      </c>
      <c r="Q21" s="18" t="n">
        <v>0.38341362</v>
      </c>
      <c r="R21" s="20" t="n">
        <v>0.19761119</v>
      </c>
    </row>
    <row r="22" spans="1:18">
      <c r="A22" s="15" t="s">
        <v>444</v>
      </c>
      <c r="B22" s="17" t="n">
        <v>6598</v>
      </c>
      <c r="C22" s="18">
        <f>(5884.0/B22*100)</f>
        <v/>
      </c>
      <c r="D22" s="19" t="n">
        <v>714</v>
      </c>
      <c r="E22" s="18" t="n">
        <v>46.01942189</v>
      </c>
      <c r="F22" s="20" t="n">
        <v>1.75983318</v>
      </c>
      <c r="G22" s="18" t="n">
        <v>52.17490469</v>
      </c>
      <c r="H22" s="20" t="n">
        <v>1.891789</v>
      </c>
      <c r="I22" s="18" t="n">
        <v>0</v>
      </c>
      <c r="J22" s="20" t="n">
        <v>0</v>
      </c>
      <c r="K22" s="18" t="n">
        <v>1.29647684</v>
      </c>
      <c r="L22" s="20" t="n">
        <v>0.52299352</v>
      </c>
      <c r="M22" s="18" t="n">
        <v>0</v>
      </c>
      <c r="N22" s="20" t="n">
        <v>0</v>
      </c>
      <c r="O22" s="18" t="n">
        <v>0</v>
      </c>
      <c r="P22" s="20" t="n">
        <v>0</v>
      </c>
      <c r="Q22" s="18" t="n">
        <v>0.50919658</v>
      </c>
      <c r="R22" s="20" t="n">
        <v>0.25741873</v>
      </c>
    </row>
    <row r="23" spans="1:18">
      <c r="A23" s="15" t="s">
        <v>445</v>
      </c>
      <c r="B23" s="17" t="n">
        <v>11583</v>
      </c>
      <c r="C23" s="18">
        <f>(10187.0/B23*100)</f>
        <v/>
      </c>
      <c r="D23" s="19" t="n">
        <v>1396</v>
      </c>
      <c r="E23" s="18" t="n">
        <v>39.08371264</v>
      </c>
      <c r="F23" s="20" t="n">
        <v>1.97154225</v>
      </c>
      <c r="G23" s="18" t="n">
        <v>60.25539249</v>
      </c>
      <c r="H23" s="20" t="n">
        <v>1.94245249</v>
      </c>
      <c r="I23" s="18" t="n">
        <v>0</v>
      </c>
      <c r="J23" s="20" t="n">
        <v>0</v>
      </c>
      <c r="K23" s="18" t="n">
        <v>0.5337033799999999</v>
      </c>
      <c r="L23" s="20" t="n">
        <v>0.24454722</v>
      </c>
      <c r="M23" s="18" t="n">
        <v>0</v>
      </c>
      <c r="N23" s="20" t="n">
        <v>0</v>
      </c>
      <c r="O23" s="18" t="n">
        <v>0</v>
      </c>
      <c r="P23" s="20" t="n">
        <v>0</v>
      </c>
      <c r="Q23" s="18" t="n">
        <v>0.12719148</v>
      </c>
      <c r="R23" s="20" t="n">
        <v>0.08311191</v>
      </c>
    </row>
    <row r="24" spans="1:18">
      <c r="A24" s="15" t="s">
        <v>446</v>
      </c>
      <c r="B24" s="17" t="n">
        <v>6647</v>
      </c>
      <c r="C24" s="18">
        <f>(5846.0/B24*100)</f>
        <v/>
      </c>
      <c r="D24" s="19" t="n">
        <v>801</v>
      </c>
      <c r="E24" s="18" t="n">
        <v>47.78044486</v>
      </c>
      <c r="F24" s="20" t="n">
        <v>1.94329019</v>
      </c>
      <c r="G24" s="18" t="n">
        <v>51.46526312</v>
      </c>
      <c r="H24" s="20" t="n">
        <v>1.94092908</v>
      </c>
      <c r="I24" s="18" t="n">
        <v>0</v>
      </c>
      <c r="J24" s="20" t="n">
        <v>0</v>
      </c>
      <c r="K24" s="18" t="n">
        <v>0.22572967</v>
      </c>
      <c r="L24" s="20" t="n">
        <v>0.16030678</v>
      </c>
      <c r="M24" s="18" t="n">
        <v>0</v>
      </c>
      <c r="N24" s="20" t="n">
        <v>0</v>
      </c>
      <c r="O24" s="18" t="n">
        <v>0</v>
      </c>
      <c r="P24" s="20" t="n">
        <v>0</v>
      </c>
      <c r="Q24" s="18" t="n">
        <v>0.52856235</v>
      </c>
      <c r="R24" s="20" t="n">
        <v>0.26466038</v>
      </c>
    </row>
    <row r="25" spans="1:18">
      <c r="A25" s="15" t="s">
        <v>447</v>
      </c>
      <c r="B25" s="17" t="n">
        <v>5581</v>
      </c>
      <c r="C25" s="18">
        <f>(4886.0/B25*100)</f>
        <v/>
      </c>
      <c r="D25" s="19" t="n">
        <v>695</v>
      </c>
      <c r="E25" s="18" t="n">
        <v>25.77145736</v>
      </c>
      <c r="F25" s="20" t="n">
        <v>1.5663131</v>
      </c>
      <c r="G25" s="18" t="n">
        <v>74.09451629</v>
      </c>
      <c r="H25" s="20" t="n">
        <v>1.54932188</v>
      </c>
      <c r="I25" s="18" t="n">
        <v>0</v>
      </c>
      <c r="J25" s="20" t="n">
        <v>0</v>
      </c>
      <c r="K25" s="18" t="n">
        <v>0.13402635</v>
      </c>
      <c r="L25" s="20" t="n">
        <v>0.13398772</v>
      </c>
      <c r="M25" s="18" t="n">
        <v>0</v>
      </c>
      <c r="N25" s="20" t="n">
        <v>0</v>
      </c>
      <c r="O25" s="18" t="n">
        <v>0</v>
      </c>
      <c r="P25" s="20" t="n">
        <v>0</v>
      </c>
      <c r="Q25" s="18" t="n">
        <v>0</v>
      </c>
      <c r="R25" s="20" t="n">
        <v>0</v>
      </c>
    </row>
    <row r="26" spans="1:18">
      <c r="A26" s="15" t="s">
        <v>448</v>
      </c>
      <c r="B26" s="17" t="n">
        <v>4869</v>
      </c>
      <c r="C26" s="18">
        <f>(4265.0/B26*100)</f>
        <v/>
      </c>
      <c r="D26" s="19" t="n">
        <v>604</v>
      </c>
      <c r="E26" s="18" t="n">
        <v>60.50389801</v>
      </c>
      <c r="F26" s="20" t="n">
        <v>2.12162669</v>
      </c>
      <c r="G26" s="18" t="n">
        <v>39.49610199</v>
      </c>
      <c r="H26" s="20" t="n">
        <v>2.12162669</v>
      </c>
      <c r="I26" s="18" t="n">
        <v>0</v>
      </c>
      <c r="J26" s="20" t="n">
        <v>0</v>
      </c>
      <c r="K26" s="18" t="n">
        <v>0</v>
      </c>
      <c r="L26" s="20" t="n">
        <v>0</v>
      </c>
      <c r="M26" s="18" t="n">
        <v>0</v>
      </c>
      <c r="N26" s="20" t="n">
        <v>0</v>
      </c>
      <c r="O26" s="18" t="n">
        <v>0</v>
      </c>
      <c r="P26" s="20" t="n">
        <v>0</v>
      </c>
      <c r="Q26" s="18" t="n">
        <v>0</v>
      </c>
      <c r="R26" s="20" t="n">
        <v>0</v>
      </c>
    </row>
    <row r="27" spans="1:18">
      <c r="A27" s="15" t="s">
        <v>449</v>
      </c>
      <c r="B27" s="17" t="n">
        <v>5299</v>
      </c>
      <c r="C27" s="18">
        <f>(4641.0/B27*100)</f>
        <v/>
      </c>
      <c r="D27" s="19" t="n">
        <v>658</v>
      </c>
      <c r="E27" s="18" t="n">
        <v>36.66560678</v>
      </c>
      <c r="F27" s="20" t="n">
        <v>1.77428674</v>
      </c>
      <c r="G27" s="18" t="n">
        <v>63.03654281</v>
      </c>
      <c r="H27" s="20" t="n">
        <v>1.74544608</v>
      </c>
      <c r="I27" s="18" t="n">
        <v>0</v>
      </c>
      <c r="J27" s="20" t="n">
        <v>0</v>
      </c>
      <c r="K27" s="18" t="n">
        <v>0.15242132</v>
      </c>
      <c r="L27" s="20" t="n">
        <v>0.15336124</v>
      </c>
      <c r="M27" s="18" t="n">
        <v>0</v>
      </c>
      <c r="N27" s="20" t="n">
        <v>0</v>
      </c>
      <c r="O27" s="18" t="n">
        <v>0</v>
      </c>
      <c r="P27" s="20" t="n">
        <v>0</v>
      </c>
      <c r="Q27" s="18" t="n">
        <v>0.14542909</v>
      </c>
      <c r="R27" s="20" t="n">
        <v>0.14514756</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25.38108526</v>
      </c>
      <c r="F29" s="20" t="n">
        <v>1.61859408</v>
      </c>
      <c r="G29" s="18" t="n">
        <v>74.10812067000001</v>
      </c>
      <c r="H29" s="20" t="n">
        <v>1.56571673</v>
      </c>
      <c r="I29" s="18" t="n">
        <v>0</v>
      </c>
      <c r="J29" s="20" t="n">
        <v>0</v>
      </c>
      <c r="K29" s="18" t="n">
        <v>0.33875531</v>
      </c>
      <c r="L29" s="20" t="n">
        <v>0.23990196</v>
      </c>
      <c r="M29" s="18" t="n">
        <v>0</v>
      </c>
      <c r="N29" s="20" t="n">
        <v>0</v>
      </c>
      <c r="O29" s="18" t="n">
        <v>0</v>
      </c>
      <c r="P29" s="20" t="n">
        <v>0</v>
      </c>
      <c r="Q29" s="18" t="n">
        <v>0.17203877</v>
      </c>
      <c r="R29" s="20" t="n">
        <v>0.16089821</v>
      </c>
    </row>
    <row r="30" spans="1:18">
      <c r="A30" s="15" t="s">
        <v>452</v>
      </c>
      <c r="B30" s="17" t="n">
        <v>4520</v>
      </c>
      <c r="C30" s="18">
        <f>(3959.0/B30*100)</f>
        <v/>
      </c>
      <c r="D30" s="19" t="n">
        <v>561</v>
      </c>
      <c r="E30" s="18" t="n">
        <v>46.86023561</v>
      </c>
      <c r="F30" s="20" t="n">
        <v>2.25077414</v>
      </c>
      <c r="G30" s="18" t="n">
        <v>52.15987358</v>
      </c>
      <c r="H30" s="20" t="n">
        <v>2.23578668</v>
      </c>
      <c r="I30" s="18" t="n">
        <v>0</v>
      </c>
      <c r="J30" s="20" t="n">
        <v>0</v>
      </c>
      <c r="K30" s="18" t="n">
        <v>0.41041175</v>
      </c>
      <c r="L30" s="20" t="n">
        <v>0.30018209</v>
      </c>
      <c r="M30" s="18" t="n">
        <v>0</v>
      </c>
      <c r="N30" s="20" t="n">
        <v>0</v>
      </c>
      <c r="O30" s="18" t="n">
        <v>0</v>
      </c>
      <c r="P30" s="20" t="n">
        <v>0</v>
      </c>
      <c r="Q30" s="18" t="n">
        <v>0.56947906</v>
      </c>
      <c r="R30" s="20" t="n">
        <v>0.32231436</v>
      </c>
    </row>
    <row r="31" spans="1:18">
      <c r="A31" s="15" t="s">
        <v>453</v>
      </c>
      <c r="B31" s="17" t="n">
        <v>5456</v>
      </c>
      <c r="C31" s="18">
        <f>(4785.0/B31*100)</f>
        <v/>
      </c>
      <c r="D31" s="19" t="n">
        <v>671</v>
      </c>
      <c r="E31" s="18" t="n">
        <v>37.78492936</v>
      </c>
      <c r="F31" s="20" t="n">
        <v>1.63260364</v>
      </c>
      <c r="G31" s="18" t="n">
        <v>61.10872533</v>
      </c>
      <c r="H31" s="20" t="n">
        <v>1.70617434</v>
      </c>
      <c r="I31" s="18" t="n">
        <v>0</v>
      </c>
      <c r="J31" s="20" t="n">
        <v>0</v>
      </c>
      <c r="K31" s="18" t="n">
        <v>0.41263105</v>
      </c>
      <c r="L31" s="20" t="n">
        <v>0.23764307</v>
      </c>
      <c r="M31" s="18" t="n">
        <v>0</v>
      </c>
      <c r="N31" s="20" t="n">
        <v>0</v>
      </c>
      <c r="O31" s="18" t="n">
        <v>0</v>
      </c>
      <c r="P31" s="20" t="n">
        <v>0</v>
      </c>
      <c r="Q31" s="18" t="n">
        <v>0.69371426</v>
      </c>
      <c r="R31" s="20" t="n">
        <v>0.34532135</v>
      </c>
    </row>
    <row r="32" spans="1:18">
      <c r="A32" s="15" t="s">
        <v>454</v>
      </c>
      <c r="B32" s="17" t="n">
        <v>4478</v>
      </c>
      <c r="C32" s="18">
        <f>(3720.0/B32*100)</f>
        <v/>
      </c>
      <c r="D32" s="19" t="n">
        <v>758</v>
      </c>
      <c r="E32" s="18" t="n">
        <v>54.53303477</v>
      </c>
      <c r="F32" s="20" t="n">
        <v>1.88505678</v>
      </c>
      <c r="G32" s="18" t="n">
        <v>45.1954506</v>
      </c>
      <c r="H32" s="20" t="n">
        <v>1.877498</v>
      </c>
      <c r="I32" s="18" t="n">
        <v>0</v>
      </c>
      <c r="J32" s="20" t="n">
        <v>0</v>
      </c>
      <c r="K32" s="18" t="n">
        <v>0.13630571</v>
      </c>
      <c r="L32" s="20" t="n">
        <v>0.11894121</v>
      </c>
      <c r="M32" s="18" t="n">
        <v>0</v>
      </c>
      <c r="N32" s="20" t="n">
        <v>0</v>
      </c>
      <c r="O32" s="18" t="n">
        <v>0</v>
      </c>
      <c r="P32" s="20" t="n">
        <v>0</v>
      </c>
      <c r="Q32" s="18" t="n">
        <v>0.13520891</v>
      </c>
      <c r="R32" s="20" t="n">
        <v>0.12213834</v>
      </c>
    </row>
    <row r="33" spans="1:18">
      <c r="A33" s="15" t="s">
        <v>455</v>
      </c>
      <c r="B33" s="17" t="n">
        <v>7325</v>
      </c>
      <c r="C33" s="18">
        <f>(6435.0/B33*100)</f>
        <v/>
      </c>
      <c r="D33" s="19" t="n">
        <v>890</v>
      </c>
      <c r="E33" s="18" t="n">
        <v>28.48330992</v>
      </c>
      <c r="F33" s="20" t="n">
        <v>1.72103575</v>
      </c>
      <c r="G33" s="18" t="n">
        <v>71.19360811999999</v>
      </c>
      <c r="H33" s="20" t="n">
        <v>1.72439392</v>
      </c>
      <c r="I33" s="18" t="n">
        <v>0</v>
      </c>
      <c r="J33" s="20" t="n">
        <v>0</v>
      </c>
      <c r="K33" s="18" t="n">
        <v>0</v>
      </c>
      <c r="L33" s="20" t="n">
        <v>0</v>
      </c>
      <c r="M33" s="18" t="n">
        <v>0</v>
      </c>
      <c r="N33" s="20" t="n">
        <v>0</v>
      </c>
      <c r="O33" s="18" t="n">
        <v>0</v>
      </c>
      <c r="P33" s="20" t="n">
        <v>0</v>
      </c>
      <c r="Q33" s="18" t="n">
        <v>0.32308196</v>
      </c>
      <c r="R33" s="20" t="n">
        <v>0.20956914</v>
      </c>
    </row>
    <row r="34" spans="1:18">
      <c r="A34" s="15" t="s">
        <v>456</v>
      </c>
      <c r="B34" s="17" t="n">
        <v>6350</v>
      </c>
      <c r="C34" s="18">
        <f>(5574.0/B34*100)</f>
        <v/>
      </c>
      <c r="D34" s="19" t="n">
        <v>776</v>
      </c>
      <c r="E34" s="18" t="n">
        <v>41.24303322</v>
      </c>
      <c r="F34" s="20" t="n">
        <v>2.14039873</v>
      </c>
      <c r="G34" s="18" t="n">
        <v>58.34234976</v>
      </c>
      <c r="H34" s="20" t="n">
        <v>2.10340318</v>
      </c>
      <c r="I34" s="18" t="n">
        <v>0</v>
      </c>
      <c r="J34" s="20" t="n">
        <v>0</v>
      </c>
      <c r="K34" s="18" t="n">
        <v>0.09728709000000001</v>
      </c>
      <c r="L34" s="20" t="n">
        <v>0.09759122000000001</v>
      </c>
      <c r="M34" s="18" t="n">
        <v>0</v>
      </c>
      <c r="N34" s="20" t="n">
        <v>0</v>
      </c>
      <c r="O34" s="18" t="n">
        <v>0</v>
      </c>
      <c r="P34" s="20" t="n">
        <v>0</v>
      </c>
      <c r="Q34" s="18" t="n">
        <v>0.31732993</v>
      </c>
      <c r="R34" s="20" t="n">
        <v>0.17941199</v>
      </c>
    </row>
    <row r="35" spans="1:18">
      <c r="A35" s="15" t="s">
        <v>457</v>
      </c>
      <c r="B35" s="17" t="n">
        <v>6406</v>
      </c>
      <c r="C35" s="18">
        <f>(5614.0/B35*100)</f>
        <v/>
      </c>
      <c r="D35" s="19" t="n">
        <v>792</v>
      </c>
      <c r="E35" s="18" t="n">
        <v>21.41822118</v>
      </c>
      <c r="F35" s="20" t="n">
        <v>1.60216252</v>
      </c>
      <c r="G35" s="18" t="n">
        <v>78.46525702</v>
      </c>
      <c r="H35" s="20" t="n">
        <v>1.60514857</v>
      </c>
      <c r="I35" s="18" t="n">
        <v>0</v>
      </c>
      <c r="J35" s="20" t="n">
        <v>0</v>
      </c>
      <c r="K35" s="18" t="n">
        <v>0.1165218</v>
      </c>
      <c r="L35" s="20" t="n">
        <v>0.08276878</v>
      </c>
      <c r="M35" s="18" t="n">
        <v>0</v>
      </c>
      <c r="N35" s="20" t="n">
        <v>0</v>
      </c>
      <c r="O35" s="18" t="n">
        <v>0</v>
      </c>
      <c r="P35" s="20" t="n">
        <v>0</v>
      </c>
      <c r="Q35" s="18" t="n">
        <v>0</v>
      </c>
      <c r="R35" s="20" t="n">
        <v>0</v>
      </c>
    </row>
    <row r="36" spans="1:18">
      <c r="A36" s="15" t="s">
        <v>458</v>
      </c>
      <c r="B36" s="17" t="n">
        <v>6736</v>
      </c>
      <c r="C36" s="18">
        <f>(5929.0/B36*100)</f>
        <v/>
      </c>
      <c r="D36" s="19" t="n">
        <v>807</v>
      </c>
      <c r="E36" s="18" t="n">
        <v>31.00480842</v>
      </c>
      <c r="F36" s="20" t="n">
        <v>1.97633402</v>
      </c>
      <c r="G36" s="18" t="n">
        <v>68.67864451</v>
      </c>
      <c r="H36" s="20" t="n">
        <v>1.98160142</v>
      </c>
      <c r="I36" s="18" t="n">
        <v>0</v>
      </c>
      <c r="J36" s="20" t="n">
        <v>0</v>
      </c>
      <c r="K36" s="18" t="n">
        <v>0.18106462</v>
      </c>
      <c r="L36" s="20" t="n">
        <v>0.19953299</v>
      </c>
      <c r="M36" s="18" t="n">
        <v>0</v>
      </c>
      <c r="N36" s="20" t="n">
        <v>0</v>
      </c>
      <c r="O36" s="18" t="n">
        <v>0</v>
      </c>
      <c r="P36" s="20" t="n">
        <v>0</v>
      </c>
      <c r="Q36" s="18" t="n">
        <v>0.13548245</v>
      </c>
      <c r="R36" s="20" t="n">
        <v>0.12424925</v>
      </c>
    </row>
    <row r="37" spans="1:18">
      <c r="A37" s="15" t="s">
        <v>459</v>
      </c>
      <c r="B37" s="17" t="n">
        <v>5458</v>
      </c>
      <c r="C37" s="18">
        <f>(4805.0/B37*100)</f>
        <v/>
      </c>
      <c r="D37" s="19" t="n">
        <v>653</v>
      </c>
      <c r="E37" s="18" t="n">
        <v>40.58647747</v>
      </c>
      <c r="F37" s="20" t="n">
        <v>2.05834647</v>
      </c>
      <c r="G37" s="18" t="n">
        <v>57.96324552</v>
      </c>
      <c r="H37" s="20" t="n">
        <v>2.13169859</v>
      </c>
      <c r="I37" s="18" t="n">
        <v>0</v>
      </c>
      <c r="J37" s="20" t="n">
        <v>0</v>
      </c>
      <c r="K37" s="18" t="n">
        <v>0.86952399</v>
      </c>
      <c r="L37" s="20" t="n">
        <v>0.34837645</v>
      </c>
      <c r="M37" s="18" t="n">
        <v>0</v>
      </c>
      <c r="N37" s="20" t="n">
        <v>0</v>
      </c>
      <c r="O37" s="18" t="n">
        <v>0</v>
      </c>
      <c r="P37" s="20" t="n">
        <v>0</v>
      </c>
      <c r="Q37" s="18" t="n">
        <v>0.58075302</v>
      </c>
      <c r="R37" s="20" t="n">
        <v>0.29264053</v>
      </c>
    </row>
    <row r="38" spans="1:18">
      <c r="A38" s="15" t="s">
        <v>460</v>
      </c>
      <c r="B38" s="17" t="n">
        <v>5860</v>
      </c>
      <c r="C38" s="18">
        <f>(4888.0/B38*100)</f>
        <v/>
      </c>
      <c r="D38" s="19" t="n">
        <v>972</v>
      </c>
      <c r="E38" s="18" t="n">
        <v>31.96061893</v>
      </c>
      <c r="F38" s="20" t="n">
        <v>1.68951687</v>
      </c>
      <c r="G38" s="18" t="n">
        <v>66.70236816000001</v>
      </c>
      <c r="H38" s="20" t="n">
        <v>1.77921049</v>
      </c>
      <c r="I38" s="18" t="n">
        <v>0</v>
      </c>
      <c r="J38" s="20" t="n">
        <v>0</v>
      </c>
      <c r="K38" s="18" t="n">
        <v>0.20417973</v>
      </c>
      <c r="L38" s="20" t="n">
        <v>0.13232587</v>
      </c>
      <c r="M38" s="18" t="n">
        <v>0</v>
      </c>
      <c r="N38" s="20" t="n">
        <v>0</v>
      </c>
      <c r="O38" s="18" t="n">
        <v>0</v>
      </c>
      <c r="P38" s="20" t="n">
        <v>0</v>
      </c>
      <c r="Q38" s="18" t="n">
        <v>1.13283319</v>
      </c>
      <c r="R38" s="20" t="n">
        <v>0.42369605</v>
      </c>
    </row>
    <row r="39" spans="1:18">
      <c r="A39" s="15" t="s">
        <v>461</v>
      </c>
      <c r="B39" s="17" t="n">
        <v>5895</v>
      </c>
      <c r="C39" s="18">
        <f>(5160.0/B39*100)</f>
        <v/>
      </c>
      <c r="D39" s="19" t="n">
        <v>735</v>
      </c>
      <c r="E39" s="18" t="n">
        <v>48.94981022</v>
      </c>
      <c r="F39" s="20" t="n">
        <v>2.24315699</v>
      </c>
      <c r="G39" s="18" t="n">
        <v>50.36633172</v>
      </c>
      <c r="H39" s="20" t="n">
        <v>2.29755499</v>
      </c>
      <c r="I39" s="18" t="n">
        <v>0</v>
      </c>
      <c r="J39" s="20" t="n">
        <v>0</v>
      </c>
      <c r="K39" s="18" t="n">
        <v>0.42115435</v>
      </c>
      <c r="L39" s="20" t="n">
        <v>0.31809143</v>
      </c>
      <c r="M39" s="18" t="n">
        <v>0</v>
      </c>
      <c r="N39" s="20" t="n">
        <v>0</v>
      </c>
      <c r="O39" s="18" t="n">
        <v>0</v>
      </c>
      <c r="P39" s="20" t="n">
        <v>0</v>
      </c>
      <c r="Q39" s="18" t="n">
        <v>0.26270371</v>
      </c>
      <c r="R39" s="20" t="n">
        <v>0.2113152</v>
      </c>
    </row>
    <row r="40" spans="1:18">
      <c r="A40" s="15" t="s">
        <v>462</v>
      </c>
      <c r="B40" s="17" t="n">
        <v>14157</v>
      </c>
      <c r="C40" s="18">
        <f>(12380.0/B40*100)</f>
        <v/>
      </c>
      <c r="D40" s="19" t="n">
        <v>1777</v>
      </c>
      <c r="E40" s="18" t="n">
        <v>45.34590983</v>
      </c>
      <c r="F40" s="20" t="n">
        <v>1.82395926</v>
      </c>
      <c r="G40" s="18" t="n">
        <v>53.20705556</v>
      </c>
      <c r="H40" s="20" t="n">
        <v>1.85615579</v>
      </c>
      <c r="I40" s="18" t="n">
        <v>0</v>
      </c>
      <c r="J40" s="20" t="n">
        <v>0</v>
      </c>
      <c r="K40" s="18" t="n">
        <v>0.28621735</v>
      </c>
      <c r="L40" s="20" t="n">
        <v>0.11372342</v>
      </c>
      <c r="M40" s="18" t="n">
        <v>0</v>
      </c>
      <c r="N40" s="20" t="n">
        <v>0</v>
      </c>
      <c r="O40" s="18" t="n">
        <v>0</v>
      </c>
      <c r="P40" s="20" t="n">
        <v>0</v>
      </c>
      <c r="Q40" s="18" t="n">
        <v>1.16081725</v>
      </c>
      <c r="R40" s="20" t="n">
        <v>0.41300058</v>
      </c>
    </row>
    <row r="41" spans="1:18">
      <c r="A41" s="15" t="s">
        <v>463</v>
      </c>
      <c r="B41" s="17" t="n">
        <v>5712</v>
      </c>
      <c r="C41" s="18">
        <f>(5043.0/B41*100)</f>
        <v/>
      </c>
      <c r="D41" s="19" t="n">
        <v>669</v>
      </c>
      <c r="E41" s="18" t="n">
        <v>46.40397945</v>
      </c>
      <c r="F41" s="20" t="n">
        <v>1.84518068</v>
      </c>
      <c r="G41" s="18" t="n">
        <v>53.06806041</v>
      </c>
      <c r="H41" s="20" t="n">
        <v>1.85337427</v>
      </c>
      <c r="I41" s="18" t="n">
        <v>0</v>
      </c>
      <c r="J41" s="20" t="n">
        <v>0</v>
      </c>
      <c r="K41" s="18" t="n">
        <v>0.12245421</v>
      </c>
      <c r="L41" s="20" t="n">
        <v>0.12487256</v>
      </c>
      <c r="M41" s="18" t="n">
        <v>0</v>
      </c>
      <c r="N41" s="20" t="n">
        <v>0</v>
      </c>
      <c r="O41" s="18" t="n">
        <v>0</v>
      </c>
      <c r="P41" s="20" t="n">
        <v>0</v>
      </c>
      <c r="Q41" s="18" t="n">
        <v>0.40550594</v>
      </c>
      <c r="R41" s="20" t="n">
        <v>0.2792583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(8636.0/B48*100)</f>
        <v/>
      </c>
      <c r="D48" s="19" t="n">
        <v>1205</v>
      </c>
      <c r="E48" s="18" t="n">
        <v>37.68215734</v>
      </c>
      <c r="F48" s="20" t="n">
        <v>2.23221309</v>
      </c>
      <c r="G48" s="18" t="n">
        <v>61.30443152</v>
      </c>
      <c r="H48" s="20" t="n">
        <v>2.26383538</v>
      </c>
      <c r="I48" s="18" t="n">
        <v>0</v>
      </c>
      <c r="J48" s="20" t="n">
        <v>0</v>
      </c>
      <c r="K48" s="18" t="n">
        <v>0.29335044</v>
      </c>
      <c r="L48" s="20" t="n">
        <v>0.25509764</v>
      </c>
      <c r="M48" s="18" t="n">
        <v>0</v>
      </c>
      <c r="N48" s="20" t="n">
        <v>0</v>
      </c>
      <c r="O48" s="18" t="n">
        <v>0</v>
      </c>
      <c r="P48" s="20" t="n">
        <v>0</v>
      </c>
      <c r="Q48" s="18" t="n">
        <v>0.7200607</v>
      </c>
      <c r="R48" s="20" t="n">
        <v>0.3827955</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(5086.0/B51*100)</f>
        <v/>
      </c>
      <c r="D51" s="19" t="n">
        <v>723</v>
      </c>
      <c r="E51" s="18" t="n">
        <v>30.14636382</v>
      </c>
      <c r="F51" s="20" t="n">
        <v>1.67448419</v>
      </c>
      <c r="G51" s="18" t="n">
        <v>69.59305413</v>
      </c>
      <c r="H51" s="20" t="n">
        <v>1.65671276</v>
      </c>
      <c r="I51" s="18" t="n">
        <v>0</v>
      </c>
      <c r="J51" s="20" t="n">
        <v>0</v>
      </c>
      <c r="K51" s="18" t="n">
        <v>0</v>
      </c>
      <c r="L51" s="20" t="n">
        <v>0</v>
      </c>
      <c r="M51" s="18" t="n">
        <v>0</v>
      </c>
      <c r="N51" s="20" t="n">
        <v>0</v>
      </c>
      <c r="O51" s="18" t="n">
        <v>0</v>
      </c>
      <c r="P51" s="20" t="n">
        <v>0</v>
      </c>
      <c r="Q51" s="18" t="n">
        <v>0.26058205</v>
      </c>
      <c r="R51" s="20" t="n">
        <v>0.18565091</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25.99312199</v>
      </c>
      <c r="F55" s="20" t="n">
        <v>1.92966868</v>
      </c>
      <c r="G55" s="18" t="n">
        <v>73.57327359</v>
      </c>
      <c r="H55" s="20" t="n">
        <v>2.00720807</v>
      </c>
      <c r="I55" s="18" t="n">
        <v>0</v>
      </c>
      <c r="J55" s="20" t="n">
        <v>0</v>
      </c>
      <c r="K55" s="18" t="n">
        <v>0.43360442</v>
      </c>
      <c r="L55" s="20" t="n">
        <v>0.32054437</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(5681.0/B61*100)</f>
        <v/>
      </c>
      <c r="D61" s="19" t="n">
        <v>844</v>
      </c>
      <c r="E61" s="18" t="n">
        <v>36.04782016</v>
      </c>
      <c r="F61" s="20" t="n">
        <v>1.8507589</v>
      </c>
      <c r="G61" s="18" t="n">
        <v>63.60080216</v>
      </c>
      <c r="H61" s="20" t="n">
        <v>1.81402561</v>
      </c>
      <c r="I61" s="18" t="n">
        <v>0</v>
      </c>
      <c r="J61" s="20" t="n">
        <v>0</v>
      </c>
      <c r="K61" s="18" t="n">
        <v>0.20896105</v>
      </c>
      <c r="L61" s="20" t="n">
        <v>0.16043033</v>
      </c>
      <c r="M61" s="18" t="n">
        <v>0</v>
      </c>
      <c r="N61" s="20" t="n">
        <v>0</v>
      </c>
      <c r="O61" s="18" t="n">
        <v>0</v>
      </c>
      <c r="P61" s="20" t="n">
        <v>0</v>
      </c>
      <c r="Q61" s="18" t="n">
        <v>0.14241663</v>
      </c>
      <c r="R61" s="20" t="n">
        <v>0.15867363</v>
      </c>
    </row>
    <row r="62" spans="1:18">
      <c r="A62" s="15" t="s">
        <v>486</v>
      </c>
      <c r="B62" s="17" t="n">
        <v>4476</v>
      </c>
      <c r="C62" s="18">
        <f>(3934.0/B62*100)</f>
        <v/>
      </c>
      <c r="D62" s="19" t="n">
        <v>542</v>
      </c>
      <c r="E62" s="18" t="n">
        <v>34.32539361</v>
      </c>
      <c r="F62" s="20" t="n">
        <v>1.72169302</v>
      </c>
      <c r="G62" s="18" t="n">
        <v>65.11301222</v>
      </c>
      <c r="H62" s="20" t="n">
        <v>1.73904058</v>
      </c>
      <c r="I62" s="18" t="n">
        <v>0</v>
      </c>
      <c r="J62" s="20" t="n">
        <v>0</v>
      </c>
      <c r="K62" s="18" t="n">
        <v>0.18955943</v>
      </c>
      <c r="L62" s="20" t="n">
        <v>0.18925272</v>
      </c>
      <c r="M62" s="18" t="n">
        <v>0</v>
      </c>
      <c r="N62" s="20" t="n">
        <v>0</v>
      </c>
      <c r="O62" s="18" t="n">
        <v>0</v>
      </c>
      <c r="P62" s="20" t="n">
        <v>0</v>
      </c>
      <c r="Q62" s="18" t="n">
        <v>0.37203474</v>
      </c>
      <c r="R62" s="20" t="n">
        <v>0.26455132</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(5007.0/B67*100)</f>
        <v/>
      </c>
      <c r="D67" s="19" t="n">
        <v>658</v>
      </c>
      <c r="E67" s="18" t="n">
        <v>53.23239204</v>
      </c>
      <c r="F67" s="20" t="n">
        <v>2.12886908</v>
      </c>
      <c r="G67" s="18" t="n">
        <v>43.33799461</v>
      </c>
      <c r="H67" s="20" t="n">
        <v>1.98414247</v>
      </c>
      <c r="I67" s="18" t="n">
        <v>0</v>
      </c>
      <c r="J67" s="20" t="n">
        <v>0</v>
      </c>
      <c r="K67" s="18" t="n">
        <v>1.54681739</v>
      </c>
      <c r="L67" s="20" t="n">
        <v>0.47530886</v>
      </c>
      <c r="M67" s="18" t="n">
        <v>0</v>
      </c>
      <c r="N67" s="20" t="n">
        <v>0</v>
      </c>
      <c r="O67" s="18" t="n">
        <v>0</v>
      </c>
      <c r="P67" s="20" t="n">
        <v>0</v>
      </c>
      <c r="Q67" s="18" t="n">
        <v>1.88279596</v>
      </c>
      <c r="R67" s="20" t="n">
        <v>0.55231876</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(5344.0/B72*100)</f>
        <v/>
      </c>
      <c r="D72" s="19" t="n">
        <v>692</v>
      </c>
      <c r="E72" s="18" t="n">
        <v>47.5228631</v>
      </c>
      <c r="F72" s="20" t="n">
        <v>2.11354575</v>
      </c>
      <c r="G72" s="18" t="n">
        <v>51.49342816</v>
      </c>
      <c r="H72" s="20" t="n">
        <v>2.17613554</v>
      </c>
      <c r="I72" s="18" t="n">
        <v>0</v>
      </c>
      <c r="J72" s="20" t="n">
        <v>0</v>
      </c>
      <c r="K72" s="18" t="n">
        <v>0.40072915</v>
      </c>
      <c r="L72" s="20" t="n">
        <v>0.22874819</v>
      </c>
      <c r="M72" s="18" t="n">
        <v>0</v>
      </c>
      <c r="N72" s="20" t="n">
        <v>0</v>
      </c>
      <c r="O72" s="18" t="n">
        <v>0</v>
      </c>
      <c r="P72" s="20" t="n">
        <v>0</v>
      </c>
      <c r="Q72" s="18" t="n">
        <v>0.5829796</v>
      </c>
      <c r="R72" s="20" t="n">
        <v>0.38918986</v>
      </c>
    </row>
    <row r="73" spans="1:18">
      <c r="A73" s="15" t="s">
        <v>497</v>
      </c>
      <c r="B73" s="17" t="n">
        <v>6115</v>
      </c>
      <c r="C73" s="18">
        <f>(5347.0/B73*100)</f>
        <v/>
      </c>
      <c r="D73" s="19" t="n">
        <v>768</v>
      </c>
      <c r="E73" s="18" t="n">
        <v>45.28645351</v>
      </c>
      <c r="F73" s="20" t="n">
        <v>1.70047275</v>
      </c>
      <c r="G73" s="18" t="n">
        <v>53.5297199</v>
      </c>
      <c r="H73" s="20" t="n">
        <v>1.70316581</v>
      </c>
      <c r="I73" s="18" t="n">
        <v>0</v>
      </c>
      <c r="J73" s="20" t="n">
        <v>0</v>
      </c>
      <c r="K73" s="18" t="n">
        <v>0.89896826</v>
      </c>
      <c r="L73" s="20" t="n">
        <v>0.26942424</v>
      </c>
      <c r="M73" s="18" t="n">
        <v>0</v>
      </c>
      <c r="N73" s="20" t="n">
        <v>0</v>
      </c>
      <c r="O73" s="18" t="n">
        <v>0</v>
      </c>
      <c r="P73" s="20" t="n">
        <v>0</v>
      </c>
      <c r="Q73" s="18" t="n">
        <v>0.28485832</v>
      </c>
      <c r="R73" s="20" t="n">
        <v>0.19141971</v>
      </c>
    </row>
    <row r="74" spans="1:18">
      <c r="A74" s="15" t="s">
        <v>498</v>
      </c>
      <c r="B74" s="17" t="n">
        <v>7708</v>
      </c>
      <c r="C74" s="18">
        <f>(6751.0/B74*100)</f>
        <v/>
      </c>
      <c r="D74" s="19" t="n">
        <v>957</v>
      </c>
      <c r="E74" s="18" t="n">
        <v>36.99328124</v>
      </c>
      <c r="F74" s="20" t="n">
        <v>1.41484172</v>
      </c>
      <c r="G74" s="18" t="n">
        <v>62.38153663</v>
      </c>
      <c r="H74" s="20" t="n">
        <v>1.44765133</v>
      </c>
      <c r="I74" s="18" t="n">
        <v>0</v>
      </c>
      <c r="J74" s="20" t="n">
        <v>0</v>
      </c>
      <c r="K74" s="18" t="n">
        <v>0.26392776</v>
      </c>
      <c r="L74" s="20" t="n">
        <v>0.14071527</v>
      </c>
      <c r="M74" s="18" t="n">
        <v>0</v>
      </c>
      <c r="N74" s="20" t="n">
        <v>0</v>
      </c>
      <c r="O74" s="18" t="n">
        <v>0</v>
      </c>
      <c r="P74" s="20" t="n">
        <v>0</v>
      </c>
      <c r="Q74" s="18" t="n">
        <v>0.36125437</v>
      </c>
      <c r="R74" s="20" t="n">
        <v>0.19682569</v>
      </c>
    </row>
    <row r="75" spans="1:18">
      <c r="A75" s="15" t="s">
        <v>499</v>
      </c>
      <c r="B75" s="17" t="n">
        <v>8249</v>
      </c>
      <c r="C75" s="18">
        <f>(7267.0/B75*100)</f>
        <v/>
      </c>
      <c r="D75" s="19" t="n">
        <v>982</v>
      </c>
      <c r="E75" s="18" t="n">
        <v>62.10082408</v>
      </c>
      <c r="F75" s="20" t="n">
        <v>2.2447091</v>
      </c>
      <c r="G75" s="18" t="n">
        <v>37.23340774</v>
      </c>
      <c r="H75" s="20" t="n">
        <v>2.16736386</v>
      </c>
      <c r="I75" s="18" t="n">
        <v>0</v>
      </c>
      <c r="J75" s="20" t="n">
        <v>0</v>
      </c>
      <c r="K75" s="18" t="n">
        <v>0.14143551</v>
      </c>
      <c r="L75" s="20" t="n">
        <v>0.1414247</v>
      </c>
      <c r="M75" s="18" t="n">
        <v>0</v>
      </c>
      <c r="N75" s="20" t="n">
        <v>0</v>
      </c>
      <c r="O75" s="18" t="n">
        <v>0</v>
      </c>
      <c r="P75" s="20" t="n">
        <v>0</v>
      </c>
      <c r="Q75" s="18" t="n">
        <v>0.52433268</v>
      </c>
      <c r="R75" s="20" t="n">
        <v>0.27294266</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(28444.0/B82*100)</f>
        <v/>
      </c>
      <c r="D82" s="19" t="n">
        <v>3886</v>
      </c>
      <c r="E82" s="18" t="n">
        <v>30.53389605</v>
      </c>
      <c r="F82" s="20" t="n">
        <v>1.32739356</v>
      </c>
      <c r="G82" s="18" t="n">
        <v>68.88176882</v>
      </c>
      <c r="H82" s="20" t="n">
        <v>1.36090366</v>
      </c>
      <c r="I82" s="18" t="n">
        <v>0</v>
      </c>
      <c r="J82" s="20" t="n">
        <v>0</v>
      </c>
      <c r="K82" s="18" t="n">
        <v>0.25066357</v>
      </c>
      <c r="L82" s="20" t="n">
        <v>0.10809181</v>
      </c>
      <c r="M82" s="18" t="n">
        <v>0</v>
      </c>
      <c r="N82" s="20" t="n">
        <v>0</v>
      </c>
      <c r="O82" s="18" t="n">
        <v>0</v>
      </c>
      <c r="P82" s="20" t="n">
        <v>0</v>
      </c>
      <c r="Q82" s="18" t="n">
        <v>0.33367156</v>
      </c>
      <c r="R82" s="20" t="n">
        <v>0.10933174</v>
      </c>
    </row>
    <row r="83" spans="1:18">
      <c r="A83" s="15" t="s">
        <v>507</v>
      </c>
      <c r="B83" s="17" t="n">
        <v>1652</v>
      </c>
      <c r="C83" s="18">
        <f>(1469.0/B83*100)</f>
        <v/>
      </c>
      <c r="D83" s="19" t="n">
        <v>183</v>
      </c>
      <c r="E83" s="18" t="n">
        <v>35.26406117</v>
      </c>
      <c r="F83" s="20" t="n">
        <v>3.43365502</v>
      </c>
      <c r="G83" s="18" t="n">
        <v>64.73593882999999</v>
      </c>
      <c r="H83" s="20" t="n">
        <v>3.43365502</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(1661.0/B84*100)</f>
        <v/>
      </c>
      <c r="D84" s="19" t="n">
        <v>226</v>
      </c>
      <c r="E84" s="18" t="n">
        <v>50.82735994</v>
      </c>
      <c r="F84" s="20" t="n">
        <v>2.99555014</v>
      </c>
      <c r="G84" s="18" t="n">
        <v>49.17264006</v>
      </c>
      <c r="H84" s="20" t="n">
        <v>2.99555014</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(12720.0/B7*100)</f>
        <v/>
      </c>
      <c r="D7" s="19" t="n">
        <v>1810</v>
      </c>
      <c r="E7" s="18" t="n">
        <v>32.76725988</v>
      </c>
      <c r="F7" s="20" t="n">
        <v>1.19258052</v>
      </c>
      <c r="G7" s="18" t="n">
        <v>66.24188463</v>
      </c>
      <c r="H7" s="20" t="n">
        <v>1.21948182</v>
      </c>
      <c r="I7" s="18" t="n">
        <v>0</v>
      </c>
      <c r="J7" s="20" t="n">
        <v>0</v>
      </c>
      <c r="K7" s="18" t="n">
        <v>0.38607483</v>
      </c>
      <c r="L7" s="20" t="n">
        <v>0.14248388</v>
      </c>
      <c r="M7" s="18" t="n">
        <v>0</v>
      </c>
      <c r="N7" s="20" t="n">
        <v>0</v>
      </c>
      <c r="O7" s="18" t="n">
        <v>0</v>
      </c>
      <c r="P7" s="20" t="n">
        <v>0</v>
      </c>
      <c r="Q7" s="18" t="n">
        <v>0.60478066</v>
      </c>
      <c r="R7" s="20" t="n">
        <v>0.20416711</v>
      </c>
    </row>
    <row r="8" spans="1:18">
      <c r="A8" s="15" t="s">
        <v>430</v>
      </c>
      <c r="B8" s="17" t="n">
        <v>7007</v>
      </c>
      <c r="C8" s="18">
        <f>(6158.0/B8*100)</f>
        <v/>
      </c>
      <c r="D8" s="19" t="n">
        <v>849</v>
      </c>
      <c r="E8" s="18" t="n">
        <v>28.74783768</v>
      </c>
      <c r="F8" s="20" t="n">
        <v>1.90016935</v>
      </c>
      <c r="G8" s="18" t="n">
        <v>69.67870554</v>
      </c>
      <c r="H8" s="20" t="n">
        <v>1.83103219</v>
      </c>
      <c r="I8" s="18" t="n">
        <v>0</v>
      </c>
      <c r="J8" s="20" t="n">
        <v>0</v>
      </c>
      <c r="K8" s="18" t="n">
        <v>0.22598491</v>
      </c>
      <c r="L8" s="20" t="n">
        <v>0.13434785</v>
      </c>
      <c r="M8" s="18" t="n">
        <v>0</v>
      </c>
      <c r="N8" s="20" t="n">
        <v>0</v>
      </c>
      <c r="O8" s="18" t="n">
        <v>0</v>
      </c>
      <c r="P8" s="20" t="n">
        <v>0</v>
      </c>
      <c r="Q8" s="18" t="n">
        <v>1.34747187</v>
      </c>
      <c r="R8" s="20" t="n">
        <v>0.50002577</v>
      </c>
    </row>
    <row r="9" spans="1:18">
      <c r="A9" s="15" t="s">
        <v>431</v>
      </c>
      <c r="B9" s="17" t="n">
        <v>9651</v>
      </c>
      <c r="C9" s="18">
        <f>(8485.0/B9*100)</f>
        <v/>
      </c>
      <c r="D9" s="19" t="n">
        <v>1166</v>
      </c>
      <c r="E9" s="18" t="n">
        <v>39.49026267</v>
      </c>
      <c r="F9" s="20" t="n">
        <v>1.53533405</v>
      </c>
      <c r="G9" s="18" t="n">
        <v>58.89277371</v>
      </c>
      <c r="H9" s="20" t="n">
        <v>1.62206023</v>
      </c>
      <c r="I9" s="18" t="n">
        <v>0</v>
      </c>
      <c r="J9" s="20" t="n">
        <v>0</v>
      </c>
      <c r="K9" s="18" t="n">
        <v>0.47794974</v>
      </c>
      <c r="L9" s="20" t="n">
        <v>0.22135851</v>
      </c>
      <c r="M9" s="18" t="n">
        <v>0</v>
      </c>
      <c r="N9" s="20" t="n">
        <v>0</v>
      </c>
      <c r="O9" s="18" t="n">
        <v>0</v>
      </c>
      <c r="P9" s="20" t="n">
        <v>0</v>
      </c>
      <c r="Q9" s="18" t="n">
        <v>1.13901389</v>
      </c>
      <c r="R9" s="20" t="n">
        <v>0.34019526</v>
      </c>
    </row>
    <row r="10" spans="1:18">
      <c r="A10" s="15" t="s">
        <v>432</v>
      </c>
      <c r="B10" s="17" t="n">
        <v>20058</v>
      </c>
      <c r="C10" s="18">
        <f>(17637.0/B10*100)</f>
        <v/>
      </c>
      <c r="D10" s="19" t="n">
        <v>2421</v>
      </c>
      <c r="E10" s="18" t="n">
        <v>31.27092024</v>
      </c>
      <c r="F10" s="20" t="n">
        <v>1.32090131</v>
      </c>
      <c r="G10" s="18" t="n">
        <v>67.43629184</v>
      </c>
      <c r="H10" s="20" t="n">
        <v>1.35275986</v>
      </c>
      <c r="I10" s="18" t="n">
        <v>0</v>
      </c>
      <c r="J10" s="20" t="n">
        <v>0</v>
      </c>
      <c r="K10" s="18" t="n">
        <v>0.70153649</v>
      </c>
      <c r="L10" s="20" t="n">
        <v>0.23574718</v>
      </c>
      <c r="M10" s="18" t="n">
        <v>0</v>
      </c>
      <c r="N10" s="20" t="n">
        <v>0</v>
      </c>
      <c r="O10" s="18" t="n">
        <v>0</v>
      </c>
      <c r="P10" s="20" t="n">
        <v>0</v>
      </c>
      <c r="Q10" s="18" t="n">
        <v>0.59125143</v>
      </c>
      <c r="R10" s="20" t="n">
        <v>0.2143995</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(6061.0/B12*100)</f>
        <v/>
      </c>
      <c r="D12" s="19" t="n">
        <v>833</v>
      </c>
      <c r="E12" s="18" t="n">
        <v>43.71038631</v>
      </c>
      <c r="F12" s="20" t="n">
        <v>1.91427435</v>
      </c>
      <c r="G12" s="18" t="n">
        <v>54.47946759</v>
      </c>
      <c r="H12" s="20" t="n">
        <v>2.00219115</v>
      </c>
      <c r="I12" s="18" t="n">
        <v>0</v>
      </c>
      <c r="J12" s="20" t="n">
        <v>0</v>
      </c>
      <c r="K12" s="18" t="n">
        <v>0</v>
      </c>
      <c r="L12" s="20" t="n">
        <v>0</v>
      </c>
      <c r="M12" s="18" t="n">
        <v>0</v>
      </c>
      <c r="N12" s="20" t="n">
        <v>0</v>
      </c>
      <c r="O12" s="18" t="n">
        <v>0</v>
      </c>
      <c r="P12" s="20" t="n">
        <v>0</v>
      </c>
      <c r="Q12" s="18" t="n">
        <v>1.81014611</v>
      </c>
      <c r="R12" s="20" t="n">
        <v>0.64497917</v>
      </c>
    </row>
    <row r="13" spans="1:18">
      <c r="A13" s="15" t="s">
        <v>435</v>
      </c>
      <c r="B13" s="17" t="n">
        <v>7161</v>
      </c>
      <c r="C13" s="18">
        <f>(6329.0/B13*100)</f>
        <v/>
      </c>
      <c r="D13" s="19" t="n">
        <v>832</v>
      </c>
      <c r="E13" s="18" t="n">
        <v>30.14748549</v>
      </c>
      <c r="F13" s="20" t="n">
        <v>1.76815695</v>
      </c>
      <c r="G13" s="18" t="n">
        <v>69.01842743</v>
      </c>
      <c r="H13" s="20" t="n">
        <v>1.72757912</v>
      </c>
      <c r="I13" s="18" t="n">
        <v>0</v>
      </c>
      <c r="J13" s="20" t="n">
        <v>0</v>
      </c>
      <c r="K13" s="18" t="n">
        <v>0.49441928</v>
      </c>
      <c r="L13" s="20" t="n">
        <v>0.29273288</v>
      </c>
      <c r="M13" s="18" t="n">
        <v>0</v>
      </c>
      <c r="N13" s="20" t="n">
        <v>0</v>
      </c>
      <c r="O13" s="18" t="n">
        <v>0</v>
      </c>
      <c r="P13" s="20" t="n">
        <v>0</v>
      </c>
      <c r="Q13" s="18" t="n">
        <v>0.33966779</v>
      </c>
      <c r="R13" s="20" t="n">
        <v>0.20686073</v>
      </c>
    </row>
    <row r="14" spans="1:18">
      <c r="A14" s="15" t="s">
        <v>436</v>
      </c>
      <c r="B14" s="17" t="n">
        <v>5587</v>
      </c>
      <c r="C14" s="18">
        <f>(4900.0/B14*100)</f>
        <v/>
      </c>
      <c r="D14" s="19" t="n">
        <v>687</v>
      </c>
      <c r="E14" s="18" t="n">
        <v>30.25630364</v>
      </c>
      <c r="F14" s="20" t="n">
        <v>2.00208301</v>
      </c>
      <c r="G14" s="18" t="n">
        <v>69.47876709000001</v>
      </c>
      <c r="H14" s="20" t="n">
        <v>2.00657676</v>
      </c>
      <c r="I14" s="18" t="n">
        <v>0</v>
      </c>
      <c r="J14" s="20" t="n">
        <v>0</v>
      </c>
      <c r="K14" s="18" t="n">
        <v>0</v>
      </c>
      <c r="L14" s="20" t="n">
        <v>0</v>
      </c>
      <c r="M14" s="18" t="n">
        <v>0</v>
      </c>
      <c r="N14" s="20" t="n">
        <v>0</v>
      </c>
      <c r="O14" s="18" t="n">
        <v>0</v>
      </c>
      <c r="P14" s="20" t="n">
        <v>0</v>
      </c>
      <c r="Q14" s="18" t="n">
        <v>0.26492926</v>
      </c>
      <c r="R14" s="20" t="n">
        <v>0.19306292</v>
      </c>
    </row>
    <row r="15" spans="1:18">
      <c r="A15" s="15" t="s">
        <v>437</v>
      </c>
      <c r="B15" s="17" t="n">
        <v>5882</v>
      </c>
      <c r="C15" s="18">
        <f>(5166.0/B15*100)</f>
        <v/>
      </c>
      <c r="D15" s="19" t="n">
        <v>716</v>
      </c>
      <c r="E15" s="18" t="n">
        <v>18.67412823</v>
      </c>
      <c r="F15" s="20" t="n">
        <v>1.57356076</v>
      </c>
      <c r="G15" s="18" t="n">
        <v>80.06275692</v>
      </c>
      <c r="H15" s="20" t="n">
        <v>1.77977412</v>
      </c>
      <c r="I15" s="18" t="n">
        <v>0</v>
      </c>
      <c r="J15" s="20" t="n">
        <v>0</v>
      </c>
      <c r="K15" s="18" t="n">
        <v>0.55329967</v>
      </c>
      <c r="L15" s="20" t="n">
        <v>0.27507218</v>
      </c>
      <c r="M15" s="18" t="n">
        <v>0</v>
      </c>
      <c r="N15" s="20" t="n">
        <v>0</v>
      </c>
      <c r="O15" s="18" t="n">
        <v>0</v>
      </c>
      <c r="P15" s="20" t="n">
        <v>0</v>
      </c>
      <c r="Q15" s="18" t="n">
        <v>0.70981519</v>
      </c>
      <c r="R15" s="20" t="n">
        <v>0.4538579</v>
      </c>
    </row>
    <row r="16" spans="1:18">
      <c r="A16" s="15" t="s">
        <v>438</v>
      </c>
      <c r="B16" s="17" t="n">
        <v>6108</v>
      </c>
      <c r="C16" s="18">
        <f>(5362.0/B16*100)</f>
        <v/>
      </c>
      <c r="D16" s="19" t="n">
        <v>746</v>
      </c>
      <c r="E16" s="18" t="n">
        <v>34.88605383</v>
      </c>
      <c r="F16" s="20" t="n">
        <v>1.6977558</v>
      </c>
      <c r="G16" s="18" t="n">
        <v>61.5571618</v>
      </c>
      <c r="H16" s="20" t="n">
        <v>1.75078896</v>
      </c>
      <c r="I16" s="18" t="n">
        <v>0</v>
      </c>
      <c r="J16" s="20" t="n">
        <v>0</v>
      </c>
      <c r="K16" s="18" t="n">
        <v>1.21633043</v>
      </c>
      <c r="L16" s="20" t="n">
        <v>0.40734668</v>
      </c>
      <c r="M16" s="18" t="n">
        <v>0</v>
      </c>
      <c r="N16" s="20" t="n">
        <v>0</v>
      </c>
      <c r="O16" s="18" t="n">
        <v>0</v>
      </c>
      <c r="P16" s="20" t="n">
        <v>0</v>
      </c>
      <c r="Q16" s="18" t="n">
        <v>2.34045395</v>
      </c>
      <c r="R16" s="20" t="n">
        <v>0.55898546</v>
      </c>
    </row>
    <row r="17" spans="1:18">
      <c r="A17" s="15" t="s">
        <v>439</v>
      </c>
      <c r="B17" s="17" t="n">
        <v>6504</v>
      </c>
      <c r="C17" s="18">
        <f>(5716.0/B17*100)</f>
        <v/>
      </c>
      <c r="D17" s="19" t="n">
        <v>788</v>
      </c>
      <c r="E17" s="18" t="n">
        <v>25.96331174</v>
      </c>
      <c r="F17" s="20" t="n">
        <v>1.59592356</v>
      </c>
      <c r="G17" s="18" t="n">
        <v>72.72533000999999</v>
      </c>
      <c r="H17" s="20" t="n">
        <v>1.67903709</v>
      </c>
      <c r="I17" s="18" t="n">
        <v>0</v>
      </c>
      <c r="J17" s="20" t="n">
        <v>0</v>
      </c>
      <c r="K17" s="18" t="n">
        <v>0.48971487</v>
      </c>
      <c r="L17" s="20" t="n">
        <v>0.24442955</v>
      </c>
      <c r="M17" s="18" t="n">
        <v>0</v>
      </c>
      <c r="N17" s="20" t="n">
        <v>0</v>
      </c>
      <c r="O17" s="18" t="n">
        <v>0</v>
      </c>
      <c r="P17" s="20" t="n">
        <v>0</v>
      </c>
      <c r="Q17" s="18" t="n">
        <v>0.82164338</v>
      </c>
      <c r="R17" s="20" t="n">
        <v>0.25281222</v>
      </c>
    </row>
    <row r="18" spans="1:18">
      <c r="A18" s="15" t="s">
        <v>440</v>
      </c>
      <c r="B18" s="17" t="n">
        <v>5532</v>
      </c>
      <c r="C18" s="18">
        <f>(4858.0/B18*100)</f>
        <v/>
      </c>
      <c r="D18" s="19" t="n">
        <v>674</v>
      </c>
      <c r="E18" s="18" t="n">
        <v>35.23513942</v>
      </c>
      <c r="F18" s="20" t="n">
        <v>2.14386421</v>
      </c>
      <c r="G18" s="18" t="n">
        <v>62.58468459</v>
      </c>
      <c r="H18" s="20" t="n">
        <v>2.1978758</v>
      </c>
      <c r="I18" s="18" t="n">
        <v>0</v>
      </c>
      <c r="J18" s="20" t="n">
        <v>0</v>
      </c>
      <c r="K18" s="18" t="n">
        <v>0.58883897</v>
      </c>
      <c r="L18" s="20" t="n">
        <v>0.29998415</v>
      </c>
      <c r="M18" s="18" t="n">
        <v>0</v>
      </c>
      <c r="N18" s="20" t="n">
        <v>0</v>
      </c>
      <c r="O18" s="18" t="n">
        <v>0</v>
      </c>
      <c r="P18" s="20" t="n">
        <v>0</v>
      </c>
      <c r="Q18" s="18" t="n">
        <v>1.59133701</v>
      </c>
      <c r="R18" s="20" t="n">
        <v>0.59527615</v>
      </c>
    </row>
    <row r="19" spans="1:18">
      <c r="A19" s="15" t="s">
        <v>441</v>
      </c>
      <c r="B19" s="17" t="n">
        <v>5658</v>
      </c>
      <c r="C19" s="18">
        <f>(4980.0/B19*100)</f>
        <v/>
      </c>
      <c r="D19" s="19" t="n">
        <v>678</v>
      </c>
      <c r="E19" s="18" t="n">
        <v>41.96215326</v>
      </c>
      <c r="F19" s="20" t="n">
        <v>1.92444027</v>
      </c>
      <c r="G19" s="18" t="n">
        <v>57.27085347</v>
      </c>
      <c r="H19" s="20" t="n">
        <v>1.86239813</v>
      </c>
      <c r="I19" s="18" t="n">
        <v>0</v>
      </c>
      <c r="J19" s="20" t="n">
        <v>0</v>
      </c>
      <c r="K19" s="18" t="n">
        <v>0.13306925</v>
      </c>
      <c r="L19" s="20" t="n">
        <v>0.13282533</v>
      </c>
      <c r="M19" s="18" t="n">
        <v>0</v>
      </c>
      <c r="N19" s="20" t="n">
        <v>0</v>
      </c>
      <c r="O19" s="18" t="n">
        <v>0</v>
      </c>
      <c r="P19" s="20" t="n">
        <v>0</v>
      </c>
      <c r="Q19" s="18" t="n">
        <v>0.63392403</v>
      </c>
      <c r="R19" s="20" t="n">
        <v>0.29750831</v>
      </c>
    </row>
    <row r="20" spans="1:18">
      <c r="A20" s="15" t="s">
        <v>442</v>
      </c>
      <c r="B20" s="17" t="n">
        <v>3371</v>
      </c>
      <c r="C20" s="18">
        <f>(2974.0/B20*100)</f>
        <v/>
      </c>
      <c r="D20" s="19" t="n">
        <v>397</v>
      </c>
      <c r="E20" s="18" t="n">
        <v>28.06892004</v>
      </c>
      <c r="F20" s="20" t="n">
        <v>2.15169734</v>
      </c>
      <c r="G20" s="18" t="n">
        <v>71.19549712</v>
      </c>
      <c r="H20" s="20" t="n">
        <v>2.22954036</v>
      </c>
      <c r="I20" s="18" t="n">
        <v>0</v>
      </c>
      <c r="J20" s="20" t="n">
        <v>0</v>
      </c>
      <c r="K20" s="18" t="n">
        <v>0.23895748</v>
      </c>
      <c r="L20" s="20" t="n">
        <v>0.24089293</v>
      </c>
      <c r="M20" s="18" t="n">
        <v>0</v>
      </c>
      <c r="N20" s="20" t="n">
        <v>0</v>
      </c>
      <c r="O20" s="18" t="n">
        <v>0</v>
      </c>
      <c r="P20" s="20" t="n">
        <v>0</v>
      </c>
      <c r="Q20" s="18" t="n">
        <v>0.49662536</v>
      </c>
      <c r="R20" s="20" t="n">
        <v>0.349743</v>
      </c>
    </row>
    <row r="21" spans="1:18">
      <c r="A21" s="15" t="s">
        <v>443</v>
      </c>
      <c r="B21" s="17" t="n">
        <v>5741</v>
      </c>
      <c r="C21" s="18">
        <f>(4796.0/B21*100)</f>
        <v/>
      </c>
      <c r="D21" s="19" t="n">
        <v>945</v>
      </c>
      <c r="E21" s="18" t="n">
        <v>34.97598135</v>
      </c>
      <c r="F21" s="20" t="n">
        <v>1.60291285</v>
      </c>
      <c r="G21" s="18" t="n">
        <v>64.31988912</v>
      </c>
      <c r="H21" s="20" t="n">
        <v>1.58604304</v>
      </c>
      <c r="I21" s="18" t="n">
        <v>0</v>
      </c>
      <c r="J21" s="20" t="n">
        <v>0</v>
      </c>
      <c r="K21" s="18" t="n">
        <v>0.23349033</v>
      </c>
      <c r="L21" s="20" t="n">
        <v>0.11288587</v>
      </c>
      <c r="M21" s="18" t="n">
        <v>0</v>
      </c>
      <c r="N21" s="20" t="n">
        <v>0</v>
      </c>
      <c r="O21" s="18" t="n">
        <v>0</v>
      </c>
      <c r="P21" s="20" t="n">
        <v>0</v>
      </c>
      <c r="Q21" s="18" t="n">
        <v>0.47063919</v>
      </c>
      <c r="R21" s="20" t="n">
        <v>0.26347172</v>
      </c>
    </row>
    <row r="22" spans="1:18">
      <c r="A22" s="15" t="s">
        <v>444</v>
      </c>
      <c r="B22" s="17" t="n">
        <v>6598</v>
      </c>
      <c r="C22" s="18">
        <f>(5884.0/B22*100)</f>
        <v/>
      </c>
      <c r="D22" s="19" t="n">
        <v>714</v>
      </c>
      <c r="E22" s="18" t="n">
        <v>45.07485604</v>
      </c>
      <c r="F22" s="20" t="n">
        <v>2.0596696</v>
      </c>
      <c r="G22" s="18" t="n">
        <v>51.8462829</v>
      </c>
      <c r="H22" s="20" t="n">
        <v>2.08565614</v>
      </c>
      <c r="I22" s="18" t="n">
        <v>0</v>
      </c>
      <c r="J22" s="20" t="n">
        <v>0</v>
      </c>
      <c r="K22" s="18" t="n">
        <v>1.29647684</v>
      </c>
      <c r="L22" s="20" t="n">
        <v>0.52299352</v>
      </c>
      <c r="M22" s="18" t="n">
        <v>0</v>
      </c>
      <c r="N22" s="20" t="n">
        <v>0</v>
      </c>
      <c r="O22" s="18" t="n">
        <v>0</v>
      </c>
      <c r="P22" s="20" t="n">
        <v>0</v>
      </c>
      <c r="Q22" s="18" t="n">
        <v>1.78238422</v>
      </c>
      <c r="R22" s="20" t="n">
        <v>0.5576448000000001</v>
      </c>
    </row>
    <row r="23" spans="1:18">
      <c r="A23" s="15" t="s">
        <v>445</v>
      </c>
      <c r="B23" s="17" t="n">
        <v>11583</v>
      </c>
      <c r="C23" s="18">
        <f>(10189.0/B23*100)</f>
        <v/>
      </c>
      <c r="D23" s="19" t="n">
        <v>1394</v>
      </c>
      <c r="E23" s="18" t="n">
        <v>31.82905892</v>
      </c>
      <c r="F23" s="20" t="n">
        <v>1.53818163</v>
      </c>
      <c r="G23" s="18" t="n">
        <v>66.92005263999999</v>
      </c>
      <c r="H23" s="20" t="n">
        <v>1.54773189</v>
      </c>
      <c r="I23" s="18" t="n">
        <v>0</v>
      </c>
      <c r="J23" s="20" t="n">
        <v>0</v>
      </c>
      <c r="K23" s="18" t="n">
        <v>0.53414966</v>
      </c>
      <c r="L23" s="20" t="n">
        <v>0.24474964</v>
      </c>
      <c r="M23" s="18" t="n">
        <v>0</v>
      </c>
      <c r="N23" s="20" t="n">
        <v>0</v>
      </c>
      <c r="O23" s="18" t="n">
        <v>0</v>
      </c>
      <c r="P23" s="20" t="n">
        <v>0</v>
      </c>
      <c r="Q23" s="18" t="n">
        <v>0.71673877</v>
      </c>
      <c r="R23" s="20" t="n">
        <v>0.27821006</v>
      </c>
    </row>
    <row r="24" spans="1:18">
      <c r="A24" s="15" t="s">
        <v>446</v>
      </c>
      <c r="B24" s="17" t="n">
        <v>6647</v>
      </c>
      <c r="C24" s="18">
        <f>(5847.0/B24*100)</f>
        <v/>
      </c>
      <c r="D24" s="19" t="n">
        <v>800</v>
      </c>
      <c r="E24" s="18" t="n">
        <v>23.31494426</v>
      </c>
      <c r="F24" s="20" t="n">
        <v>1.51764382</v>
      </c>
      <c r="G24" s="18" t="n">
        <v>75.03947502</v>
      </c>
      <c r="H24" s="20" t="n">
        <v>1.49639443</v>
      </c>
      <c r="I24" s="18" t="n">
        <v>0</v>
      </c>
      <c r="J24" s="20" t="n">
        <v>0</v>
      </c>
      <c r="K24" s="18" t="n">
        <v>0.35260068</v>
      </c>
      <c r="L24" s="20" t="n">
        <v>0.26170384</v>
      </c>
      <c r="M24" s="18" t="n">
        <v>0</v>
      </c>
      <c r="N24" s="20" t="n">
        <v>0</v>
      </c>
      <c r="O24" s="18" t="n">
        <v>0</v>
      </c>
      <c r="P24" s="20" t="n">
        <v>0</v>
      </c>
      <c r="Q24" s="18" t="n">
        <v>1.29298004</v>
      </c>
      <c r="R24" s="20" t="n">
        <v>0.40894808</v>
      </c>
    </row>
    <row r="25" spans="1:18">
      <c r="A25" s="15" t="s">
        <v>447</v>
      </c>
      <c r="B25" s="17" t="n">
        <v>5581</v>
      </c>
      <c r="C25" s="18">
        <f>(4886.0/B25*100)</f>
        <v/>
      </c>
      <c r="D25" s="19" t="n">
        <v>695</v>
      </c>
      <c r="E25" s="18" t="n">
        <v>8.68529676</v>
      </c>
      <c r="F25" s="20" t="n">
        <v>1.26513606</v>
      </c>
      <c r="G25" s="18" t="n">
        <v>90.73991391</v>
      </c>
      <c r="H25" s="20" t="n">
        <v>1.13071005</v>
      </c>
      <c r="I25" s="18" t="n">
        <v>0</v>
      </c>
      <c r="J25" s="20" t="n">
        <v>0</v>
      </c>
      <c r="K25" s="18" t="n">
        <v>0.29337642</v>
      </c>
      <c r="L25" s="20" t="n">
        <v>0.20628515</v>
      </c>
      <c r="M25" s="18" t="n">
        <v>0</v>
      </c>
      <c r="N25" s="20" t="n">
        <v>0</v>
      </c>
      <c r="O25" s="18" t="n">
        <v>0</v>
      </c>
      <c r="P25" s="20" t="n">
        <v>0</v>
      </c>
      <c r="Q25" s="18" t="n">
        <v>0.2814129</v>
      </c>
      <c r="R25" s="20" t="n">
        <v>0.20060175</v>
      </c>
    </row>
    <row r="26" spans="1:18">
      <c r="A26" s="15" t="s">
        <v>448</v>
      </c>
      <c r="B26" s="17" t="n">
        <v>4869</v>
      </c>
      <c r="C26" s="18">
        <f>(4267.0/B26*100)</f>
        <v/>
      </c>
      <c r="D26" s="19" t="n">
        <v>602</v>
      </c>
      <c r="E26" s="18" t="n">
        <v>35.27221489</v>
      </c>
      <c r="F26" s="20" t="n">
        <v>2.3160665</v>
      </c>
      <c r="G26" s="18" t="n">
        <v>64.57882755999999</v>
      </c>
      <c r="H26" s="20" t="n">
        <v>2.31865956</v>
      </c>
      <c r="I26" s="18" t="n">
        <v>0</v>
      </c>
      <c r="J26" s="20" t="n">
        <v>0</v>
      </c>
      <c r="K26" s="18" t="n">
        <v>0</v>
      </c>
      <c r="L26" s="20" t="n">
        <v>0</v>
      </c>
      <c r="M26" s="18" t="n">
        <v>0</v>
      </c>
      <c r="N26" s="20" t="n">
        <v>0</v>
      </c>
      <c r="O26" s="18" t="n">
        <v>0</v>
      </c>
      <c r="P26" s="20" t="n">
        <v>0</v>
      </c>
      <c r="Q26" s="18" t="n">
        <v>0.14895755</v>
      </c>
      <c r="R26" s="20" t="n">
        <v>0.17769493</v>
      </c>
    </row>
    <row r="27" spans="1:18">
      <c r="A27" s="15" t="s">
        <v>449</v>
      </c>
      <c r="B27" s="17" t="n">
        <v>5299</v>
      </c>
      <c r="C27" s="18">
        <f>(4642.0/B27*100)</f>
        <v/>
      </c>
      <c r="D27" s="19" t="n">
        <v>657</v>
      </c>
      <c r="E27" s="18" t="n">
        <v>33.55639424</v>
      </c>
      <c r="F27" s="20" t="n">
        <v>1.90273454</v>
      </c>
      <c r="G27" s="18" t="n">
        <v>64.79144191</v>
      </c>
      <c r="H27" s="20" t="n">
        <v>1.81563036</v>
      </c>
      <c r="I27" s="18" t="n">
        <v>0</v>
      </c>
      <c r="J27" s="20" t="n">
        <v>0</v>
      </c>
      <c r="K27" s="18" t="n">
        <v>0.15265277</v>
      </c>
      <c r="L27" s="20" t="n">
        <v>0.15359608</v>
      </c>
      <c r="M27" s="18" t="n">
        <v>0</v>
      </c>
      <c r="N27" s="20" t="n">
        <v>0</v>
      </c>
      <c r="O27" s="18" t="n">
        <v>0</v>
      </c>
      <c r="P27" s="20" t="n">
        <v>0</v>
      </c>
      <c r="Q27" s="18" t="n">
        <v>1.49951108</v>
      </c>
      <c r="R27" s="20" t="n">
        <v>0.48589643</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37.28881826</v>
      </c>
      <c r="F29" s="20" t="n">
        <v>1.89265461</v>
      </c>
      <c r="G29" s="18" t="n">
        <v>61.82893422</v>
      </c>
      <c r="H29" s="20" t="n">
        <v>1.86937531</v>
      </c>
      <c r="I29" s="18" t="n">
        <v>0</v>
      </c>
      <c r="J29" s="20" t="n">
        <v>0</v>
      </c>
      <c r="K29" s="18" t="n">
        <v>0.49529817</v>
      </c>
      <c r="L29" s="20" t="n">
        <v>0.28417547</v>
      </c>
      <c r="M29" s="18" t="n">
        <v>0</v>
      </c>
      <c r="N29" s="20" t="n">
        <v>0</v>
      </c>
      <c r="O29" s="18" t="n">
        <v>0</v>
      </c>
      <c r="P29" s="20" t="n">
        <v>0</v>
      </c>
      <c r="Q29" s="18" t="n">
        <v>0.38694935</v>
      </c>
      <c r="R29" s="20" t="n">
        <v>0.26209968</v>
      </c>
    </row>
    <row r="30" spans="1:18">
      <c r="A30" s="15" t="s">
        <v>452</v>
      </c>
      <c r="B30" s="17" t="n">
        <v>4520</v>
      </c>
      <c r="C30" s="18">
        <f>(3958.0/B30*100)</f>
        <v/>
      </c>
      <c r="D30" s="19" t="n">
        <v>562</v>
      </c>
      <c r="E30" s="18" t="n">
        <v>34.82726624</v>
      </c>
      <c r="F30" s="20" t="n">
        <v>2.00106579</v>
      </c>
      <c r="G30" s="18" t="n">
        <v>62.58551596</v>
      </c>
      <c r="H30" s="20" t="n">
        <v>2.16116527</v>
      </c>
      <c r="I30" s="18" t="n">
        <v>0</v>
      </c>
      <c r="J30" s="20" t="n">
        <v>0</v>
      </c>
      <c r="K30" s="18" t="n">
        <v>0.6096368599999999</v>
      </c>
      <c r="L30" s="20" t="n">
        <v>0.37685658</v>
      </c>
      <c r="M30" s="18" t="n">
        <v>0</v>
      </c>
      <c r="N30" s="20" t="n">
        <v>0</v>
      </c>
      <c r="O30" s="18" t="n">
        <v>0</v>
      </c>
      <c r="P30" s="20" t="n">
        <v>0</v>
      </c>
      <c r="Q30" s="18" t="n">
        <v>1.97758093</v>
      </c>
      <c r="R30" s="20" t="n">
        <v>0.61991095</v>
      </c>
    </row>
    <row r="31" spans="1:18">
      <c r="A31" s="15" t="s">
        <v>453</v>
      </c>
      <c r="B31" s="17" t="n">
        <v>5456</v>
      </c>
      <c r="C31" s="18">
        <f>(4785.0/B31*100)</f>
        <v/>
      </c>
      <c r="D31" s="19" t="n">
        <v>671</v>
      </c>
      <c r="E31" s="18" t="n">
        <v>46.37961609</v>
      </c>
      <c r="F31" s="20" t="n">
        <v>2.14784362</v>
      </c>
      <c r="G31" s="18" t="n">
        <v>52.44300678</v>
      </c>
      <c r="H31" s="20" t="n">
        <v>2.22337126</v>
      </c>
      <c r="I31" s="18" t="n">
        <v>0</v>
      </c>
      <c r="J31" s="20" t="n">
        <v>0</v>
      </c>
      <c r="K31" s="18" t="n">
        <v>0.57424606</v>
      </c>
      <c r="L31" s="20" t="n">
        <v>0.28333213</v>
      </c>
      <c r="M31" s="18" t="n">
        <v>0</v>
      </c>
      <c r="N31" s="20" t="n">
        <v>0</v>
      </c>
      <c r="O31" s="18" t="n">
        <v>0</v>
      </c>
      <c r="P31" s="20" t="n">
        <v>0</v>
      </c>
      <c r="Q31" s="18" t="n">
        <v>0.60313107</v>
      </c>
      <c r="R31" s="20" t="n">
        <v>0.32257392</v>
      </c>
    </row>
    <row r="32" spans="1:18">
      <c r="A32" s="15" t="s">
        <v>454</v>
      </c>
      <c r="B32" s="17" t="n">
        <v>4478</v>
      </c>
      <c r="C32" s="18">
        <f>(3720.0/B32*100)</f>
        <v/>
      </c>
      <c r="D32" s="19" t="n">
        <v>758</v>
      </c>
      <c r="E32" s="18" t="n">
        <v>27.76931261</v>
      </c>
      <c r="F32" s="20" t="n">
        <v>1.72878585</v>
      </c>
      <c r="G32" s="18" t="n">
        <v>71.86163385</v>
      </c>
      <c r="H32" s="20" t="n">
        <v>1.72129475</v>
      </c>
      <c r="I32" s="18" t="n">
        <v>0</v>
      </c>
      <c r="J32" s="20" t="n">
        <v>0</v>
      </c>
      <c r="K32" s="18" t="n">
        <v>0.25818869</v>
      </c>
      <c r="L32" s="20" t="n">
        <v>0.16501637</v>
      </c>
      <c r="M32" s="18" t="n">
        <v>0</v>
      </c>
      <c r="N32" s="20" t="n">
        <v>0</v>
      </c>
      <c r="O32" s="18" t="n">
        <v>0</v>
      </c>
      <c r="P32" s="20" t="n">
        <v>0</v>
      </c>
      <c r="Q32" s="18" t="n">
        <v>0.11086485</v>
      </c>
      <c r="R32" s="20" t="n">
        <v>0.11439936</v>
      </c>
    </row>
    <row r="33" spans="1:18">
      <c r="A33" s="15" t="s">
        <v>455</v>
      </c>
      <c r="B33" s="17" t="n">
        <v>7325</v>
      </c>
      <c r="C33" s="18">
        <f>(6437.0/B33*100)</f>
        <v/>
      </c>
      <c r="D33" s="19" t="n">
        <v>888</v>
      </c>
      <c r="E33" s="18" t="n">
        <v>37.138926</v>
      </c>
      <c r="F33" s="20" t="n">
        <v>2.11365939</v>
      </c>
      <c r="G33" s="18" t="n">
        <v>62.54499538</v>
      </c>
      <c r="H33" s="20" t="n">
        <v>2.11845987</v>
      </c>
      <c r="I33" s="18" t="n">
        <v>0</v>
      </c>
      <c r="J33" s="20" t="n">
        <v>0</v>
      </c>
      <c r="K33" s="18" t="n">
        <v>0.02420936</v>
      </c>
      <c r="L33" s="20" t="n">
        <v>0.02428605</v>
      </c>
      <c r="M33" s="18" t="n">
        <v>0</v>
      </c>
      <c r="N33" s="20" t="n">
        <v>0</v>
      </c>
      <c r="O33" s="18" t="n">
        <v>0</v>
      </c>
      <c r="P33" s="20" t="n">
        <v>0</v>
      </c>
      <c r="Q33" s="18" t="n">
        <v>0.29186926</v>
      </c>
      <c r="R33" s="20" t="n">
        <v>0.18617308</v>
      </c>
    </row>
    <row r="34" spans="1:18">
      <c r="A34" s="15" t="s">
        <v>456</v>
      </c>
      <c r="B34" s="17" t="n">
        <v>6350</v>
      </c>
      <c r="C34" s="18">
        <f>(5573.0/B34*100)</f>
        <v/>
      </c>
      <c r="D34" s="19" t="n">
        <v>777</v>
      </c>
      <c r="E34" s="18" t="n">
        <v>55.82944343</v>
      </c>
      <c r="F34" s="20" t="n">
        <v>1.82688649</v>
      </c>
      <c r="G34" s="18" t="n">
        <v>42.79153707</v>
      </c>
      <c r="H34" s="20" t="n">
        <v>1.81075918</v>
      </c>
      <c r="I34" s="18" t="n">
        <v>0</v>
      </c>
      <c r="J34" s="20" t="n">
        <v>0</v>
      </c>
      <c r="K34" s="18" t="n">
        <v>0.3730372</v>
      </c>
      <c r="L34" s="20" t="n">
        <v>0.17111014</v>
      </c>
      <c r="M34" s="18" t="n">
        <v>0</v>
      </c>
      <c r="N34" s="20" t="n">
        <v>0</v>
      </c>
      <c r="O34" s="18" t="n">
        <v>0</v>
      </c>
      <c r="P34" s="20" t="n">
        <v>0</v>
      </c>
      <c r="Q34" s="18" t="n">
        <v>1.0059823</v>
      </c>
      <c r="R34" s="20" t="n">
        <v>0.39675926</v>
      </c>
    </row>
    <row r="35" spans="1:18">
      <c r="A35" s="15" t="s">
        <v>457</v>
      </c>
      <c r="B35" s="17" t="n">
        <v>6406</v>
      </c>
      <c r="C35" s="18">
        <f>(5613.0/B35*100)</f>
        <v/>
      </c>
      <c r="D35" s="19" t="n">
        <v>793</v>
      </c>
      <c r="E35" s="18" t="n">
        <v>32.50181485</v>
      </c>
      <c r="F35" s="20" t="n">
        <v>1.56425704</v>
      </c>
      <c r="G35" s="18" t="n">
        <v>67.011168</v>
      </c>
      <c r="H35" s="20" t="n">
        <v>1.62012635</v>
      </c>
      <c r="I35" s="18" t="n">
        <v>0</v>
      </c>
      <c r="J35" s="20" t="n">
        <v>0</v>
      </c>
      <c r="K35" s="18" t="n">
        <v>0.11646324</v>
      </c>
      <c r="L35" s="20" t="n">
        <v>0.08272868</v>
      </c>
      <c r="M35" s="18" t="n">
        <v>0</v>
      </c>
      <c r="N35" s="20" t="n">
        <v>0</v>
      </c>
      <c r="O35" s="18" t="n">
        <v>0</v>
      </c>
      <c r="P35" s="20" t="n">
        <v>0</v>
      </c>
      <c r="Q35" s="18" t="n">
        <v>0.37055391</v>
      </c>
      <c r="R35" s="20" t="n">
        <v>0.21920746</v>
      </c>
    </row>
    <row r="36" spans="1:18">
      <c r="A36" s="15" t="s">
        <v>458</v>
      </c>
      <c r="B36" s="17" t="n">
        <v>6736</v>
      </c>
      <c r="C36" s="18">
        <f>(5929.0/B36*100)</f>
        <v/>
      </c>
      <c r="D36" s="19" t="n">
        <v>807</v>
      </c>
      <c r="E36" s="18" t="n">
        <v>42.96865524</v>
      </c>
      <c r="F36" s="20" t="n">
        <v>1.94137845</v>
      </c>
      <c r="G36" s="18" t="n">
        <v>55.87701219</v>
      </c>
      <c r="H36" s="20" t="n">
        <v>2.00428706</v>
      </c>
      <c r="I36" s="18" t="n">
        <v>0</v>
      </c>
      <c r="J36" s="20" t="n">
        <v>0</v>
      </c>
      <c r="K36" s="18" t="n">
        <v>0.18106462</v>
      </c>
      <c r="L36" s="20" t="n">
        <v>0.19953299</v>
      </c>
      <c r="M36" s="18" t="n">
        <v>0</v>
      </c>
      <c r="N36" s="20" t="n">
        <v>0</v>
      </c>
      <c r="O36" s="18" t="n">
        <v>0</v>
      </c>
      <c r="P36" s="20" t="n">
        <v>0</v>
      </c>
      <c r="Q36" s="18" t="n">
        <v>0.9732679400000001</v>
      </c>
      <c r="R36" s="20" t="n">
        <v>0.30982163</v>
      </c>
    </row>
    <row r="37" spans="1:18">
      <c r="A37" s="15" t="s">
        <v>459</v>
      </c>
      <c r="B37" s="17" t="n">
        <v>5458</v>
      </c>
      <c r="C37" s="18">
        <f>(4807.0/B37*100)</f>
        <v/>
      </c>
      <c r="D37" s="19" t="n">
        <v>651</v>
      </c>
      <c r="E37" s="18" t="n">
        <v>31.24922552</v>
      </c>
      <c r="F37" s="20" t="n">
        <v>2.08841128</v>
      </c>
      <c r="G37" s="18" t="n">
        <v>66.30774022</v>
      </c>
      <c r="H37" s="20" t="n">
        <v>2.17699416</v>
      </c>
      <c r="I37" s="18" t="n">
        <v>0</v>
      </c>
      <c r="J37" s="20" t="n">
        <v>0</v>
      </c>
      <c r="K37" s="18" t="n">
        <v>1.00810566</v>
      </c>
      <c r="L37" s="20" t="n">
        <v>0.3767309</v>
      </c>
      <c r="M37" s="18" t="n">
        <v>0</v>
      </c>
      <c r="N37" s="20" t="n">
        <v>0</v>
      </c>
      <c r="O37" s="18" t="n">
        <v>0</v>
      </c>
      <c r="P37" s="20" t="n">
        <v>0</v>
      </c>
      <c r="Q37" s="18" t="n">
        <v>1.4349286</v>
      </c>
      <c r="R37" s="20" t="n">
        <v>0.39982721</v>
      </c>
    </row>
    <row r="38" spans="1:18">
      <c r="A38" s="15" t="s">
        <v>460</v>
      </c>
      <c r="B38" s="17" t="n">
        <v>5860</v>
      </c>
      <c r="C38" s="18">
        <f>(4889.0/B38*100)</f>
        <v/>
      </c>
      <c r="D38" s="19" t="n">
        <v>971</v>
      </c>
      <c r="E38" s="18" t="n">
        <v>43.37590396</v>
      </c>
      <c r="F38" s="20" t="n">
        <v>1.85465488</v>
      </c>
      <c r="G38" s="18" t="n">
        <v>54.97466448</v>
      </c>
      <c r="H38" s="20" t="n">
        <v>1.88661561</v>
      </c>
      <c r="I38" s="18" t="n">
        <v>0</v>
      </c>
      <c r="J38" s="20" t="n">
        <v>0</v>
      </c>
      <c r="K38" s="18" t="n">
        <v>0.35897034</v>
      </c>
      <c r="L38" s="20" t="n">
        <v>0.2053966</v>
      </c>
      <c r="M38" s="18" t="n">
        <v>0</v>
      </c>
      <c r="N38" s="20" t="n">
        <v>0</v>
      </c>
      <c r="O38" s="18" t="n">
        <v>0</v>
      </c>
      <c r="P38" s="20" t="n">
        <v>0</v>
      </c>
      <c r="Q38" s="18" t="n">
        <v>1.29046121</v>
      </c>
      <c r="R38" s="20" t="n">
        <v>0.41224623</v>
      </c>
    </row>
    <row r="39" spans="1:18">
      <c r="A39" s="15" t="s">
        <v>461</v>
      </c>
      <c r="B39" s="17" t="n">
        <v>5895</v>
      </c>
      <c r="C39" s="18">
        <f>(5157.0/B39*100)</f>
        <v/>
      </c>
      <c r="D39" s="19" t="n">
        <v>738</v>
      </c>
      <c r="E39" s="18" t="n">
        <v>53.84863752</v>
      </c>
      <c r="F39" s="20" t="n">
        <v>2.07682631</v>
      </c>
      <c r="G39" s="18" t="n">
        <v>45.36036089</v>
      </c>
      <c r="H39" s="20" t="n">
        <v>2.12754719</v>
      </c>
      <c r="I39" s="18" t="n">
        <v>0</v>
      </c>
      <c r="J39" s="20" t="n">
        <v>0</v>
      </c>
      <c r="K39" s="18" t="n">
        <v>0.5215848</v>
      </c>
      <c r="L39" s="20" t="n">
        <v>0.33347764</v>
      </c>
      <c r="M39" s="18" t="n">
        <v>0</v>
      </c>
      <c r="N39" s="20" t="n">
        <v>0</v>
      </c>
      <c r="O39" s="18" t="n">
        <v>0</v>
      </c>
      <c r="P39" s="20" t="n">
        <v>0</v>
      </c>
      <c r="Q39" s="18" t="n">
        <v>0.26941679</v>
      </c>
      <c r="R39" s="20" t="n">
        <v>0.18902115</v>
      </c>
    </row>
    <row r="40" spans="1:18">
      <c r="A40" s="15" t="s">
        <v>462</v>
      </c>
      <c r="B40" s="17" t="n">
        <v>14157</v>
      </c>
      <c r="C40" s="18">
        <f>(12380.0/B40*100)</f>
        <v/>
      </c>
      <c r="D40" s="19" t="n">
        <v>1777</v>
      </c>
      <c r="E40" s="18" t="n">
        <v>36.16562031</v>
      </c>
      <c r="F40" s="20" t="n">
        <v>1.72714533</v>
      </c>
      <c r="G40" s="18" t="n">
        <v>61.96430079</v>
      </c>
      <c r="H40" s="20" t="n">
        <v>1.61943271</v>
      </c>
      <c r="I40" s="18" t="n">
        <v>0</v>
      </c>
      <c r="J40" s="20" t="n">
        <v>0</v>
      </c>
      <c r="K40" s="18" t="n">
        <v>0.30646069</v>
      </c>
      <c r="L40" s="20" t="n">
        <v>0.11553957</v>
      </c>
      <c r="M40" s="18" t="n">
        <v>0</v>
      </c>
      <c r="N40" s="20" t="n">
        <v>0</v>
      </c>
      <c r="O40" s="18" t="n">
        <v>0</v>
      </c>
      <c r="P40" s="20" t="n">
        <v>0</v>
      </c>
      <c r="Q40" s="18" t="n">
        <v>1.56361821</v>
      </c>
      <c r="R40" s="20" t="n">
        <v>0.44863271</v>
      </c>
    </row>
    <row r="41" spans="1:18">
      <c r="A41" s="15" t="s">
        <v>463</v>
      </c>
      <c r="B41" s="17" t="n">
        <v>5712</v>
      </c>
      <c r="C41" s="18">
        <f>(5043.0/B41*100)</f>
        <v/>
      </c>
      <c r="D41" s="19" t="n">
        <v>669</v>
      </c>
      <c r="E41" s="18" t="n">
        <v>41.40390942</v>
      </c>
      <c r="F41" s="20" t="n">
        <v>2.1488876</v>
      </c>
      <c r="G41" s="18" t="n">
        <v>58.11025204</v>
      </c>
      <c r="H41" s="20" t="n">
        <v>2.1315342</v>
      </c>
      <c r="I41" s="18" t="n">
        <v>0</v>
      </c>
      <c r="J41" s="20" t="n">
        <v>0</v>
      </c>
      <c r="K41" s="18" t="n">
        <v>0.12245421</v>
      </c>
      <c r="L41" s="20" t="n">
        <v>0.12487256</v>
      </c>
      <c r="M41" s="18" t="n">
        <v>0</v>
      </c>
      <c r="N41" s="20" t="n">
        <v>0</v>
      </c>
      <c r="O41" s="18" t="n">
        <v>0</v>
      </c>
      <c r="P41" s="20" t="n">
        <v>0</v>
      </c>
      <c r="Q41" s="18" t="n">
        <v>0.36338434</v>
      </c>
      <c r="R41" s="20" t="n">
        <v>0.23120141</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(8637.0/B48*100)</f>
        <v/>
      </c>
      <c r="D48" s="19" t="n">
        <v>1204</v>
      </c>
      <c r="E48" s="18" t="n">
        <v>27.76020618</v>
      </c>
      <c r="F48" s="20" t="n">
        <v>1.75292955</v>
      </c>
      <c r="G48" s="18" t="n">
        <v>71.26874917000001</v>
      </c>
      <c r="H48" s="20" t="n">
        <v>1.7574656</v>
      </c>
      <c r="I48" s="18" t="n">
        <v>0</v>
      </c>
      <c r="J48" s="20" t="n">
        <v>0</v>
      </c>
      <c r="K48" s="18" t="n">
        <v>0.43378502</v>
      </c>
      <c r="L48" s="20" t="n">
        <v>0.29139595</v>
      </c>
      <c r="M48" s="18" t="n">
        <v>0</v>
      </c>
      <c r="N48" s="20" t="n">
        <v>0</v>
      </c>
      <c r="O48" s="18" t="n">
        <v>0</v>
      </c>
      <c r="P48" s="20" t="n">
        <v>0</v>
      </c>
      <c r="Q48" s="18" t="n">
        <v>0.53725963</v>
      </c>
      <c r="R48" s="20" t="n">
        <v>0.25738662</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(5088.0/B51*100)</f>
        <v/>
      </c>
      <c r="D51" s="19" t="n">
        <v>721</v>
      </c>
      <c r="E51" s="18" t="n">
        <v>36.67894533</v>
      </c>
      <c r="F51" s="20" t="n">
        <v>1.62227016</v>
      </c>
      <c r="G51" s="18" t="n">
        <v>62.46843756</v>
      </c>
      <c r="H51" s="20" t="n">
        <v>1.66990615</v>
      </c>
      <c r="I51" s="18" t="n">
        <v>0</v>
      </c>
      <c r="J51" s="20" t="n">
        <v>0</v>
      </c>
      <c r="K51" s="18" t="n">
        <v>0</v>
      </c>
      <c r="L51" s="20" t="n">
        <v>0</v>
      </c>
      <c r="M51" s="18" t="n">
        <v>0</v>
      </c>
      <c r="N51" s="20" t="n">
        <v>0</v>
      </c>
      <c r="O51" s="18" t="n">
        <v>0</v>
      </c>
      <c r="P51" s="20" t="n">
        <v>0</v>
      </c>
      <c r="Q51" s="18" t="n">
        <v>0.85261711</v>
      </c>
      <c r="R51" s="20" t="n">
        <v>0.35636249</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(4714.0/B55*100)</f>
        <v/>
      </c>
      <c r="D55" s="19" t="n">
        <v>645</v>
      </c>
      <c r="E55" s="18" t="n">
        <v>19.66348354</v>
      </c>
      <c r="F55" s="20" t="n">
        <v>1.78608655</v>
      </c>
      <c r="G55" s="18" t="n">
        <v>79.65648765</v>
      </c>
      <c r="H55" s="20" t="n">
        <v>1.80835248</v>
      </c>
      <c r="I55" s="18" t="n">
        <v>0</v>
      </c>
      <c r="J55" s="20" t="n">
        <v>0</v>
      </c>
      <c r="K55" s="18" t="n">
        <v>0.52877206</v>
      </c>
      <c r="L55" s="20" t="n">
        <v>0.33424041</v>
      </c>
      <c r="M55" s="18" t="n">
        <v>0</v>
      </c>
      <c r="N55" s="20" t="n">
        <v>0</v>
      </c>
      <c r="O55" s="18" t="n">
        <v>0</v>
      </c>
      <c r="P55" s="20" t="n">
        <v>0</v>
      </c>
      <c r="Q55" s="18" t="n">
        <v>0.15125675</v>
      </c>
      <c r="R55" s="20" t="n">
        <v>0.1520038</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(5682.0/B61*100)</f>
        <v/>
      </c>
      <c r="D61" s="19" t="n">
        <v>843</v>
      </c>
      <c r="E61" s="18" t="n">
        <v>32.36224672</v>
      </c>
      <c r="F61" s="20" t="n">
        <v>1.93430334</v>
      </c>
      <c r="G61" s="18" t="n">
        <v>66.65943622</v>
      </c>
      <c r="H61" s="20" t="n">
        <v>1.93273383</v>
      </c>
      <c r="I61" s="18" t="n">
        <v>0</v>
      </c>
      <c r="J61" s="20" t="n">
        <v>0</v>
      </c>
      <c r="K61" s="18" t="n">
        <v>0.20901656</v>
      </c>
      <c r="L61" s="20" t="n">
        <v>0.1604739</v>
      </c>
      <c r="M61" s="18" t="n">
        <v>0</v>
      </c>
      <c r="N61" s="20" t="n">
        <v>0</v>
      </c>
      <c r="O61" s="18" t="n">
        <v>0</v>
      </c>
      <c r="P61" s="20" t="n">
        <v>0</v>
      </c>
      <c r="Q61" s="18" t="n">
        <v>0.76930049</v>
      </c>
      <c r="R61" s="20" t="n">
        <v>0.33974683</v>
      </c>
    </row>
    <row r="62" spans="1:18">
      <c r="A62" s="15" t="s">
        <v>486</v>
      </c>
      <c r="B62" s="17" t="n">
        <v>4476</v>
      </c>
      <c r="C62" s="18">
        <f>(3934.0/B62*100)</f>
        <v/>
      </c>
      <c r="D62" s="19" t="n">
        <v>542</v>
      </c>
      <c r="E62" s="18" t="n">
        <v>35.98560347</v>
      </c>
      <c r="F62" s="20" t="n">
        <v>1.97840361</v>
      </c>
      <c r="G62" s="18" t="n">
        <v>63.45835457</v>
      </c>
      <c r="H62" s="20" t="n">
        <v>1.95172536</v>
      </c>
      <c r="I62" s="18" t="n">
        <v>0</v>
      </c>
      <c r="J62" s="20" t="n">
        <v>0</v>
      </c>
      <c r="K62" s="18" t="n">
        <v>0.18955943</v>
      </c>
      <c r="L62" s="20" t="n">
        <v>0.18925272</v>
      </c>
      <c r="M62" s="18" t="n">
        <v>0</v>
      </c>
      <c r="N62" s="20" t="n">
        <v>0</v>
      </c>
      <c r="O62" s="18" t="n">
        <v>0</v>
      </c>
      <c r="P62" s="20" t="n">
        <v>0</v>
      </c>
      <c r="Q62" s="18" t="n">
        <v>0.36648253</v>
      </c>
      <c r="R62" s="20" t="n">
        <v>0.25991689</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(5008.0/B67*100)</f>
        <v/>
      </c>
      <c r="D67" s="19" t="n">
        <v>657</v>
      </c>
      <c r="E67" s="18" t="n">
        <v>46.20145152</v>
      </c>
      <c r="F67" s="20" t="n">
        <v>1.85468651</v>
      </c>
      <c r="G67" s="18" t="n">
        <v>48.06254967</v>
      </c>
      <c r="H67" s="20" t="n">
        <v>1.94717289</v>
      </c>
      <c r="I67" s="18" t="n">
        <v>0</v>
      </c>
      <c r="J67" s="20" t="n">
        <v>0</v>
      </c>
      <c r="K67" s="18" t="n">
        <v>1.68731431</v>
      </c>
      <c r="L67" s="20" t="n">
        <v>0.49803616</v>
      </c>
      <c r="M67" s="18" t="n">
        <v>0</v>
      </c>
      <c r="N67" s="20" t="n">
        <v>0</v>
      </c>
      <c r="O67" s="18" t="n">
        <v>0</v>
      </c>
      <c r="P67" s="20" t="n">
        <v>0</v>
      </c>
      <c r="Q67" s="18" t="n">
        <v>4.0486845</v>
      </c>
      <c r="R67" s="20" t="n">
        <v>0.78672636</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(5348.0/B72*100)</f>
        <v/>
      </c>
      <c r="D72" s="19" t="n">
        <v>688</v>
      </c>
      <c r="E72" s="18" t="n">
        <v>20.36808968</v>
      </c>
      <c r="F72" s="20" t="n">
        <v>1.6740394</v>
      </c>
      <c r="G72" s="18" t="n">
        <v>78.23122863</v>
      </c>
      <c r="H72" s="20" t="n">
        <v>1.74327658</v>
      </c>
      <c r="I72" s="18" t="n">
        <v>0</v>
      </c>
      <c r="J72" s="20" t="n">
        <v>0</v>
      </c>
      <c r="K72" s="18" t="n">
        <v>0.40320884</v>
      </c>
      <c r="L72" s="20" t="n">
        <v>0.22994726</v>
      </c>
      <c r="M72" s="18" t="n">
        <v>0</v>
      </c>
      <c r="N72" s="20" t="n">
        <v>0</v>
      </c>
      <c r="O72" s="18" t="n">
        <v>0</v>
      </c>
      <c r="P72" s="20" t="n">
        <v>0</v>
      </c>
      <c r="Q72" s="18" t="n">
        <v>0.99747284</v>
      </c>
      <c r="R72" s="20" t="n">
        <v>0.47626874</v>
      </c>
    </row>
    <row r="73" spans="1:18">
      <c r="A73" s="15" t="s">
        <v>497</v>
      </c>
      <c r="B73" s="17" t="n">
        <v>6115</v>
      </c>
      <c r="C73" s="18">
        <f>(5346.0/B73*100)</f>
        <v/>
      </c>
      <c r="D73" s="19" t="n">
        <v>769</v>
      </c>
      <c r="E73" s="18" t="n">
        <v>29.87831514</v>
      </c>
      <c r="F73" s="20" t="n">
        <v>1.59316778</v>
      </c>
      <c r="G73" s="18" t="n">
        <v>69.05834876999999</v>
      </c>
      <c r="H73" s="20" t="n">
        <v>1.63690917</v>
      </c>
      <c r="I73" s="18" t="n">
        <v>0</v>
      </c>
      <c r="J73" s="20" t="n">
        <v>0</v>
      </c>
      <c r="K73" s="18" t="n">
        <v>0.8975971</v>
      </c>
      <c r="L73" s="20" t="n">
        <v>0.26902837</v>
      </c>
      <c r="M73" s="18" t="n">
        <v>0</v>
      </c>
      <c r="N73" s="20" t="n">
        <v>0</v>
      </c>
      <c r="O73" s="18" t="n">
        <v>0</v>
      </c>
      <c r="P73" s="20" t="n">
        <v>0</v>
      </c>
      <c r="Q73" s="18" t="n">
        <v>0.16573899</v>
      </c>
      <c r="R73" s="20" t="n">
        <v>0.16701483</v>
      </c>
    </row>
    <row r="74" spans="1:18">
      <c r="A74" s="15" t="s">
        <v>498</v>
      </c>
      <c r="B74" s="17" t="n">
        <v>7708</v>
      </c>
      <c r="C74" s="18">
        <f>(6752.0/B74*100)</f>
        <v/>
      </c>
      <c r="D74" s="19" t="n">
        <v>956</v>
      </c>
      <c r="E74" s="18" t="n">
        <v>35.75296253</v>
      </c>
      <c r="F74" s="20" t="n">
        <v>1.74809959</v>
      </c>
      <c r="G74" s="18" t="n">
        <v>63.62638982</v>
      </c>
      <c r="H74" s="20" t="n">
        <v>1.73460405</v>
      </c>
      <c r="I74" s="18" t="n">
        <v>0</v>
      </c>
      <c r="J74" s="20" t="n">
        <v>0</v>
      </c>
      <c r="K74" s="18" t="n">
        <v>0.33693599</v>
      </c>
      <c r="L74" s="20" t="n">
        <v>0.15859733</v>
      </c>
      <c r="M74" s="18" t="n">
        <v>0</v>
      </c>
      <c r="N74" s="20" t="n">
        <v>0</v>
      </c>
      <c r="O74" s="18" t="n">
        <v>0</v>
      </c>
      <c r="P74" s="20" t="n">
        <v>0</v>
      </c>
      <c r="Q74" s="18" t="n">
        <v>0.28371166</v>
      </c>
      <c r="R74" s="20" t="n">
        <v>0.17238675</v>
      </c>
    </row>
    <row r="75" spans="1:18">
      <c r="A75" s="15" t="s">
        <v>499</v>
      </c>
      <c r="B75" s="17" t="n">
        <v>8249</v>
      </c>
      <c r="C75" s="18">
        <f>(7274.0/B75*100)</f>
        <v/>
      </c>
      <c r="D75" s="19" t="n">
        <v>975</v>
      </c>
      <c r="E75" s="18" t="n">
        <v>62.1805483</v>
      </c>
      <c r="F75" s="20" t="n">
        <v>2.00154306</v>
      </c>
      <c r="G75" s="18" t="n">
        <v>36.55533397</v>
      </c>
      <c r="H75" s="20" t="n">
        <v>2.05843147</v>
      </c>
      <c r="I75" s="18" t="n">
        <v>0</v>
      </c>
      <c r="J75" s="20" t="n">
        <v>0</v>
      </c>
      <c r="K75" s="18" t="n">
        <v>0.2934729</v>
      </c>
      <c r="L75" s="20" t="n">
        <v>0.2979931</v>
      </c>
      <c r="M75" s="18" t="n">
        <v>0</v>
      </c>
      <c r="N75" s="20" t="n">
        <v>0</v>
      </c>
      <c r="O75" s="18" t="n">
        <v>0</v>
      </c>
      <c r="P75" s="20" t="n">
        <v>0</v>
      </c>
      <c r="Q75" s="18" t="n">
        <v>0.97064483</v>
      </c>
      <c r="R75" s="20" t="n">
        <v>0.38552293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(28450.0/B82*100)</f>
        <v/>
      </c>
      <c r="D82" s="19" t="n">
        <v>3880</v>
      </c>
      <c r="E82" s="18" t="n">
        <v>41.121292</v>
      </c>
      <c r="F82" s="20" t="n">
        <v>1.07226071</v>
      </c>
      <c r="G82" s="18" t="n">
        <v>57.63440949</v>
      </c>
      <c r="H82" s="20" t="n">
        <v>1.14336535</v>
      </c>
      <c r="I82" s="18" t="n">
        <v>0</v>
      </c>
      <c r="J82" s="20" t="n">
        <v>0</v>
      </c>
      <c r="K82" s="18" t="n">
        <v>0.341325</v>
      </c>
      <c r="L82" s="20" t="n">
        <v>0.16682689</v>
      </c>
      <c r="M82" s="18" t="n">
        <v>0</v>
      </c>
      <c r="N82" s="20" t="n">
        <v>0</v>
      </c>
      <c r="O82" s="18" t="n">
        <v>0</v>
      </c>
      <c r="P82" s="20" t="n">
        <v>0</v>
      </c>
      <c r="Q82" s="18" t="n">
        <v>0.90297351</v>
      </c>
      <c r="R82" s="20" t="n">
        <v>0.2292086</v>
      </c>
    </row>
    <row r="83" spans="1:18">
      <c r="A83" s="15" t="s">
        <v>507</v>
      </c>
      <c r="B83" s="17" t="n">
        <v>1652</v>
      </c>
      <c r="C83" s="18">
        <f>(1470.0/B83*100)</f>
        <v/>
      </c>
      <c r="D83" s="19" t="n">
        <v>182</v>
      </c>
      <c r="E83" s="18" t="n">
        <v>29.9858561</v>
      </c>
      <c r="F83" s="20" t="n">
        <v>3.31217431</v>
      </c>
      <c r="G83" s="18" t="n">
        <v>70.01414389999999</v>
      </c>
      <c r="H83" s="20" t="n">
        <v>3.31217431</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(1662.0/B84*100)</f>
        <v/>
      </c>
      <c r="D84" s="19" t="n">
        <v>225</v>
      </c>
      <c r="E84" s="18" t="n">
        <v>41.99394059</v>
      </c>
      <c r="F84" s="20" t="n">
        <v>4.05841751</v>
      </c>
      <c r="G84" s="18" t="n">
        <v>57.66142553</v>
      </c>
      <c r="H84" s="20" t="n">
        <v>4.14386308</v>
      </c>
      <c r="I84" s="18" t="n">
        <v>0</v>
      </c>
      <c r="J84" s="20" t="n">
        <v>0</v>
      </c>
      <c r="K84" s="18" t="n">
        <v>0</v>
      </c>
      <c r="L84" s="20" t="n">
        <v>0</v>
      </c>
      <c r="M84" s="18" t="n">
        <v>0</v>
      </c>
      <c r="N84" s="20" t="n">
        <v>0</v>
      </c>
      <c r="O84" s="18" t="n">
        <v>0</v>
      </c>
      <c r="P84" s="20" t="n">
        <v>0</v>
      </c>
      <c r="Q84" s="18" t="n">
        <v>0.34463388</v>
      </c>
      <c r="R84" s="20" t="n">
        <v>0.34651246</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(12727.0/B7*100)</f>
        <v/>
      </c>
      <c r="D7" s="19" t="n">
        <v>1803</v>
      </c>
      <c r="E7" s="18" t="n">
        <v>52.45018302</v>
      </c>
      <c r="F7" s="20" t="n">
        <v>1.3856972</v>
      </c>
      <c r="G7" s="18" t="n">
        <v>46.7644951</v>
      </c>
      <c r="H7" s="20" t="n">
        <v>1.37376087</v>
      </c>
      <c r="I7" s="18" t="n">
        <v>0</v>
      </c>
      <c r="J7" s="20" t="n">
        <v>0</v>
      </c>
      <c r="K7" s="18" t="n">
        <v>0.40455057</v>
      </c>
      <c r="L7" s="20" t="n">
        <v>0.14361048</v>
      </c>
      <c r="M7" s="18" t="n">
        <v>0</v>
      </c>
      <c r="N7" s="20" t="n">
        <v>0</v>
      </c>
      <c r="O7" s="18" t="n">
        <v>0</v>
      </c>
      <c r="P7" s="20" t="n">
        <v>0</v>
      </c>
      <c r="Q7" s="18" t="n">
        <v>0.38077131</v>
      </c>
      <c r="R7" s="20" t="n">
        <v>0.15637667</v>
      </c>
    </row>
    <row r="8" spans="1:18">
      <c r="A8" s="15" t="s">
        <v>430</v>
      </c>
      <c r="B8" s="17" t="n">
        <v>7007</v>
      </c>
      <c r="C8" s="18">
        <f>(6163.0/B8*100)</f>
        <v/>
      </c>
      <c r="D8" s="19" t="n">
        <v>844</v>
      </c>
      <c r="E8" s="18" t="n">
        <v>44.30829109</v>
      </c>
      <c r="F8" s="20" t="n">
        <v>1.76524358</v>
      </c>
      <c r="G8" s="18" t="n">
        <v>54.36615009</v>
      </c>
      <c r="H8" s="20" t="n">
        <v>1.72069732</v>
      </c>
      <c r="I8" s="18" t="n">
        <v>0</v>
      </c>
      <c r="J8" s="20" t="n">
        <v>0</v>
      </c>
      <c r="K8" s="18" t="n">
        <v>0.65636403</v>
      </c>
      <c r="L8" s="20" t="n">
        <v>0.25723511</v>
      </c>
      <c r="M8" s="18" t="n">
        <v>0</v>
      </c>
      <c r="N8" s="20" t="n">
        <v>0</v>
      </c>
      <c r="O8" s="18" t="n">
        <v>0</v>
      </c>
      <c r="P8" s="20" t="n">
        <v>0</v>
      </c>
      <c r="Q8" s="18" t="n">
        <v>0.66919478</v>
      </c>
      <c r="R8" s="20" t="n">
        <v>0.31776692</v>
      </c>
    </row>
    <row r="9" spans="1:18">
      <c r="A9" s="15" t="s">
        <v>431</v>
      </c>
      <c r="B9" s="17" t="n">
        <v>9651</v>
      </c>
      <c r="C9" s="18">
        <f>(8493.0/B9*100)</f>
        <v/>
      </c>
      <c r="D9" s="19" t="n">
        <v>1158</v>
      </c>
      <c r="E9" s="18" t="n">
        <v>42.01248267</v>
      </c>
      <c r="F9" s="20" t="n">
        <v>1.46494889</v>
      </c>
      <c r="G9" s="18" t="n">
        <v>56.47047163</v>
      </c>
      <c r="H9" s="20" t="n">
        <v>1.56469348</v>
      </c>
      <c r="I9" s="18" t="n">
        <v>0</v>
      </c>
      <c r="J9" s="20" t="n">
        <v>0</v>
      </c>
      <c r="K9" s="18" t="n">
        <v>0.85876197</v>
      </c>
      <c r="L9" s="20" t="n">
        <v>0.29247181</v>
      </c>
      <c r="M9" s="18" t="n">
        <v>0</v>
      </c>
      <c r="N9" s="20" t="n">
        <v>0</v>
      </c>
      <c r="O9" s="18" t="n">
        <v>0</v>
      </c>
      <c r="P9" s="20" t="n">
        <v>0</v>
      </c>
      <c r="Q9" s="18" t="n">
        <v>0.65828374</v>
      </c>
      <c r="R9" s="20" t="n">
        <v>0.23931401</v>
      </c>
    </row>
    <row r="10" spans="1:18">
      <c r="A10" s="15" t="s">
        <v>432</v>
      </c>
      <c r="B10" s="17" t="n">
        <v>20058</v>
      </c>
      <c r="C10" s="18">
        <f>(17642.0/B10*100)</f>
        <v/>
      </c>
      <c r="D10" s="19" t="n">
        <v>2416</v>
      </c>
      <c r="E10" s="18" t="n">
        <v>46.01134409</v>
      </c>
      <c r="F10" s="20" t="n">
        <v>1.63400301</v>
      </c>
      <c r="G10" s="18" t="n">
        <v>52.62190676</v>
      </c>
      <c r="H10" s="20" t="n">
        <v>1.61305831</v>
      </c>
      <c r="I10" s="18" t="n">
        <v>0</v>
      </c>
      <c r="J10" s="20" t="n">
        <v>0</v>
      </c>
      <c r="K10" s="18" t="n">
        <v>0.99782867</v>
      </c>
      <c r="L10" s="20" t="n">
        <v>0.27913413</v>
      </c>
      <c r="M10" s="18" t="n">
        <v>0</v>
      </c>
      <c r="N10" s="20" t="n">
        <v>0</v>
      </c>
      <c r="O10" s="18" t="n">
        <v>0</v>
      </c>
      <c r="P10" s="20" t="n">
        <v>0</v>
      </c>
      <c r="Q10" s="18" t="n">
        <v>0.36892049</v>
      </c>
      <c r="R10" s="20" t="n">
        <v>0.15503839</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(6063.0/B12*100)</f>
        <v/>
      </c>
      <c r="D12" s="19" t="n">
        <v>831</v>
      </c>
      <c r="E12" s="18" t="n">
        <v>48.76267367</v>
      </c>
      <c r="F12" s="20" t="n">
        <v>2.13630183</v>
      </c>
      <c r="G12" s="18" t="n">
        <v>50.38916723</v>
      </c>
      <c r="H12" s="20" t="n">
        <v>2.11585814</v>
      </c>
      <c r="I12" s="18" t="n">
        <v>0</v>
      </c>
      <c r="J12" s="20" t="n">
        <v>0</v>
      </c>
      <c r="K12" s="18" t="n">
        <v>0</v>
      </c>
      <c r="L12" s="20" t="n">
        <v>0</v>
      </c>
      <c r="M12" s="18" t="n">
        <v>0</v>
      </c>
      <c r="N12" s="20" t="n">
        <v>0</v>
      </c>
      <c r="O12" s="18" t="n">
        <v>0</v>
      </c>
      <c r="P12" s="20" t="n">
        <v>0</v>
      </c>
      <c r="Q12" s="18" t="n">
        <v>0.84815911</v>
      </c>
      <c r="R12" s="20" t="n">
        <v>0.4466114</v>
      </c>
    </row>
    <row r="13" spans="1:18">
      <c r="A13" s="15" t="s">
        <v>435</v>
      </c>
      <c r="B13" s="17" t="n">
        <v>7161</v>
      </c>
      <c r="C13" s="18">
        <f>(6333.0/B13*100)</f>
        <v/>
      </c>
      <c r="D13" s="19" t="n">
        <v>828</v>
      </c>
      <c r="E13" s="18" t="n">
        <v>52.61599937</v>
      </c>
      <c r="F13" s="20" t="n">
        <v>2.24366777</v>
      </c>
      <c r="G13" s="18" t="n">
        <v>46.66298259</v>
      </c>
      <c r="H13" s="20" t="n">
        <v>2.20282363</v>
      </c>
      <c r="I13" s="18" t="n">
        <v>0</v>
      </c>
      <c r="J13" s="20" t="n">
        <v>0</v>
      </c>
      <c r="K13" s="18" t="n">
        <v>0.53530366</v>
      </c>
      <c r="L13" s="20" t="n">
        <v>0.29756033</v>
      </c>
      <c r="M13" s="18" t="n">
        <v>0</v>
      </c>
      <c r="N13" s="20" t="n">
        <v>0</v>
      </c>
      <c r="O13" s="18" t="n">
        <v>0</v>
      </c>
      <c r="P13" s="20" t="n">
        <v>0</v>
      </c>
      <c r="Q13" s="18" t="n">
        <v>0.18571438</v>
      </c>
      <c r="R13" s="20" t="n">
        <v>0.15226027</v>
      </c>
    </row>
    <row r="14" spans="1:18">
      <c r="A14" s="15" t="s">
        <v>436</v>
      </c>
      <c r="B14" s="17" t="n">
        <v>5587</v>
      </c>
      <c r="C14" s="18">
        <f>(4902.0/B14*100)</f>
        <v/>
      </c>
      <c r="D14" s="19" t="n">
        <v>685</v>
      </c>
      <c r="E14" s="18" t="n">
        <v>45.58181115</v>
      </c>
      <c r="F14" s="20" t="n">
        <v>2.35456111</v>
      </c>
      <c r="G14" s="18" t="n">
        <v>53.54079082</v>
      </c>
      <c r="H14" s="20" t="n">
        <v>2.3639684</v>
      </c>
      <c r="I14" s="18" t="n">
        <v>0</v>
      </c>
      <c r="J14" s="20" t="n">
        <v>0</v>
      </c>
      <c r="K14" s="18" t="n">
        <v>0.55276467</v>
      </c>
      <c r="L14" s="20" t="n">
        <v>0.27528199</v>
      </c>
      <c r="M14" s="18" t="n">
        <v>0</v>
      </c>
      <c r="N14" s="20" t="n">
        <v>0</v>
      </c>
      <c r="O14" s="18" t="n">
        <v>0</v>
      </c>
      <c r="P14" s="20" t="n">
        <v>0</v>
      </c>
      <c r="Q14" s="18" t="n">
        <v>0.32463336</v>
      </c>
      <c r="R14" s="20" t="n">
        <v>0.18147772</v>
      </c>
    </row>
    <row r="15" spans="1:18">
      <c r="A15" s="15" t="s">
        <v>437</v>
      </c>
      <c r="B15" s="17" t="n">
        <v>5882</v>
      </c>
      <c r="C15" s="18">
        <f>(5169.0/B15*100)</f>
        <v/>
      </c>
      <c r="D15" s="19" t="n">
        <v>713</v>
      </c>
      <c r="E15" s="18" t="n">
        <v>37.85316622</v>
      </c>
      <c r="F15" s="20" t="n">
        <v>2.01099939</v>
      </c>
      <c r="G15" s="18" t="n">
        <v>61.1680825</v>
      </c>
      <c r="H15" s="20" t="n">
        <v>1.98860578</v>
      </c>
      <c r="I15" s="18" t="n">
        <v>0</v>
      </c>
      <c r="J15" s="20" t="n">
        <v>0</v>
      </c>
      <c r="K15" s="18" t="n">
        <v>0.69460997</v>
      </c>
      <c r="L15" s="20" t="n">
        <v>0.30954794</v>
      </c>
      <c r="M15" s="18" t="n">
        <v>0</v>
      </c>
      <c r="N15" s="20" t="n">
        <v>0</v>
      </c>
      <c r="O15" s="18" t="n">
        <v>0</v>
      </c>
      <c r="P15" s="20" t="n">
        <v>0</v>
      </c>
      <c r="Q15" s="18" t="n">
        <v>0.28414131</v>
      </c>
      <c r="R15" s="20" t="n">
        <v>0.20214106</v>
      </c>
    </row>
    <row r="16" spans="1:18">
      <c r="A16" s="15" t="s">
        <v>438</v>
      </c>
      <c r="B16" s="17" t="n">
        <v>6108</v>
      </c>
      <c r="C16" s="18">
        <f>(5366.0/B16*100)</f>
        <v/>
      </c>
      <c r="D16" s="19" t="n">
        <v>742</v>
      </c>
      <c r="E16" s="18" t="n">
        <v>31.5587577</v>
      </c>
      <c r="F16" s="20" t="n">
        <v>1.72520445</v>
      </c>
      <c r="G16" s="18" t="n">
        <v>64.52421706</v>
      </c>
      <c r="H16" s="20" t="n">
        <v>1.65529274</v>
      </c>
      <c r="I16" s="18" t="n">
        <v>0</v>
      </c>
      <c r="J16" s="20" t="n">
        <v>0</v>
      </c>
      <c r="K16" s="18" t="n">
        <v>2.019045</v>
      </c>
      <c r="L16" s="20" t="n">
        <v>0.55332858</v>
      </c>
      <c r="M16" s="18" t="n">
        <v>0</v>
      </c>
      <c r="N16" s="20" t="n">
        <v>0</v>
      </c>
      <c r="O16" s="18" t="n">
        <v>0</v>
      </c>
      <c r="P16" s="20" t="n">
        <v>0</v>
      </c>
      <c r="Q16" s="18" t="n">
        <v>1.89798025</v>
      </c>
      <c r="R16" s="20" t="n">
        <v>0.5545601100000001</v>
      </c>
    </row>
    <row r="17" spans="1:18">
      <c r="A17" s="15" t="s">
        <v>439</v>
      </c>
      <c r="B17" s="17" t="n">
        <v>6504</v>
      </c>
      <c r="C17" s="18">
        <f>(5722.0/B17*100)</f>
        <v/>
      </c>
      <c r="D17" s="19" t="n">
        <v>782</v>
      </c>
      <c r="E17" s="18" t="n">
        <v>43.86061637</v>
      </c>
      <c r="F17" s="20" t="n">
        <v>1.83701573</v>
      </c>
      <c r="G17" s="18" t="n">
        <v>54.88478365</v>
      </c>
      <c r="H17" s="20" t="n">
        <v>1.91902294</v>
      </c>
      <c r="I17" s="18" t="n">
        <v>0</v>
      </c>
      <c r="J17" s="20" t="n">
        <v>0</v>
      </c>
      <c r="K17" s="18" t="n">
        <v>0.62453906</v>
      </c>
      <c r="L17" s="20" t="n">
        <v>0.27809706</v>
      </c>
      <c r="M17" s="18" t="n">
        <v>0</v>
      </c>
      <c r="N17" s="20" t="n">
        <v>0</v>
      </c>
      <c r="O17" s="18" t="n">
        <v>0</v>
      </c>
      <c r="P17" s="20" t="n">
        <v>0</v>
      </c>
      <c r="Q17" s="18" t="n">
        <v>0.63006092</v>
      </c>
      <c r="R17" s="20" t="n">
        <v>0.27564435</v>
      </c>
    </row>
    <row r="18" spans="1:18">
      <c r="A18" s="15" t="s">
        <v>440</v>
      </c>
      <c r="B18" s="17" t="n">
        <v>5532</v>
      </c>
      <c r="C18" s="18">
        <f>(4861.0/B18*100)</f>
        <v/>
      </c>
      <c r="D18" s="19" t="n">
        <v>671</v>
      </c>
      <c r="E18" s="18" t="n">
        <v>49.94799679</v>
      </c>
      <c r="F18" s="20" t="n">
        <v>2.25967835</v>
      </c>
      <c r="G18" s="18" t="n">
        <v>47.79036792</v>
      </c>
      <c r="H18" s="20" t="n">
        <v>2.22994771</v>
      </c>
      <c r="I18" s="18" t="n">
        <v>0</v>
      </c>
      <c r="J18" s="20" t="n">
        <v>0</v>
      </c>
      <c r="K18" s="18" t="n">
        <v>1.15408998</v>
      </c>
      <c r="L18" s="20" t="n">
        <v>0.46100996</v>
      </c>
      <c r="M18" s="18" t="n">
        <v>0</v>
      </c>
      <c r="N18" s="20" t="n">
        <v>0</v>
      </c>
      <c r="O18" s="18" t="n">
        <v>0</v>
      </c>
      <c r="P18" s="20" t="n">
        <v>0</v>
      </c>
      <c r="Q18" s="18" t="n">
        <v>1.1075453</v>
      </c>
      <c r="R18" s="20" t="n">
        <v>0.49698172</v>
      </c>
    </row>
    <row r="19" spans="1:18">
      <c r="A19" s="15" t="s">
        <v>441</v>
      </c>
      <c r="B19" s="17" t="n">
        <v>5658</v>
      </c>
      <c r="C19" s="18">
        <f>(4981.0/B19*100)</f>
        <v/>
      </c>
      <c r="D19" s="19" t="n">
        <v>677</v>
      </c>
      <c r="E19" s="18" t="n">
        <v>54.81963817</v>
      </c>
      <c r="F19" s="20" t="n">
        <v>2.00740669</v>
      </c>
      <c r="G19" s="18" t="n">
        <v>44.29145637</v>
      </c>
      <c r="H19" s="20" t="n">
        <v>1.98053321</v>
      </c>
      <c r="I19" s="18" t="n">
        <v>0</v>
      </c>
      <c r="J19" s="20" t="n">
        <v>0</v>
      </c>
      <c r="K19" s="18" t="n">
        <v>0.25981331</v>
      </c>
      <c r="L19" s="20" t="n">
        <v>0.1855223</v>
      </c>
      <c r="M19" s="18" t="n">
        <v>0</v>
      </c>
      <c r="N19" s="20" t="n">
        <v>0</v>
      </c>
      <c r="O19" s="18" t="n">
        <v>0</v>
      </c>
      <c r="P19" s="20" t="n">
        <v>0</v>
      </c>
      <c r="Q19" s="18" t="n">
        <v>0.62909214</v>
      </c>
      <c r="R19" s="20" t="n">
        <v>0.4187221</v>
      </c>
    </row>
    <row r="20" spans="1:18">
      <c r="A20" s="15" t="s">
        <v>442</v>
      </c>
      <c r="B20" s="17" t="n">
        <v>3371</v>
      </c>
      <c r="C20" s="18">
        <f>(2978.0/B20*100)</f>
        <v/>
      </c>
      <c r="D20" s="19" t="n">
        <v>393</v>
      </c>
      <c r="E20" s="18" t="n">
        <v>61.42619493</v>
      </c>
      <c r="F20" s="20" t="n">
        <v>2.12820223</v>
      </c>
      <c r="G20" s="18" t="n">
        <v>37.1496404</v>
      </c>
      <c r="H20" s="20" t="n">
        <v>2.09107931</v>
      </c>
      <c r="I20" s="18" t="n">
        <v>0</v>
      </c>
      <c r="J20" s="20" t="n">
        <v>0</v>
      </c>
      <c r="K20" s="18" t="n">
        <v>0.95417096</v>
      </c>
      <c r="L20" s="20" t="n">
        <v>0.47725076</v>
      </c>
      <c r="M20" s="18" t="n">
        <v>0</v>
      </c>
      <c r="N20" s="20" t="n">
        <v>0</v>
      </c>
      <c r="O20" s="18" t="n">
        <v>0</v>
      </c>
      <c r="P20" s="20" t="n">
        <v>0</v>
      </c>
      <c r="Q20" s="18" t="n">
        <v>0.46999371</v>
      </c>
      <c r="R20" s="20" t="n">
        <v>0.33138967</v>
      </c>
    </row>
    <row r="21" spans="1:18">
      <c r="A21" s="15" t="s">
        <v>443</v>
      </c>
      <c r="B21" s="17" t="n">
        <v>5741</v>
      </c>
      <c r="C21" s="18">
        <f>(4799.0/B21*100)</f>
        <v/>
      </c>
      <c r="D21" s="19" t="n">
        <v>942</v>
      </c>
      <c r="E21" s="18" t="n">
        <v>51.03589254</v>
      </c>
      <c r="F21" s="20" t="n">
        <v>1.61622836</v>
      </c>
      <c r="G21" s="18" t="n">
        <v>48.2399326</v>
      </c>
      <c r="H21" s="20" t="n">
        <v>1.56417757</v>
      </c>
      <c r="I21" s="18" t="n">
        <v>0</v>
      </c>
      <c r="J21" s="20" t="n">
        <v>0</v>
      </c>
      <c r="K21" s="18" t="n">
        <v>0.31310499</v>
      </c>
      <c r="L21" s="20" t="n">
        <v>0.13923908</v>
      </c>
      <c r="M21" s="18" t="n">
        <v>0</v>
      </c>
      <c r="N21" s="20" t="n">
        <v>0</v>
      </c>
      <c r="O21" s="18" t="n">
        <v>0</v>
      </c>
      <c r="P21" s="20" t="n">
        <v>0</v>
      </c>
      <c r="Q21" s="18" t="n">
        <v>0.41106987</v>
      </c>
      <c r="R21" s="20" t="n">
        <v>0.20907717</v>
      </c>
    </row>
    <row r="22" spans="1:18">
      <c r="A22" s="15" t="s">
        <v>444</v>
      </c>
      <c r="B22" s="17" t="n">
        <v>6598</v>
      </c>
      <c r="C22" s="18">
        <f>(5890.0/B22*100)</f>
        <v/>
      </c>
      <c r="D22" s="19" t="n">
        <v>708</v>
      </c>
      <c r="E22" s="18" t="n">
        <v>37.54518466</v>
      </c>
      <c r="F22" s="20" t="n">
        <v>1.88872273</v>
      </c>
      <c r="G22" s="18" t="n">
        <v>58.82217167</v>
      </c>
      <c r="H22" s="20" t="n">
        <v>1.95549652</v>
      </c>
      <c r="I22" s="18" t="n">
        <v>0</v>
      </c>
      <c r="J22" s="20" t="n">
        <v>0</v>
      </c>
      <c r="K22" s="18" t="n">
        <v>1.59781724</v>
      </c>
      <c r="L22" s="20" t="n">
        <v>0.58032125</v>
      </c>
      <c r="M22" s="18" t="n">
        <v>0</v>
      </c>
      <c r="N22" s="20" t="n">
        <v>0</v>
      </c>
      <c r="O22" s="18" t="n">
        <v>0</v>
      </c>
      <c r="P22" s="20" t="n">
        <v>0</v>
      </c>
      <c r="Q22" s="18" t="n">
        <v>2.03482644</v>
      </c>
      <c r="R22" s="20" t="n">
        <v>0.43894563</v>
      </c>
    </row>
    <row r="23" spans="1:18">
      <c r="A23" s="15" t="s">
        <v>445</v>
      </c>
      <c r="B23" s="17" t="n">
        <v>11583</v>
      </c>
      <c r="C23" s="18">
        <f>(10200.0/B23*100)</f>
        <v/>
      </c>
      <c r="D23" s="19" t="n">
        <v>1383</v>
      </c>
      <c r="E23" s="18" t="n">
        <v>36.72992666</v>
      </c>
      <c r="F23" s="20" t="n">
        <v>1.86538394</v>
      </c>
      <c r="G23" s="18" t="n">
        <v>61.4954991</v>
      </c>
      <c r="H23" s="20" t="n">
        <v>2.0465891</v>
      </c>
      <c r="I23" s="18" t="n">
        <v>0</v>
      </c>
      <c r="J23" s="20" t="n">
        <v>0</v>
      </c>
      <c r="K23" s="18" t="n">
        <v>0.7310986900000001</v>
      </c>
      <c r="L23" s="20" t="n">
        <v>0.26553974</v>
      </c>
      <c r="M23" s="18" t="n">
        <v>0</v>
      </c>
      <c r="N23" s="20" t="n">
        <v>0</v>
      </c>
      <c r="O23" s="18" t="n">
        <v>0</v>
      </c>
      <c r="P23" s="20" t="n">
        <v>0</v>
      </c>
      <c r="Q23" s="18" t="n">
        <v>1.04347556</v>
      </c>
      <c r="R23" s="20" t="n">
        <v>0.49772924</v>
      </c>
    </row>
    <row r="24" spans="1:18">
      <c r="A24" s="15" t="s">
        <v>446</v>
      </c>
      <c r="B24" s="17" t="n">
        <v>6647</v>
      </c>
      <c r="C24" s="18">
        <f>(5853.0/B24*100)</f>
        <v/>
      </c>
      <c r="D24" s="19" t="n">
        <v>794</v>
      </c>
      <c r="E24" s="18" t="n">
        <v>23.46043449</v>
      </c>
      <c r="F24" s="20" t="n">
        <v>1.49855705</v>
      </c>
      <c r="G24" s="18" t="n">
        <v>75.6222222</v>
      </c>
      <c r="H24" s="20" t="n">
        <v>1.45931065</v>
      </c>
      <c r="I24" s="18" t="n">
        <v>0</v>
      </c>
      <c r="J24" s="20" t="n">
        <v>0</v>
      </c>
      <c r="K24" s="18" t="n">
        <v>0.47822844</v>
      </c>
      <c r="L24" s="20" t="n">
        <v>0.2906698</v>
      </c>
      <c r="M24" s="18" t="n">
        <v>0</v>
      </c>
      <c r="N24" s="20" t="n">
        <v>0</v>
      </c>
      <c r="O24" s="18" t="n">
        <v>0</v>
      </c>
      <c r="P24" s="20" t="n">
        <v>0</v>
      </c>
      <c r="Q24" s="18" t="n">
        <v>0.43911487</v>
      </c>
      <c r="R24" s="20" t="n">
        <v>0.25736775</v>
      </c>
    </row>
    <row r="25" spans="1:18">
      <c r="A25" s="15" t="s">
        <v>447</v>
      </c>
      <c r="B25" s="17" t="n">
        <v>5581</v>
      </c>
      <c r="C25" s="18">
        <f>(4886.0/B25*100)</f>
        <v/>
      </c>
      <c r="D25" s="19" t="n">
        <v>695</v>
      </c>
      <c r="E25" s="18" t="n">
        <v>20.99523811</v>
      </c>
      <c r="F25" s="20" t="n">
        <v>1.58148404</v>
      </c>
      <c r="G25" s="18" t="n">
        <v>78.41322918</v>
      </c>
      <c r="H25" s="20" t="n">
        <v>1.58476058</v>
      </c>
      <c r="I25" s="18" t="n">
        <v>0</v>
      </c>
      <c r="J25" s="20" t="n">
        <v>0</v>
      </c>
      <c r="K25" s="18" t="n">
        <v>0.29337642</v>
      </c>
      <c r="L25" s="20" t="n">
        <v>0.20628515</v>
      </c>
      <c r="M25" s="18" t="n">
        <v>0</v>
      </c>
      <c r="N25" s="20" t="n">
        <v>0</v>
      </c>
      <c r="O25" s="18" t="n">
        <v>0</v>
      </c>
      <c r="P25" s="20" t="n">
        <v>0</v>
      </c>
      <c r="Q25" s="18" t="n">
        <v>0.29815628</v>
      </c>
      <c r="R25" s="20" t="n">
        <v>0.21050823</v>
      </c>
    </row>
    <row r="26" spans="1:18">
      <c r="A26" s="15" t="s">
        <v>448</v>
      </c>
      <c r="B26" s="17" t="n">
        <v>4869</v>
      </c>
      <c r="C26" s="18">
        <f>(4269.0/B26*100)</f>
        <v/>
      </c>
      <c r="D26" s="19" t="n">
        <v>600</v>
      </c>
      <c r="E26" s="18" t="n">
        <v>54.00484057</v>
      </c>
      <c r="F26" s="20" t="n">
        <v>2.07748634</v>
      </c>
      <c r="G26" s="18" t="n">
        <v>45.69970717</v>
      </c>
      <c r="H26" s="20" t="n">
        <v>2.10245598</v>
      </c>
      <c r="I26" s="18" t="n">
        <v>0</v>
      </c>
      <c r="J26" s="20" t="n">
        <v>0</v>
      </c>
      <c r="K26" s="18" t="n">
        <v>0</v>
      </c>
      <c r="L26" s="20" t="n">
        <v>0</v>
      </c>
      <c r="M26" s="18" t="n">
        <v>0</v>
      </c>
      <c r="N26" s="20" t="n">
        <v>0</v>
      </c>
      <c r="O26" s="18" t="n">
        <v>0</v>
      </c>
      <c r="P26" s="20" t="n">
        <v>0</v>
      </c>
      <c r="Q26" s="18" t="n">
        <v>0.29545226</v>
      </c>
      <c r="R26" s="20" t="n">
        <v>0.21654329</v>
      </c>
    </row>
    <row r="27" spans="1:18">
      <c r="A27" s="15" t="s">
        <v>449</v>
      </c>
      <c r="B27" s="17" t="n">
        <v>5299</v>
      </c>
      <c r="C27" s="18">
        <f>(4650.0/B27*100)</f>
        <v/>
      </c>
      <c r="D27" s="19" t="n">
        <v>649</v>
      </c>
      <c r="E27" s="18" t="n">
        <v>45.36545755</v>
      </c>
      <c r="F27" s="20" t="n">
        <v>1.88652766</v>
      </c>
      <c r="G27" s="18" t="n">
        <v>53.97884459</v>
      </c>
      <c r="H27" s="20" t="n">
        <v>1.8855585</v>
      </c>
      <c r="I27" s="18" t="n">
        <v>0</v>
      </c>
      <c r="J27" s="20" t="n">
        <v>0</v>
      </c>
      <c r="K27" s="18" t="n">
        <v>0.31173763</v>
      </c>
      <c r="L27" s="20" t="n">
        <v>0.21888088</v>
      </c>
      <c r="M27" s="18" t="n">
        <v>0</v>
      </c>
      <c r="N27" s="20" t="n">
        <v>0</v>
      </c>
      <c r="O27" s="18" t="n">
        <v>0</v>
      </c>
      <c r="P27" s="20" t="n">
        <v>0</v>
      </c>
      <c r="Q27" s="18" t="n">
        <v>0.34396022</v>
      </c>
      <c r="R27" s="20" t="n">
        <v>0.24826981</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56.55538</v>
      </c>
      <c r="F29" s="20" t="n">
        <v>2.10082194</v>
      </c>
      <c r="G29" s="18" t="n">
        <v>42.79469216</v>
      </c>
      <c r="H29" s="20" t="n">
        <v>2.12189543</v>
      </c>
      <c r="I29" s="18" t="n">
        <v>0</v>
      </c>
      <c r="J29" s="20" t="n">
        <v>0</v>
      </c>
      <c r="K29" s="18" t="n">
        <v>0.49529817</v>
      </c>
      <c r="L29" s="20" t="n">
        <v>0.28417547</v>
      </c>
      <c r="M29" s="18" t="n">
        <v>0</v>
      </c>
      <c r="N29" s="20" t="n">
        <v>0</v>
      </c>
      <c r="O29" s="18" t="n">
        <v>0</v>
      </c>
      <c r="P29" s="20" t="n">
        <v>0</v>
      </c>
      <c r="Q29" s="18" t="n">
        <v>0.15462967</v>
      </c>
      <c r="R29" s="20" t="n">
        <v>0.16871766</v>
      </c>
    </row>
    <row r="30" spans="1:18">
      <c r="A30" s="15" t="s">
        <v>452</v>
      </c>
      <c r="B30" s="17" t="n">
        <v>4520</v>
      </c>
      <c r="C30" s="18">
        <f>(3962.0/B30*100)</f>
        <v/>
      </c>
      <c r="D30" s="19" t="n">
        <v>558</v>
      </c>
      <c r="E30" s="18" t="n">
        <v>51.40321934</v>
      </c>
      <c r="F30" s="20" t="n">
        <v>2.11131507</v>
      </c>
      <c r="G30" s="18" t="n">
        <v>46.44184255</v>
      </c>
      <c r="H30" s="20" t="n">
        <v>2.03349605</v>
      </c>
      <c r="I30" s="18" t="n">
        <v>0</v>
      </c>
      <c r="J30" s="20" t="n">
        <v>0</v>
      </c>
      <c r="K30" s="18" t="n">
        <v>0.78888006</v>
      </c>
      <c r="L30" s="20" t="n">
        <v>0.41410199</v>
      </c>
      <c r="M30" s="18" t="n">
        <v>0</v>
      </c>
      <c r="N30" s="20" t="n">
        <v>0</v>
      </c>
      <c r="O30" s="18" t="n">
        <v>0</v>
      </c>
      <c r="P30" s="20" t="n">
        <v>0</v>
      </c>
      <c r="Q30" s="18" t="n">
        <v>1.36605804</v>
      </c>
      <c r="R30" s="20" t="n">
        <v>0.49089332</v>
      </c>
    </row>
    <row r="31" spans="1:18">
      <c r="A31" s="15" t="s">
        <v>453</v>
      </c>
      <c r="B31" s="17" t="n">
        <v>5456</v>
      </c>
      <c r="C31" s="18">
        <f>(4787.0/B31*100)</f>
        <v/>
      </c>
      <c r="D31" s="19" t="n">
        <v>669</v>
      </c>
      <c r="E31" s="18" t="n">
        <v>44.91442771</v>
      </c>
      <c r="F31" s="20" t="n">
        <v>1.90219768</v>
      </c>
      <c r="G31" s="18" t="n">
        <v>53.19465787</v>
      </c>
      <c r="H31" s="20" t="n">
        <v>1.98212956</v>
      </c>
      <c r="I31" s="18" t="n">
        <v>0</v>
      </c>
      <c r="J31" s="20" t="n">
        <v>0</v>
      </c>
      <c r="K31" s="18" t="n">
        <v>1.13612275</v>
      </c>
      <c r="L31" s="20" t="n">
        <v>0.3996269</v>
      </c>
      <c r="M31" s="18" t="n">
        <v>0</v>
      </c>
      <c r="N31" s="20" t="n">
        <v>0</v>
      </c>
      <c r="O31" s="18" t="n">
        <v>0</v>
      </c>
      <c r="P31" s="20" t="n">
        <v>0</v>
      </c>
      <c r="Q31" s="18" t="n">
        <v>0.75479167</v>
      </c>
      <c r="R31" s="20" t="n">
        <v>0.35354586</v>
      </c>
    </row>
    <row r="32" spans="1:18">
      <c r="A32" s="15" t="s">
        <v>454</v>
      </c>
      <c r="B32" s="17" t="n">
        <v>4478</v>
      </c>
      <c r="C32" s="18">
        <f>(3721.0/B32*100)</f>
        <v/>
      </c>
      <c r="D32" s="19" t="n">
        <v>757</v>
      </c>
      <c r="E32" s="18" t="n">
        <v>48.19983932</v>
      </c>
      <c r="F32" s="20" t="n">
        <v>1.78622429</v>
      </c>
      <c r="G32" s="18" t="n">
        <v>50.78948106</v>
      </c>
      <c r="H32" s="20" t="n">
        <v>1.78921166</v>
      </c>
      <c r="I32" s="18" t="n">
        <v>0</v>
      </c>
      <c r="J32" s="20" t="n">
        <v>0</v>
      </c>
      <c r="K32" s="18" t="n">
        <v>0.60739272</v>
      </c>
      <c r="L32" s="20" t="n">
        <v>0.25910691</v>
      </c>
      <c r="M32" s="18" t="n">
        <v>0</v>
      </c>
      <c r="N32" s="20" t="n">
        <v>0</v>
      </c>
      <c r="O32" s="18" t="n">
        <v>0</v>
      </c>
      <c r="P32" s="20" t="n">
        <v>0</v>
      </c>
      <c r="Q32" s="18" t="n">
        <v>0.4032869</v>
      </c>
      <c r="R32" s="20" t="n">
        <v>0.21031394</v>
      </c>
    </row>
    <row r="33" spans="1:18">
      <c r="A33" s="15" t="s">
        <v>455</v>
      </c>
      <c r="B33" s="17" t="n">
        <v>7325</v>
      </c>
      <c r="C33" s="18">
        <f>(6449.0/B33*100)</f>
        <v/>
      </c>
      <c r="D33" s="19" t="n">
        <v>876</v>
      </c>
      <c r="E33" s="18" t="n">
        <v>37.11229499</v>
      </c>
      <c r="F33" s="20" t="n">
        <v>2.37939233</v>
      </c>
      <c r="G33" s="18" t="n">
        <v>62.14551103</v>
      </c>
      <c r="H33" s="20" t="n">
        <v>2.26551185</v>
      </c>
      <c r="I33" s="18" t="n">
        <v>0</v>
      </c>
      <c r="J33" s="20" t="n">
        <v>0</v>
      </c>
      <c r="K33" s="18" t="n">
        <v>0.05568605</v>
      </c>
      <c r="L33" s="20" t="n">
        <v>0.03929339</v>
      </c>
      <c r="M33" s="18" t="n">
        <v>0</v>
      </c>
      <c r="N33" s="20" t="n">
        <v>0</v>
      </c>
      <c r="O33" s="18" t="n">
        <v>0</v>
      </c>
      <c r="P33" s="20" t="n">
        <v>0</v>
      </c>
      <c r="Q33" s="18" t="n">
        <v>0.68650794</v>
      </c>
      <c r="R33" s="20" t="n">
        <v>0.50178722</v>
      </c>
    </row>
    <row r="34" spans="1:18">
      <c r="A34" s="15" t="s">
        <v>456</v>
      </c>
      <c r="B34" s="17" t="n">
        <v>6350</v>
      </c>
      <c r="C34" s="18">
        <f>(5577.0/B34*100)</f>
        <v/>
      </c>
      <c r="D34" s="19" t="n">
        <v>773</v>
      </c>
      <c r="E34" s="18" t="n">
        <v>45.68263899</v>
      </c>
      <c r="F34" s="20" t="n">
        <v>1.79656597</v>
      </c>
      <c r="G34" s="18" t="n">
        <v>53.07234498</v>
      </c>
      <c r="H34" s="20" t="n">
        <v>1.76382134</v>
      </c>
      <c r="I34" s="18" t="n">
        <v>0</v>
      </c>
      <c r="J34" s="20" t="n">
        <v>0</v>
      </c>
      <c r="K34" s="18" t="n">
        <v>0.4886611</v>
      </c>
      <c r="L34" s="20" t="n">
        <v>0.19867506</v>
      </c>
      <c r="M34" s="18" t="n">
        <v>0</v>
      </c>
      <c r="N34" s="20" t="n">
        <v>0</v>
      </c>
      <c r="O34" s="18" t="n">
        <v>0</v>
      </c>
      <c r="P34" s="20" t="n">
        <v>0</v>
      </c>
      <c r="Q34" s="18" t="n">
        <v>0.75635493</v>
      </c>
      <c r="R34" s="20" t="n">
        <v>0.36078013</v>
      </c>
    </row>
    <row r="35" spans="1:18">
      <c r="A35" s="15" t="s">
        <v>457</v>
      </c>
      <c r="B35" s="17" t="n">
        <v>6406</v>
      </c>
      <c r="C35" s="18">
        <f>(5613.0/B35*100)</f>
        <v/>
      </c>
      <c r="D35" s="19" t="n">
        <v>793</v>
      </c>
      <c r="E35" s="18" t="n">
        <v>47.0546207</v>
      </c>
      <c r="F35" s="20" t="n">
        <v>2.06982836</v>
      </c>
      <c r="G35" s="18" t="n">
        <v>52.13887098</v>
      </c>
      <c r="H35" s="20" t="n">
        <v>2.09689195</v>
      </c>
      <c r="I35" s="18" t="n">
        <v>0</v>
      </c>
      <c r="J35" s="20" t="n">
        <v>0</v>
      </c>
      <c r="K35" s="18" t="n">
        <v>0.55856848</v>
      </c>
      <c r="L35" s="20" t="n">
        <v>0.31877138</v>
      </c>
      <c r="M35" s="18" t="n">
        <v>0</v>
      </c>
      <c r="N35" s="20" t="n">
        <v>0</v>
      </c>
      <c r="O35" s="18" t="n">
        <v>0</v>
      </c>
      <c r="P35" s="20" t="n">
        <v>0</v>
      </c>
      <c r="Q35" s="18" t="n">
        <v>0.24793984</v>
      </c>
      <c r="R35" s="20" t="n">
        <v>0.12818162</v>
      </c>
    </row>
    <row r="36" spans="1:18">
      <c r="A36" s="15" t="s">
        <v>458</v>
      </c>
      <c r="B36" s="17" t="n">
        <v>6736</v>
      </c>
      <c r="C36" s="18">
        <f>(5934.0/B36*100)</f>
        <v/>
      </c>
      <c r="D36" s="19" t="n">
        <v>802</v>
      </c>
      <c r="E36" s="18" t="n">
        <v>39.69777178</v>
      </c>
      <c r="F36" s="20" t="n">
        <v>1.94059703</v>
      </c>
      <c r="G36" s="18" t="n">
        <v>59.60633884</v>
      </c>
      <c r="H36" s="20" t="n">
        <v>1.91248421</v>
      </c>
      <c r="I36" s="18" t="n">
        <v>0</v>
      </c>
      <c r="J36" s="20" t="n">
        <v>0</v>
      </c>
      <c r="K36" s="18" t="n">
        <v>0.49480329</v>
      </c>
      <c r="L36" s="20" t="n">
        <v>0.27377613</v>
      </c>
      <c r="M36" s="18" t="n">
        <v>0</v>
      </c>
      <c r="N36" s="20" t="n">
        <v>0</v>
      </c>
      <c r="O36" s="18" t="n">
        <v>0</v>
      </c>
      <c r="P36" s="20" t="n">
        <v>0</v>
      </c>
      <c r="Q36" s="18" t="n">
        <v>0.2010861</v>
      </c>
      <c r="R36" s="20" t="n">
        <v>0.14668043</v>
      </c>
    </row>
    <row r="37" spans="1:18">
      <c r="A37" s="15" t="s">
        <v>459</v>
      </c>
      <c r="B37" s="17" t="n">
        <v>5458</v>
      </c>
      <c r="C37" s="18">
        <f>(4816.0/B37*100)</f>
        <v/>
      </c>
      <c r="D37" s="19" t="n">
        <v>642</v>
      </c>
      <c r="E37" s="18" t="n">
        <v>48.79087858</v>
      </c>
      <c r="F37" s="20" t="n">
        <v>2.01331507</v>
      </c>
      <c r="G37" s="18" t="n">
        <v>49.21470674</v>
      </c>
      <c r="H37" s="20" t="n">
        <v>2.12494468</v>
      </c>
      <c r="I37" s="18" t="n">
        <v>0</v>
      </c>
      <c r="J37" s="20" t="n">
        <v>0</v>
      </c>
      <c r="K37" s="18" t="n">
        <v>1.54911657</v>
      </c>
      <c r="L37" s="20" t="n">
        <v>0.55062909</v>
      </c>
      <c r="M37" s="18" t="n">
        <v>0</v>
      </c>
      <c r="N37" s="20" t="n">
        <v>0</v>
      </c>
      <c r="O37" s="18" t="n">
        <v>0</v>
      </c>
      <c r="P37" s="20" t="n">
        <v>0</v>
      </c>
      <c r="Q37" s="18" t="n">
        <v>0.44529811</v>
      </c>
      <c r="R37" s="20" t="n">
        <v>0.25851437</v>
      </c>
    </row>
    <row r="38" spans="1:18">
      <c r="A38" s="15" t="s">
        <v>460</v>
      </c>
      <c r="B38" s="17" t="n">
        <v>5860</v>
      </c>
      <c r="C38" s="18">
        <f>(4898.0/B38*100)</f>
        <v/>
      </c>
      <c r="D38" s="19" t="n">
        <v>962</v>
      </c>
      <c r="E38" s="18" t="n">
        <v>38.75763543</v>
      </c>
      <c r="F38" s="20" t="n">
        <v>1.59297912</v>
      </c>
      <c r="G38" s="18" t="n">
        <v>59.41764019</v>
      </c>
      <c r="H38" s="20" t="n">
        <v>1.50555568</v>
      </c>
      <c r="I38" s="18" t="n">
        <v>0</v>
      </c>
      <c r="J38" s="20" t="n">
        <v>0</v>
      </c>
      <c r="K38" s="18" t="n">
        <v>1.05281285</v>
      </c>
      <c r="L38" s="20" t="n">
        <v>0.4159014</v>
      </c>
      <c r="M38" s="18" t="n">
        <v>0</v>
      </c>
      <c r="N38" s="20" t="n">
        <v>0</v>
      </c>
      <c r="O38" s="18" t="n">
        <v>0</v>
      </c>
      <c r="P38" s="20" t="n">
        <v>0</v>
      </c>
      <c r="Q38" s="18" t="n">
        <v>0.77191153</v>
      </c>
      <c r="R38" s="20" t="n">
        <v>0.30585897</v>
      </c>
    </row>
    <row r="39" spans="1:18">
      <c r="A39" s="15" t="s">
        <v>461</v>
      </c>
      <c r="B39" s="17" t="n">
        <v>5895</v>
      </c>
      <c r="C39" s="18">
        <f>(5157.0/B39*100)</f>
        <v/>
      </c>
      <c r="D39" s="19" t="n">
        <v>738</v>
      </c>
      <c r="E39" s="18" t="n">
        <v>64.15058964000001</v>
      </c>
      <c r="F39" s="20" t="n">
        <v>1.95723448</v>
      </c>
      <c r="G39" s="18" t="n">
        <v>33.47621637</v>
      </c>
      <c r="H39" s="20" t="n">
        <v>1.89583983</v>
      </c>
      <c r="I39" s="18" t="n">
        <v>0</v>
      </c>
      <c r="J39" s="20" t="n">
        <v>0</v>
      </c>
      <c r="K39" s="18" t="n">
        <v>0.70549501</v>
      </c>
      <c r="L39" s="20" t="n">
        <v>0.37807245</v>
      </c>
      <c r="M39" s="18" t="n">
        <v>0</v>
      </c>
      <c r="N39" s="20" t="n">
        <v>0</v>
      </c>
      <c r="O39" s="18" t="n">
        <v>0</v>
      </c>
      <c r="P39" s="20" t="n">
        <v>0</v>
      </c>
      <c r="Q39" s="18" t="n">
        <v>1.66769897</v>
      </c>
      <c r="R39" s="20" t="n">
        <v>0.48709406</v>
      </c>
    </row>
    <row r="40" spans="1:18">
      <c r="A40" s="15" t="s">
        <v>462</v>
      </c>
      <c r="B40" s="17" t="n">
        <v>14157</v>
      </c>
      <c r="C40" s="18">
        <f>(12382.0/B40*100)</f>
        <v/>
      </c>
      <c r="D40" s="19" t="n">
        <v>1775</v>
      </c>
      <c r="E40" s="18" t="n">
        <v>62.21601572</v>
      </c>
      <c r="F40" s="20" t="n">
        <v>1.77841951</v>
      </c>
      <c r="G40" s="18" t="n">
        <v>36.26058285</v>
      </c>
      <c r="H40" s="20" t="n">
        <v>1.73390754</v>
      </c>
      <c r="I40" s="18" t="n">
        <v>0</v>
      </c>
      <c r="J40" s="20" t="n">
        <v>0</v>
      </c>
      <c r="K40" s="18" t="n">
        <v>0.51949702</v>
      </c>
      <c r="L40" s="20" t="n">
        <v>0.20421934</v>
      </c>
      <c r="M40" s="18" t="n">
        <v>0</v>
      </c>
      <c r="N40" s="20" t="n">
        <v>0</v>
      </c>
      <c r="O40" s="18" t="n">
        <v>0</v>
      </c>
      <c r="P40" s="20" t="n">
        <v>0</v>
      </c>
      <c r="Q40" s="18" t="n">
        <v>1.00390442</v>
      </c>
      <c r="R40" s="20" t="n">
        <v>0.41648741</v>
      </c>
    </row>
    <row r="41" spans="1:18">
      <c r="A41" s="15" t="s">
        <v>463</v>
      </c>
      <c r="B41" s="17" t="n">
        <v>5712</v>
      </c>
      <c r="C41" s="18">
        <f>(5045.0/B41*100)</f>
        <v/>
      </c>
      <c r="D41" s="19" t="n">
        <v>667</v>
      </c>
      <c r="E41" s="18" t="n">
        <v>56.36133705</v>
      </c>
      <c r="F41" s="20" t="n">
        <v>2.12619845</v>
      </c>
      <c r="G41" s="18" t="n">
        <v>42.54247061</v>
      </c>
      <c r="H41" s="20" t="n">
        <v>2.1049187</v>
      </c>
      <c r="I41" s="18" t="n">
        <v>0</v>
      </c>
      <c r="J41" s="20" t="n">
        <v>0</v>
      </c>
      <c r="K41" s="18" t="n">
        <v>0.39704454</v>
      </c>
      <c r="L41" s="20" t="n">
        <v>0.23511853</v>
      </c>
      <c r="M41" s="18" t="n">
        <v>0</v>
      </c>
      <c r="N41" s="20" t="n">
        <v>0</v>
      </c>
      <c r="O41" s="18" t="n">
        <v>0</v>
      </c>
      <c r="P41" s="20" t="n">
        <v>0</v>
      </c>
      <c r="Q41" s="18" t="n">
        <v>0.6991478</v>
      </c>
      <c r="R41" s="20" t="n">
        <v>0.35583169</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(8640.0/B48*100)</f>
        <v/>
      </c>
      <c r="D48" s="19" t="n">
        <v>1201</v>
      </c>
      <c r="E48" s="18" t="n">
        <v>38.83894032</v>
      </c>
      <c r="F48" s="20" t="n">
        <v>2.11739002</v>
      </c>
      <c r="G48" s="18" t="n">
        <v>59.85362638</v>
      </c>
      <c r="H48" s="20" t="n">
        <v>2.18888935</v>
      </c>
      <c r="I48" s="18" t="n">
        <v>0</v>
      </c>
      <c r="J48" s="20" t="n">
        <v>0</v>
      </c>
      <c r="K48" s="18" t="n">
        <v>0.73422175</v>
      </c>
      <c r="L48" s="20" t="n">
        <v>0.2756473</v>
      </c>
      <c r="M48" s="18" t="n">
        <v>0</v>
      </c>
      <c r="N48" s="20" t="n">
        <v>0</v>
      </c>
      <c r="O48" s="18" t="n">
        <v>0</v>
      </c>
      <c r="P48" s="20" t="n">
        <v>0</v>
      </c>
      <c r="Q48" s="18" t="n">
        <v>0.57321156</v>
      </c>
      <c r="R48" s="20" t="n">
        <v>0.2801277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(5096.0/B51*100)</f>
        <v/>
      </c>
      <c r="D51" s="19" t="n">
        <v>713</v>
      </c>
      <c r="E51" s="18" t="n">
        <v>50.98950664</v>
      </c>
      <c r="F51" s="20" t="n">
        <v>1.74011725</v>
      </c>
      <c r="G51" s="18" t="n">
        <v>48.09719111</v>
      </c>
      <c r="H51" s="20" t="n">
        <v>1.74765302</v>
      </c>
      <c r="I51" s="18" t="n">
        <v>0</v>
      </c>
      <c r="J51" s="20" t="n">
        <v>0</v>
      </c>
      <c r="K51" s="18" t="n">
        <v>0</v>
      </c>
      <c r="L51" s="20" t="n">
        <v>0</v>
      </c>
      <c r="M51" s="18" t="n">
        <v>0</v>
      </c>
      <c r="N51" s="20" t="n">
        <v>0</v>
      </c>
      <c r="O51" s="18" t="n">
        <v>0</v>
      </c>
      <c r="P51" s="20" t="n">
        <v>0</v>
      </c>
      <c r="Q51" s="18" t="n">
        <v>0.91330224</v>
      </c>
      <c r="R51" s="20" t="n">
        <v>0.25998156</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40.12988681</v>
      </c>
      <c r="F55" s="20" t="n">
        <v>1.81807336</v>
      </c>
      <c r="G55" s="18" t="n">
        <v>58.41547644</v>
      </c>
      <c r="H55" s="20" t="n">
        <v>1.78196556</v>
      </c>
      <c r="I55" s="18" t="n">
        <v>0</v>
      </c>
      <c r="J55" s="20" t="n">
        <v>0</v>
      </c>
      <c r="K55" s="18" t="n">
        <v>0.5293443799999999</v>
      </c>
      <c r="L55" s="20" t="n">
        <v>0.33459949</v>
      </c>
      <c r="M55" s="18" t="n">
        <v>0</v>
      </c>
      <c r="N55" s="20" t="n">
        <v>0</v>
      </c>
      <c r="O55" s="18" t="n">
        <v>0</v>
      </c>
      <c r="P55" s="20" t="n">
        <v>0</v>
      </c>
      <c r="Q55" s="18" t="n">
        <v>0.92529238</v>
      </c>
      <c r="R55" s="20" t="n">
        <v>0.38750634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(5685.0/B61*100)</f>
        <v/>
      </c>
      <c r="D61" s="19" t="n">
        <v>840</v>
      </c>
      <c r="E61" s="18" t="n">
        <v>57.32868755</v>
      </c>
      <c r="F61" s="20" t="n">
        <v>1.7696877</v>
      </c>
      <c r="G61" s="18" t="n">
        <v>42.13218589</v>
      </c>
      <c r="H61" s="20" t="n">
        <v>1.73744252</v>
      </c>
      <c r="I61" s="18" t="n">
        <v>0</v>
      </c>
      <c r="J61" s="20" t="n">
        <v>0</v>
      </c>
      <c r="K61" s="18" t="n">
        <v>0.20981007</v>
      </c>
      <c r="L61" s="20" t="n">
        <v>0.16102214</v>
      </c>
      <c r="M61" s="18" t="n">
        <v>0</v>
      </c>
      <c r="N61" s="20" t="n">
        <v>0</v>
      </c>
      <c r="O61" s="18" t="n">
        <v>0</v>
      </c>
      <c r="P61" s="20" t="n">
        <v>0</v>
      </c>
      <c r="Q61" s="18" t="n">
        <v>0.3293165</v>
      </c>
      <c r="R61" s="20" t="n">
        <v>0.21464972</v>
      </c>
    </row>
    <row r="62" spans="1:18">
      <c r="A62" s="15" t="s">
        <v>486</v>
      </c>
      <c r="B62" s="17" t="n">
        <v>4476</v>
      </c>
      <c r="C62" s="18">
        <f>(3937.0/B62*100)</f>
        <v/>
      </c>
      <c r="D62" s="19" t="n">
        <v>539</v>
      </c>
      <c r="E62" s="18" t="n">
        <v>49.20234349</v>
      </c>
      <c r="F62" s="20" t="n">
        <v>2.06549108</v>
      </c>
      <c r="G62" s="18" t="n">
        <v>50.04239872</v>
      </c>
      <c r="H62" s="20" t="n">
        <v>2.17269261</v>
      </c>
      <c r="I62" s="18" t="n">
        <v>0</v>
      </c>
      <c r="J62" s="20" t="n">
        <v>0</v>
      </c>
      <c r="K62" s="18" t="n">
        <v>0.37486139</v>
      </c>
      <c r="L62" s="20" t="n">
        <v>0.26662359</v>
      </c>
      <c r="M62" s="18" t="n">
        <v>0</v>
      </c>
      <c r="N62" s="20" t="n">
        <v>0</v>
      </c>
      <c r="O62" s="18" t="n">
        <v>0</v>
      </c>
      <c r="P62" s="20" t="n">
        <v>0</v>
      </c>
      <c r="Q62" s="18" t="n">
        <v>0.38039639</v>
      </c>
      <c r="R62" s="20" t="n">
        <v>0.26607115</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(5015.0/B67*100)</f>
        <v/>
      </c>
      <c r="D67" s="19" t="n">
        <v>650</v>
      </c>
      <c r="E67" s="18" t="n">
        <v>64.03370689</v>
      </c>
      <c r="F67" s="20" t="n">
        <v>1.75266614</v>
      </c>
      <c r="G67" s="18" t="n">
        <v>30.49258196</v>
      </c>
      <c r="H67" s="20" t="n">
        <v>1.8235517</v>
      </c>
      <c r="I67" s="18" t="n">
        <v>0</v>
      </c>
      <c r="J67" s="20" t="n">
        <v>0</v>
      </c>
      <c r="K67" s="18" t="n">
        <v>2.14552978</v>
      </c>
      <c r="L67" s="20" t="n">
        <v>0.59857642</v>
      </c>
      <c r="M67" s="18" t="n">
        <v>0</v>
      </c>
      <c r="N67" s="20" t="n">
        <v>0</v>
      </c>
      <c r="O67" s="18" t="n">
        <v>0</v>
      </c>
      <c r="P67" s="20" t="n">
        <v>0</v>
      </c>
      <c r="Q67" s="18" t="n">
        <v>3.32818137</v>
      </c>
      <c r="R67" s="20" t="n">
        <v>0.7034778</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(5353.0/B72*100)</f>
        <v/>
      </c>
      <c r="D72" s="19" t="n">
        <v>683</v>
      </c>
      <c r="E72" s="18" t="n">
        <v>50.23158619</v>
      </c>
      <c r="F72" s="20" t="n">
        <v>2.12223664</v>
      </c>
      <c r="G72" s="18" t="n">
        <v>48.94673501</v>
      </c>
      <c r="H72" s="20" t="n">
        <v>2.17325166</v>
      </c>
      <c r="I72" s="18" t="n">
        <v>0</v>
      </c>
      <c r="J72" s="20" t="n">
        <v>0</v>
      </c>
      <c r="K72" s="18" t="n">
        <v>0.74321902</v>
      </c>
      <c r="L72" s="20" t="n">
        <v>0.33925082</v>
      </c>
      <c r="M72" s="18" t="n">
        <v>0</v>
      </c>
      <c r="N72" s="20" t="n">
        <v>0</v>
      </c>
      <c r="O72" s="18" t="n">
        <v>0</v>
      </c>
      <c r="P72" s="20" t="n">
        <v>0</v>
      </c>
      <c r="Q72" s="18" t="n">
        <v>0.07845977</v>
      </c>
      <c r="R72" s="20" t="n">
        <v>0.11205411</v>
      </c>
    </row>
    <row r="73" spans="1:18">
      <c r="A73" s="15" t="s">
        <v>497</v>
      </c>
      <c r="B73" s="17" t="n">
        <v>6115</v>
      </c>
      <c r="C73" s="18">
        <f>(5346.0/B73*100)</f>
        <v/>
      </c>
      <c r="D73" s="19" t="n">
        <v>769</v>
      </c>
      <c r="E73" s="18" t="n">
        <v>44.37585139</v>
      </c>
      <c r="F73" s="20" t="n">
        <v>1.91017006</v>
      </c>
      <c r="G73" s="18" t="n">
        <v>54.1032301</v>
      </c>
      <c r="H73" s="20" t="n">
        <v>1.97091856</v>
      </c>
      <c r="I73" s="18" t="n">
        <v>0</v>
      </c>
      <c r="J73" s="20" t="n">
        <v>0</v>
      </c>
      <c r="K73" s="18" t="n">
        <v>1.06176257</v>
      </c>
      <c r="L73" s="20" t="n">
        <v>0.31325522</v>
      </c>
      <c r="M73" s="18" t="n">
        <v>0</v>
      </c>
      <c r="N73" s="20" t="n">
        <v>0</v>
      </c>
      <c r="O73" s="18" t="n">
        <v>0</v>
      </c>
      <c r="P73" s="20" t="n">
        <v>0</v>
      </c>
      <c r="Q73" s="18" t="n">
        <v>0.45915594</v>
      </c>
      <c r="R73" s="20" t="n">
        <v>0.26921875</v>
      </c>
    </row>
    <row r="74" spans="1:18">
      <c r="A74" s="15" t="s">
        <v>498</v>
      </c>
      <c r="B74" s="17" t="n">
        <v>7708</v>
      </c>
      <c r="C74" s="18">
        <f>(6752.0/B74*100)</f>
        <v/>
      </c>
      <c r="D74" s="19" t="n">
        <v>956</v>
      </c>
      <c r="E74" s="18" t="n">
        <v>38.13441257</v>
      </c>
      <c r="F74" s="20" t="n">
        <v>1.81098991</v>
      </c>
      <c r="G74" s="18" t="n">
        <v>61.29305772</v>
      </c>
      <c r="H74" s="20" t="n">
        <v>1.80739217</v>
      </c>
      <c r="I74" s="18" t="n">
        <v>0</v>
      </c>
      <c r="J74" s="20" t="n">
        <v>0</v>
      </c>
      <c r="K74" s="18" t="n">
        <v>0.33693599</v>
      </c>
      <c r="L74" s="20" t="n">
        <v>0.15859733</v>
      </c>
      <c r="M74" s="18" t="n">
        <v>0</v>
      </c>
      <c r="N74" s="20" t="n">
        <v>0</v>
      </c>
      <c r="O74" s="18" t="n">
        <v>0</v>
      </c>
      <c r="P74" s="20" t="n">
        <v>0</v>
      </c>
      <c r="Q74" s="18" t="n">
        <v>0.23559372</v>
      </c>
      <c r="R74" s="20" t="n">
        <v>0.13718945</v>
      </c>
    </row>
    <row r="75" spans="1:18">
      <c r="A75" s="15" t="s">
        <v>499</v>
      </c>
      <c r="B75" s="17" t="n">
        <v>8249</v>
      </c>
      <c r="C75" s="18">
        <f>(7284.0/B75*100)</f>
        <v/>
      </c>
      <c r="D75" s="19" t="n">
        <v>965</v>
      </c>
      <c r="E75" s="18" t="n">
        <v>57.85655739</v>
      </c>
      <c r="F75" s="20" t="n">
        <v>1.79753991</v>
      </c>
      <c r="G75" s="18" t="n">
        <v>41.41609675</v>
      </c>
      <c r="H75" s="20" t="n">
        <v>1.75824618</v>
      </c>
      <c r="I75" s="18" t="n">
        <v>0</v>
      </c>
      <c r="J75" s="20" t="n">
        <v>0</v>
      </c>
      <c r="K75" s="18" t="n">
        <v>0.29763683</v>
      </c>
      <c r="L75" s="20" t="n">
        <v>0.30168107</v>
      </c>
      <c r="M75" s="18" t="n">
        <v>0</v>
      </c>
      <c r="N75" s="20" t="n">
        <v>0</v>
      </c>
      <c r="O75" s="18" t="n">
        <v>0</v>
      </c>
      <c r="P75" s="20" t="n">
        <v>0</v>
      </c>
      <c r="Q75" s="18" t="n">
        <v>0.42970903</v>
      </c>
      <c r="R75" s="20" t="n">
        <v>0.20187445</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(28483.0/B82*100)</f>
        <v/>
      </c>
      <c r="D82" s="19" t="n">
        <v>3847</v>
      </c>
      <c r="E82" s="18" t="n">
        <v>38.94199117</v>
      </c>
      <c r="F82" s="20" t="n">
        <v>1.12291974</v>
      </c>
      <c r="G82" s="18" t="n">
        <v>60.10253098</v>
      </c>
      <c r="H82" s="20" t="n">
        <v>1.08481373</v>
      </c>
      <c r="I82" s="18" t="n">
        <v>0</v>
      </c>
      <c r="J82" s="20" t="n">
        <v>0</v>
      </c>
      <c r="K82" s="18" t="n">
        <v>0.50191701</v>
      </c>
      <c r="L82" s="20" t="n">
        <v>0.19511058</v>
      </c>
      <c r="M82" s="18" t="n">
        <v>0</v>
      </c>
      <c r="N82" s="20" t="n">
        <v>0</v>
      </c>
      <c r="O82" s="18" t="n">
        <v>0</v>
      </c>
      <c r="P82" s="20" t="n">
        <v>0</v>
      </c>
      <c r="Q82" s="18" t="n">
        <v>0.45356083</v>
      </c>
      <c r="R82" s="20" t="n">
        <v>0.12902305</v>
      </c>
    </row>
    <row r="83" spans="1:18">
      <c r="A83" s="15" t="s">
        <v>507</v>
      </c>
      <c r="B83" s="17" t="n">
        <v>1652</v>
      </c>
      <c r="C83" s="18">
        <f>(1470.0/B83*100)</f>
        <v/>
      </c>
      <c r="D83" s="19" t="n">
        <v>182</v>
      </c>
      <c r="E83" s="18" t="n">
        <v>44.23390557</v>
      </c>
      <c r="F83" s="20" t="n">
        <v>3.94477505</v>
      </c>
      <c r="G83" s="18" t="n">
        <v>55.76609443</v>
      </c>
      <c r="H83" s="20" t="n">
        <v>3.94477505</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(1664.0/B84*100)</f>
        <v/>
      </c>
      <c r="D84" s="19" t="n">
        <v>223</v>
      </c>
      <c r="E84" s="18" t="n">
        <v>55.4457311</v>
      </c>
      <c r="F84" s="20" t="n">
        <v>3.42038263</v>
      </c>
      <c r="G84" s="18" t="n">
        <v>43.97765181</v>
      </c>
      <c r="H84" s="20" t="n">
        <v>3.18897385</v>
      </c>
      <c r="I84" s="18" t="n">
        <v>0</v>
      </c>
      <c r="J84" s="20" t="n">
        <v>0</v>
      </c>
      <c r="K84" s="18" t="n">
        <v>0</v>
      </c>
      <c r="L84" s="20" t="n">
        <v>0</v>
      </c>
      <c r="M84" s="18" t="n">
        <v>0</v>
      </c>
      <c r="N84" s="20" t="n">
        <v>0</v>
      </c>
      <c r="O84" s="18" t="n">
        <v>0</v>
      </c>
      <c r="P84" s="20" t="n">
        <v>0</v>
      </c>
      <c r="Q84" s="18" t="n">
        <v>0.5766170900000001</v>
      </c>
      <c r="R84" s="20" t="n">
        <v>0.60726254</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(12731.0/B7*100)</f>
        <v/>
      </c>
      <c r="D7" s="19" t="n">
        <v>1799</v>
      </c>
      <c r="E7" s="18" t="n">
        <v>13.24098438</v>
      </c>
      <c r="F7" s="20" t="n">
        <v>1.05921912</v>
      </c>
      <c r="G7" s="18" t="n">
        <v>85.83966184000001</v>
      </c>
      <c r="H7" s="20" t="n">
        <v>1.09256242</v>
      </c>
      <c r="I7" s="18" t="n">
        <v>0</v>
      </c>
      <c r="J7" s="20" t="n">
        <v>0</v>
      </c>
      <c r="K7" s="18" t="n">
        <v>0.54007542</v>
      </c>
      <c r="L7" s="20" t="n">
        <v>0.17580235</v>
      </c>
      <c r="M7" s="18" t="n">
        <v>0</v>
      </c>
      <c r="N7" s="20" t="n">
        <v>0</v>
      </c>
      <c r="O7" s="18" t="n">
        <v>0</v>
      </c>
      <c r="P7" s="20" t="n">
        <v>0</v>
      </c>
      <c r="Q7" s="18" t="n">
        <v>0.37927836</v>
      </c>
      <c r="R7" s="20" t="n">
        <v>0.1527278</v>
      </c>
    </row>
    <row r="8" spans="1:18">
      <c r="A8" s="15" t="s">
        <v>430</v>
      </c>
      <c r="B8" s="17" t="n">
        <v>7007</v>
      </c>
      <c r="C8" s="18">
        <f>(6163.0/B8*100)</f>
        <v/>
      </c>
      <c r="D8" s="19" t="n">
        <v>844</v>
      </c>
      <c r="E8" s="18" t="n">
        <v>15.35355952</v>
      </c>
      <c r="F8" s="20" t="n">
        <v>1.31107963</v>
      </c>
      <c r="G8" s="18" t="n">
        <v>83.13937946</v>
      </c>
      <c r="H8" s="20" t="n">
        <v>1.34852111</v>
      </c>
      <c r="I8" s="18" t="n">
        <v>0</v>
      </c>
      <c r="J8" s="20" t="n">
        <v>0</v>
      </c>
      <c r="K8" s="18" t="n">
        <v>0.65636403</v>
      </c>
      <c r="L8" s="20" t="n">
        <v>0.25723511</v>
      </c>
      <c r="M8" s="18" t="n">
        <v>0</v>
      </c>
      <c r="N8" s="20" t="n">
        <v>0</v>
      </c>
      <c r="O8" s="18" t="n">
        <v>0</v>
      </c>
      <c r="P8" s="20" t="n">
        <v>0</v>
      </c>
      <c r="Q8" s="18" t="n">
        <v>0.85069699</v>
      </c>
      <c r="R8" s="20" t="n">
        <v>0.34278571</v>
      </c>
    </row>
    <row r="9" spans="1:18">
      <c r="A9" s="15" t="s">
        <v>431</v>
      </c>
      <c r="B9" s="17" t="n">
        <v>9651</v>
      </c>
      <c r="C9" s="18">
        <f>(8499.0/B9*100)</f>
        <v/>
      </c>
      <c r="D9" s="19" t="n">
        <v>1152</v>
      </c>
      <c r="E9" s="18" t="n">
        <v>10.97062287</v>
      </c>
      <c r="F9" s="20" t="n">
        <v>0.93783288</v>
      </c>
      <c r="G9" s="18" t="n">
        <v>87.45583456</v>
      </c>
      <c r="H9" s="20" t="n">
        <v>0.93718328</v>
      </c>
      <c r="I9" s="18" t="n">
        <v>0</v>
      </c>
      <c r="J9" s="20" t="n">
        <v>0</v>
      </c>
      <c r="K9" s="18" t="n">
        <v>0.9259234200000001</v>
      </c>
      <c r="L9" s="20" t="n">
        <v>0.30095593</v>
      </c>
      <c r="M9" s="18" t="n">
        <v>0</v>
      </c>
      <c r="N9" s="20" t="n">
        <v>0</v>
      </c>
      <c r="O9" s="18" t="n">
        <v>0</v>
      </c>
      <c r="P9" s="20" t="n">
        <v>0</v>
      </c>
      <c r="Q9" s="18" t="n">
        <v>0.64761915</v>
      </c>
      <c r="R9" s="20" t="n">
        <v>0.22853161</v>
      </c>
    </row>
    <row r="10" spans="1:18">
      <c r="A10" s="15" t="s">
        <v>432</v>
      </c>
      <c r="B10" s="17" t="n">
        <v>20058</v>
      </c>
      <c r="C10" s="18">
        <f>(17643.0/B10*100)</f>
        <v/>
      </c>
      <c r="D10" s="19" t="n">
        <v>2415</v>
      </c>
      <c r="E10" s="18" t="n">
        <v>12.82054671</v>
      </c>
      <c r="F10" s="20" t="n">
        <v>1.09595051</v>
      </c>
      <c r="G10" s="18" t="n">
        <v>85.37532799</v>
      </c>
      <c r="H10" s="20" t="n">
        <v>1.1169988</v>
      </c>
      <c r="I10" s="18" t="n">
        <v>0</v>
      </c>
      <c r="J10" s="20" t="n">
        <v>0</v>
      </c>
      <c r="K10" s="18" t="n">
        <v>1.17147728</v>
      </c>
      <c r="L10" s="20" t="n">
        <v>0.30898988</v>
      </c>
      <c r="M10" s="18" t="n">
        <v>0</v>
      </c>
      <c r="N10" s="20" t="n">
        <v>0</v>
      </c>
      <c r="O10" s="18" t="n">
        <v>0</v>
      </c>
      <c r="P10" s="20" t="n">
        <v>0</v>
      </c>
      <c r="Q10" s="18" t="n">
        <v>0.63264802</v>
      </c>
      <c r="R10" s="20" t="n">
        <v>0.172993</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(6063.0/B12*100)</f>
        <v/>
      </c>
      <c r="D12" s="19" t="n">
        <v>831</v>
      </c>
      <c r="E12" s="18" t="n">
        <v>8.247505719999999</v>
      </c>
      <c r="F12" s="20" t="n">
        <v>1.00447766</v>
      </c>
      <c r="G12" s="18" t="n">
        <v>90.5513523</v>
      </c>
      <c r="H12" s="20" t="n">
        <v>1.12378888</v>
      </c>
      <c r="I12" s="18" t="n">
        <v>0</v>
      </c>
      <c r="J12" s="20" t="n">
        <v>0</v>
      </c>
      <c r="K12" s="18" t="n">
        <v>0.05344873</v>
      </c>
      <c r="L12" s="20" t="n">
        <v>0.05358943</v>
      </c>
      <c r="M12" s="18" t="n">
        <v>0</v>
      </c>
      <c r="N12" s="20" t="n">
        <v>0</v>
      </c>
      <c r="O12" s="18" t="n">
        <v>0</v>
      </c>
      <c r="P12" s="20" t="n">
        <v>0</v>
      </c>
      <c r="Q12" s="18" t="n">
        <v>1.14769325</v>
      </c>
      <c r="R12" s="20" t="n">
        <v>0.47059324</v>
      </c>
    </row>
    <row r="13" spans="1:18">
      <c r="A13" s="15" t="s">
        <v>435</v>
      </c>
      <c r="B13" s="17" t="n">
        <v>7161</v>
      </c>
      <c r="C13" s="18">
        <f>(6334.0/B13*100)</f>
        <v/>
      </c>
      <c r="D13" s="19" t="n">
        <v>827</v>
      </c>
      <c r="E13" s="18" t="n">
        <v>9.996614810000001</v>
      </c>
      <c r="F13" s="20" t="n">
        <v>1.17535073</v>
      </c>
      <c r="G13" s="18" t="n">
        <v>88.88469502</v>
      </c>
      <c r="H13" s="20" t="n">
        <v>1.2686287</v>
      </c>
      <c r="I13" s="18" t="n">
        <v>0</v>
      </c>
      <c r="J13" s="20" t="n">
        <v>0</v>
      </c>
      <c r="K13" s="18" t="n">
        <v>0.55251647</v>
      </c>
      <c r="L13" s="20" t="n">
        <v>0.29875463</v>
      </c>
      <c r="M13" s="18" t="n">
        <v>0</v>
      </c>
      <c r="N13" s="20" t="n">
        <v>0</v>
      </c>
      <c r="O13" s="18" t="n">
        <v>0</v>
      </c>
      <c r="P13" s="20" t="n">
        <v>0</v>
      </c>
      <c r="Q13" s="18" t="n">
        <v>0.5661737100000001</v>
      </c>
      <c r="R13" s="20" t="n">
        <v>0.36877857</v>
      </c>
    </row>
    <row r="14" spans="1:18">
      <c r="A14" s="15" t="s">
        <v>436</v>
      </c>
      <c r="B14" s="17" t="n">
        <v>5587</v>
      </c>
      <c r="C14" s="18">
        <f>(4902.0/B14*100)</f>
        <v/>
      </c>
      <c r="D14" s="19" t="n">
        <v>685</v>
      </c>
      <c r="E14" s="18" t="n">
        <v>8.3993635</v>
      </c>
      <c r="F14" s="20" t="n">
        <v>1.1617256</v>
      </c>
      <c r="G14" s="18" t="n">
        <v>90.89142224</v>
      </c>
      <c r="H14" s="20" t="n">
        <v>1.22909023</v>
      </c>
      <c r="I14" s="18" t="n">
        <v>0</v>
      </c>
      <c r="J14" s="20" t="n">
        <v>0</v>
      </c>
      <c r="K14" s="18" t="n">
        <v>0.70921426</v>
      </c>
      <c r="L14" s="20" t="n">
        <v>0.31768101</v>
      </c>
      <c r="M14" s="18" t="n">
        <v>0</v>
      </c>
      <c r="N14" s="20" t="n">
        <v>0</v>
      </c>
      <c r="O14" s="18" t="n">
        <v>0</v>
      </c>
      <c r="P14" s="20" t="n">
        <v>0</v>
      </c>
      <c r="Q14" s="18" t="n">
        <v>0</v>
      </c>
      <c r="R14" s="20" t="n">
        <v>0</v>
      </c>
    </row>
    <row r="15" spans="1:18">
      <c r="A15" s="15" t="s">
        <v>437</v>
      </c>
      <c r="B15" s="17" t="n">
        <v>5882</v>
      </c>
      <c r="C15" s="18">
        <f>(5171.0/B15*100)</f>
        <v/>
      </c>
      <c r="D15" s="19" t="n">
        <v>711</v>
      </c>
      <c r="E15" s="18" t="n">
        <v>9.510327029999999</v>
      </c>
      <c r="F15" s="20" t="n">
        <v>0.97779897</v>
      </c>
      <c r="G15" s="18" t="n">
        <v>89.40408025000001</v>
      </c>
      <c r="H15" s="20" t="n">
        <v>1.03341339</v>
      </c>
      <c r="I15" s="18" t="n">
        <v>0</v>
      </c>
      <c r="J15" s="20" t="n">
        <v>0</v>
      </c>
      <c r="K15" s="18" t="n">
        <v>0.82351746</v>
      </c>
      <c r="L15" s="20" t="n">
        <v>0.33623111</v>
      </c>
      <c r="M15" s="18" t="n">
        <v>0</v>
      </c>
      <c r="N15" s="20" t="n">
        <v>0</v>
      </c>
      <c r="O15" s="18" t="n">
        <v>0</v>
      </c>
      <c r="P15" s="20" t="n">
        <v>0</v>
      </c>
      <c r="Q15" s="18" t="n">
        <v>0.26207526</v>
      </c>
      <c r="R15" s="20" t="n">
        <v>0.18531435</v>
      </c>
    </row>
    <row r="16" spans="1:18">
      <c r="A16" s="15" t="s">
        <v>438</v>
      </c>
      <c r="B16" s="17" t="n">
        <v>6108</v>
      </c>
      <c r="C16" s="18">
        <f>(5368.0/B16*100)</f>
        <v/>
      </c>
      <c r="D16" s="19" t="n">
        <v>740</v>
      </c>
      <c r="E16" s="18" t="n">
        <v>13.3982067</v>
      </c>
      <c r="F16" s="20" t="n">
        <v>1.12339973</v>
      </c>
      <c r="G16" s="18" t="n">
        <v>82.62592209</v>
      </c>
      <c r="H16" s="20" t="n">
        <v>1.32587325</v>
      </c>
      <c r="I16" s="18" t="n">
        <v>0</v>
      </c>
      <c r="J16" s="20" t="n">
        <v>0</v>
      </c>
      <c r="K16" s="18" t="n">
        <v>2.14307393</v>
      </c>
      <c r="L16" s="20" t="n">
        <v>0.56692356</v>
      </c>
      <c r="M16" s="18" t="n">
        <v>0</v>
      </c>
      <c r="N16" s="20" t="n">
        <v>0</v>
      </c>
      <c r="O16" s="18" t="n">
        <v>0</v>
      </c>
      <c r="P16" s="20" t="n">
        <v>0</v>
      </c>
      <c r="Q16" s="18" t="n">
        <v>1.83279728</v>
      </c>
      <c r="R16" s="20" t="n">
        <v>0.48806179</v>
      </c>
    </row>
    <row r="17" spans="1:18">
      <c r="A17" s="15" t="s">
        <v>439</v>
      </c>
      <c r="B17" s="17" t="n">
        <v>6504</v>
      </c>
      <c r="C17" s="18">
        <f>(5722.0/B17*100)</f>
        <v/>
      </c>
      <c r="D17" s="19" t="n">
        <v>782</v>
      </c>
      <c r="E17" s="18" t="n">
        <v>11.68990204</v>
      </c>
      <c r="F17" s="20" t="n">
        <v>1.20292577</v>
      </c>
      <c r="G17" s="18" t="n">
        <v>87.16984103</v>
      </c>
      <c r="H17" s="20" t="n">
        <v>1.288945</v>
      </c>
      <c r="I17" s="18" t="n">
        <v>0</v>
      </c>
      <c r="J17" s="20" t="n">
        <v>0</v>
      </c>
      <c r="K17" s="18" t="n">
        <v>0.62453906</v>
      </c>
      <c r="L17" s="20" t="n">
        <v>0.27809706</v>
      </c>
      <c r="M17" s="18" t="n">
        <v>0</v>
      </c>
      <c r="N17" s="20" t="n">
        <v>0</v>
      </c>
      <c r="O17" s="18" t="n">
        <v>0</v>
      </c>
      <c r="P17" s="20" t="n">
        <v>0</v>
      </c>
      <c r="Q17" s="18" t="n">
        <v>0.51571786</v>
      </c>
      <c r="R17" s="20" t="n">
        <v>0.26360588</v>
      </c>
    </row>
    <row r="18" spans="1:18">
      <c r="A18" s="15" t="s">
        <v>440</v>
      </c>
      <c r="B18" s="17" t="n">
        <v>5532</v>
      </c>
      <c r="C18" s="18">
        <f>(4864.0/B18*100)</f>
        <v/>
      </c>
      <c r="D18" s="19" t="n">
        <v>668</v>
      </c>
      <c r="E18" s="18" t="n">
        <v>19.33275081</v>
      </c>
      <c r="F18" s="20" t="n">
        <v>1.61043102</v>
      </c>
      <c r="G18" s="18" t="n">
        <v>78.9057502</v>
      </c>
      <c r="H18" s="20" t="n">
        <v>1.71710393</v>
      </c>
      <c r="I18" s="18" t="n">
        <v>0</v>
      </c>
      <c r="J18" s="20" t="n">
        <v>0</v>
      </c>
      <c r="K18" s="18" t="n">
        <v>1.43992299</v>
      </c>
      <c r="L18" s="20" t="n">
        <v>0.53478421</v>
      </c>
      <c r="M18" s="18" t="n">
        <v>0</v>
      </c>
      <c r="N18" s="20" t="n">
        <v>0</v>
      </c>
      <c r="O18" s="18" t="n">
        <v>0</v>
      </c>
      <c r="P18" s="20" t="n">
        <v>0</v>
      </c>
      <c r="Q18" s="18" t="n">
        <v>0.321576</v>
      </c>
      <c r="R18" s="20" t="n">
        <v>0.26606417</v>
      </c>
    </row>
    <row r="19" spans="1:18">
      <c r="A19" s="15" t="s">
        <v>441</v>
      </c>
      <c r="B19" s="17" t="n">
        <v>5658</v>
      </c>
      <c r="C19" s="18">
        <f>(4984.0/B19*100)</f>
        <v/>
      </c>
      <c r="D19" s="19" t="n">
        <v>674</v>
      </c>
      <c r="E19" s="18" t="n">
        <v>9.800436830000001</v>
      </c>
      <c r="F19" s="20" t="n">
        <v>1.2475269</v>
      </c>
      <c r="G19" s="18" t="n">
        <v>89.67751928</v>
      </c>
      <c r="H19" s="20" t="n">
        <v>1.27779966</v>
      </c>
      <c r="I19" s="18" t="n">
        <v>0</v>
      </c>
      <c r="J19" s="20" t="n">
        <v>0</v>
      </c>
      <c r="K19" s="18" t="n">
        <v>0.26091009</v>
      </c>
      <c r="L19" s="20" t="n">
        <v>0.18630153</v>
      </c>
      <c r="M19" s="18" t="n">
        <v>0</v>
      </c>
      <c r="N19" s="20" t="n">
        <v>0</v>
      </c>
      <c r="O19" s="18" t="n">
        <v>0</v>
      </c>
      <c r="P19" s="20" t="n">
        <v>0</v>
      </c>
      <c r="Q19" s="18" t="n">
        <v>0.26113379</v>
      </c>
      <c r="R19" s="20" t="n">
        <v>0.18563803</v>
      </c>
    </row>
    <row r="20" spans="1:18">
      <c r="A20" s="15" t="s">
        <v>442</v>
      </c>
      <c r="B20" s="17" t="n">
        <v>3371</v>
      </c>
      <c r="C20" s="18">
        <f>(2978.0/B20*100)</f>
        <v/>
      </c>
      <c r="D20" s="19" t="n">
        <v>393</v>
      </c>
      <c r="E20" s="18" t="n">
        <v>22.2183257</v>
      </c>
      <c r="F20" s="20" t="n">
        <v>2.10847704</v>
      </c>
      <c r="G20" s="18" t="n">
        <v>75.63753124</v>
      </c>
      <c r="H20" s="20" t="n">
        <v>2.08243672</v>
      </c>
      <c r="I20" s="18" t="n">
        <v>0</v>
      </c>
      <c r="J20" s="20" t="n">
        <v>0</v>
      </c>
      <c r="K20" s="18" t="n">
        <v>0.95417096</v>
      </c>
      <c r="L20" s="20" t="n">
        <v>0.47725076</v>
      </c>
      <c r="M20" s="18" t="n">
        <v>0</v>
      </c>
      <c r="N20" s="20" t="n">
        <v>0</v>
      </c>
      <c r="O20" s="18" t="n">
        <v>0</v>
      </c>
      <c r="P20" s="20" t="n">
        <v>0</v>
      </c>
      <c r="Q20" s="18" t="n">
        <v>1.18997209</v>
      </c>
      <c r="R20" s="20" t="n">
        <v>0.5378946100000001</v>
      </c>
    </row>
    <row r="21" spans="1:18">
      <c r="A21" s="15" t="s">
        <v>443</v>
      </c>
      <c r="B21" s="17" t="n">
        <v>5741</v>
      </c>
      <c r="C21" s="18">
        <f>(4802.0/B21*100)</f>
        <v/>
      </c>
      <c r="D21" s="19" t="n">
        <v>939</v>
      </c>
      <c r="E21" s="18" t="n">
        <v>9.146328199999999</v>
      </c>
      <c r="F21" s="20" t="n">
        <v>0.99145891</v>
      </c>
      <c r="G21" s="18" t="n">
        <v>90.08911977</v>
      </c>
      <c r="H21" s="20" t="n">
        <v>1.00485131</v>
      </c>
      <c r="I21" s="18" t="n">
        <v>0</v>
      </c>
      <c r="J21" s="20" t="n">
        <v>0</v>
      </c>
      <c r="K21" s="18" t="n">
        <v>0.41978305</v>
      </c>
      <c r="L21" s="20" t="n">
        <v>0.17687266</v>
      </c>
      <c r="M21" s="18" t="n">
        <v>0</v>
      </c>
      <c r="N21" s="20" t="n">
        <v>0</v>
      </c>
      <c r="O21" s="18" t="n">
        <v>0</v>
      </c>
      <c r="P21" s="20" t="n">
        <v>0</v>
      </c>
      <c r="Q21" s="18" t="n">
        <v>0.34476898</v>
      </c>
      <c r="R21" s="20" t="n">
        <v>0.19389973</v>
      </c>
    </row>
    <row r="22" spans="1:18">
      <c r="A22" s="15" t="s">
        <v>444</v>
      </c>
      <c r="B22" s="17" t="n">
        <v>6598</v>
      </c>
      <c r="C22" s="18">
        <f>(5890.0/B22*100)</f>
        <v/>
      </c>
      <c r="D22" s="19" t="n">
        <v>708</v>
      </c>
      <c r="E22" s="18" t="n">
        <v>22.0842987</v>
      </c>
      <c r="F22" s="20" t="n">
        <v>1.60756687</v>
      </c>
      <c r="G22" s="18" t="n">
        <v>74.76041585999999</v>
      </c>
      <c r="H22" s="20" t="n">
        <v>1.92703671</v>
      </c>
      <c r="I22" s="18" t="n">
        <v>0</v>
      </c>
      <c r="J22" s="20" t="n">
        <v>0</v>
      </c>
      <c r="K22" s="18" t="n">
        <v>1.72032933</v>
      </c>
      <c r="L22" s="20" t="n">
        <v>0.58978489</v>
      </c>
      <c r="M22" s="18" t="n">
        <v>0</v>
      </c>
      <c r="N22" s="20" t="n">
        <v>0</v>
      </c>
      <c r="O22" s="18" t="n">
        <v>0</v>
      </c>
      <c r="P22" s="20" t="n">
        <v>0</v>
      </c>
      <c r="Q22" s="18" t="n">
        <v>1.43495611</v>
      </c>
      <c r="R22" s="20" t="n">
        <v>0.52041321</v>
      </c>
    </row>
    <row r="23" spans="1:18">
      <c r="A23" s="15" t="s">
        <v>445</v>
      </c>
      <c r="B23" s="17" t="n">
        <v>11583</v>
      </c>
      <c r="C23" s="18">
        <f>(10204.0/B23*100)</f>
        <v/>
      </c>
      <c r="D23" s="19" t="n">
        <v>1379</v>
      </c>
      <c r="E23" s="18" t="n">
        <v>17.1672433</v>
      </c>
      <c r="F23" s="20" t="n">
        <v>1.50287476</v>
      </c>
      <c r="G23" s="18" t="n">
        <v>81.01931011000001</v>
      </c>
      <c r="H23" s="20" t="n">
        <v>1.53944572</v>
      </c>
      <c r="I23" s="18" t="n">
        <v>0</v>
      </c>
      <c r="J23" s="20" t="n">
        <v>0</v>
      </c>
      <c r="K23" s="18" t="n">
        <v>1.00078329</v>
      </c>
      <c r="L23" s="20" t="n">
        <v>0.32190661</v>
      </c>
      <c r="M23" s="18" t="n">
        <v>0</v>
      </c>
      <c r="N23" s="20" t="n">
        <v>0</v>
      </c>
      <c r="O23" s="18" t="n">
        <v>0</v>
      </c>
      <c r="P23" s="20" t="n">
        <v>0</v>
      </c>
      <c r="Q23" s="18" t="n">
        <v>0.8126633</v>
      </c>
      <c r="R23" s="20" t="n">
        <v>0.30859699</v>
      </c>
    </row>
    <row r="24" spans="1:18">
      <c r="A24" s="15" t="s">
        <v>446</v>
      </c>
      <c r="B24" s="17" t="n">
        <v>6647</v>
      </c>
      <c r="C24" s="18">
        <f>(5853.0/B24*100)</f>
        <v/>
      </c>
      <c r="D24" s="19" t="n">
        <v>794</v>
      </c>
      <c r="E24" s="18" t="n">
        <v>19.19614528</v>
      </c>
      <c r="F24" s="20" t="n">
        <v>1.49031139</v>
      </c>
      <c r="G24" s="18" t="n">
        <v>79.69871053999999</v>
      </c>
      <c r="H24" s="20" t="n">
        <v>1.56440662</v>
      </c>
      <c r="I24" s="18" t="n">
        <v>0</v>
      </c>
      <c r="J24" s="20" t="n">
        <v>0</v>
      </c>
      <c r="K24" s="18" t="n">
        <v>0.71360006</v>
      </c>
      <c r="L24" s="20" t="n">
        <v>0.33535267</v>
      </c>
      <c r="M24" s="18" t="n">
        <v>0</v>
      </c>
      <c r="N24" s="20" t="n">
        <v>0</v>
      </c>
      <c r="O24" s="18" t="n">
        <v>0</v>
      </c>
      <c r="P24" s="20" t="n">
        <v>0</v>
      </c>
      <c r="Q24" s="18" t="n">
        <v>0.39154411</v>
      </c>
      <c r="R24" s="20" t="n">
        <v>0.2278522</v>
      </c>
    </row>
    <row r="25" spans="1:18">
      <c r="A25" s="15" t="s">
        <v>447</v>
      </c>
      <c r="B25" s="17" t="n">
        <v>5581</v>
      </c>
      <c r="C25" s="18">
        <f>(4886.0/B25*100)</f>
        <v/>
      </c>
      <c r="D25" s="19" t="n">
        <v>695</v>
      </c>
      <c r="E25" s="18" t="n">
        <v>19.56442162</v>
      </c>
      <c r="F25" s="20" t="n">
        <v>1.7706336</v>
      </c>
      <c r="G25" s="18" t="n">
        <v>79.48365975999999</v>
      </c>
      <c r="H25" s="20" t="n">
        <v>1.76056163</v>
      </c>
      <c r="I25" s="18" t="n">
        <v>0</v>
      </c>
      <c r="J25" s="20" t="n">
        <v>0</v>
      </c>
      <c r="K25" s="18" t="n">
        <v>0.29337642</v>
      </c>
      <c r="L25" s="20" t="n">
        <v>0.20628515</v>
      </c>
      <c r="M25" s="18" t="n">
        <v>0</v>
      </c>
      <c r="N25" s="20" t="n">
        <v>0</v>
      </c>
      <c r="O25" s="18" t="n">
        <v>0</v>
      </c>
      <c r="P25" s="20" t="n">
        <v>0</v>
      </c>
      <c r="Q25" s="18" t="n">
        <v>0.6585422</v>
      </c>
      <c r="R25" s="20" t="n">
        <v>0.3019221</v>
      </c>
    </row>
    <row r="26" spans="1:18">
      <c r="A26" s="15" t="s">
        <v>448</v>
      </c>
      <c r="B26" s="17" t="n">
        <v>4869</v>
      </c>
      <c r="C26" s="18">
        <f>(4270.0/B26*100)</f>
        <v/>
      </c>
      <c r="D26" s="19" t="n">
        <v>599</v>
      </c>
      <c r="E26" s="18" t="n">
        <v>12.0803289</v>
      </c>
      <c r="F26" s="20" t="n">
        <v>1.42524458</v>
      </c>
      <c r="G26" s="18" t="n">
        <v>87.28575505000001</v>
      </c>
      <c r="H26" s="20" t="n">
        <v>1.43641615</v>
      </c>
      <c r="I26" s="18" t="n">
        <v>0</v>
      </c>
      <c r="J26" s="20" t="n">
        <v>0</v>
      </c>
      <c r="K26" s="18" t="n">
        <v>0</v>
      </c>
      <c r="L26" s="20" t="n">
        <v>0</v>
      </c>
      <c r="M26" s="18" t="n">
        <v>0</v>
      </c>
      <c r="N26" s="20" t="n">
        <v>0</v>
      </c>
      <c r="O26" s="18" t="n">
        <v>0</v>
      </c>
      <c r="P26" s="20" t="n">
        <v>0</v>
      </c>
      <c r="Q26" s="18" t="n">
        <v>0.63391605</v>
      </c>
      <c r="R26" s="20" t="n">
        <v>0.3945194</v>
      </c>
    </row>
    <row r="27" spans="1:18">
      <c r="A27" s="15" t="s">
        <v>449</v>
      </c>
      <c r="B27" s="17" t="n">
        <v>5299</v>
      </c>
      <c r="C27" s="18">
        <f>(4651.0/B27*100)</f>
        <v/>
      </c>
      <c r="D27" s="19" t="n">
        <v>648</v>
      </c>
      <c r="E27" s="18" t="n">
        <v>20.44321128</v>
      </c>
      <c r="F27" s="20" t="n">
        <v>1.48110187</v>
      </c>
      <c r="G27" s="18" t="n">
        <v>78.59726765000001</v>
      </c>
      <c r="H27" s="20" t="n">
        <v>1.46831824</v>
      </c>
      <c r="I27" s="18" t="n">
        <v>0</v>
      </c>
      <c r="J27" s="20" t="n">
        <v>0</v>
      </c>
      <c r="K27" s="18" t="n">
        <v>0.45985172</v>
      </c>
      <c r="L27" s="20" t="n">
        <v>0.26445569</v>
      </c>
      <c r="M27" s="18" t="n">
        <v>0</v>
      </c>
      <c r="N27" s="20" t="n">
        <v>0</v>
      </c>
      <c r="O27" s="18" t="n">
        <v>0</v>
      </c>
      <c r="P27" s="20" t="n">
        <v>0</v>
      </c>
      <c r="Q27" s="18" t="n">
        <v>0.49966936</v>
      </c>
      <c r="R27" s="20" t="n">
        <v>0.2989764</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12.77066593</v>
      </c>
      <c r="F29" s="20" t="n">
        <v>1.25483482</v>
      </c>
      <c r="G29" s="18" t="n">
        <v>86.65733899</v>
      </c>
      <c r="H29" s="20" t="n">
        <v>1.29598814</v>
      </c>
      <c r="I29" s="18" t="n">
        <v>0</v>
      </c>
      <c r="J29" s="20" t="n">
        <v>0</v>
      </c>
      <c r="K29" s="18" t="n">
        <v>0.49529817</v>
      </c>
      <c r="L29" s="20" t="n">
        <v>0.28417547</v>
      </c>
      <c r="M29" s="18" t="n">
        <v>0</v>
      </c>
      <c r="N29" s="20" t="n">
        <v>0</v>
      </c>
      <c r="O29" s="18" t="n">
        <v>0</v>
      </c>
      <c r="P29" s="20" t="n">
        <v>0</v>
      </c>
      <c r="Q29" s="18" t="n">
        <v>0.07669690999999999</v>
      </c>
      <c r="R29" s="20" t="n">
        <v>0.07701376</v>
      </c>
    </row>
    <row r="30" spans="1:18">
      <c r="A30" s="15" t="s">
        <v>452</v>
      </c>
      <c r="B30" s="17" t="n">
        <v>4520</v>
      </c>
      <c r="C30" s="18">
        <f>(3963.0/B30*100)</f>
        <v/>
      </c>
      <c r="D30" s="19" t="n">
        <v>557</v>
      </c>
      <c r="E30" s="18" t="n">
        <v>11.28645634</v>
      </c>
      <c r="F30" s="20" t="n">
        <v>1.48828286</v>
      </c>
      <c r="G30" s="18" t="n">
        <v>86.35556658</v>
      </c>
      <c r="H30" s="20" t="n">
        <v>1.67412445</v>
      </c>
      <c r="I30" s="18" t="n">
        <v>0</v>
      </c>
      <c r="J30" s="20" t="n">
        <v>0</v>
      </c>
      <c r="K30" s="18" t="n">
        <v>0.95082866</v>
      </c>
      <c r="L30" s="20" t="n">
        <v>0.49658982</v>
      </c>
      <c r="M30" s="18" t="n">
        <v>0</v>
      </c>
      <c r="N30" s="20" t="n">
        <v>0</v>
      </c>
      <c r="O30" s="18" t="n">
        <v>0</v>
      </c>
      <c r="P30" s="20" t="n">
        <v>0</v>
      </c>
      <c r="Q30" s="18" t="n">
        <v>1.40714842</v>
      </c>
      <c r="R30" s="20" t="n">
        <v>0.46493018</v>
      </c>
    </row>
    <row r="31" spans="1:18">
      <c r="A31" s="15" t="s">
        <v>453</v>
      </c>
      <c r="B31" s="17" t="n">
        <v>5456</v>
      </c>
      <c r="C31" s="18">
        <f>(4787.0/B31*100)</f>
        <v/>
      </c>
      <c r="D31" s="19" t="n">
        <v>669</v>
      </c>
      <c r="E31" s="18" t="n">
        <v>16.02458711</v>
      </c>
      <c r="F31" s="20" t="n">
        <v>1.35185942</v>
      </c>
      <c r="G31" s="18" t="n">
        <v>82.54818422</v>
      </c>
      <c r="H31" s="20" t="n">
        <v>1.46840017</v>
      </c>
      <c r="I31" s="18" t="n">
        <v>0</v>
      </c>
      <c r="J31" s="20" t="n">
        <v>0</v>
      </c>
      <c r="K31" s="18" t="n">
        <v>1.27518246</v>
      </c>
      <c r="L31" s="20" t="n">
        <v>0.47032517</v>
      </c>
      <c r="M31" s="18" t="n">
        <v>0</v>
      </c>
      <c r="N31" s="20" t="n">
        <v>0</v>
      </c>
      <c r="O31" s="18" t="n">
        <v>0</v>
      </c>
      <c r="P31" s="20" t="n">
        <v>0</v>
      </c>
      <c r="Q31" s="18" t="n">
        <v>0.15204622</v>
      </c>
      <c r="R31" s="20" t="n">
        <v>0.15385007</v>
      </c>
    </row>
    <row r="32" spans="1:18">
      <c r="A32" s="15" t="s">
        <v>454</v>
      </c>
      <c r="B32" s="17" t="n">
        <v>4478</v>
      </c>
      <c r="C32" s="18">
        <f>(3721.0/B32*100)</f>
        <v/>
      </c>
      <c r="D32" s="19" t="n">
        <v>757</v>
      </c>
      <c r="E32" s="18" t="n">
        <v>12.58569311</v>
      </c>
      <c r="F32" s="20" t="n">
        <v>1.29455256</v>
      </c>
      <c r="G32" s="18" t="n">
        <v>86.80691416000001</v>
      </c>
      <c r="H32" s="20" t="n">
        <v>1.33008081</v>
      </c>
      <c r="I32" s="18" t="n">
        <v>0</v>
      </c>
      <c r="J32" s="20" t="n">
        <v>0</v>
      </c>
      <c r="K32" s="18" t="n">
        <v>0.60739272</v>
      </c>
      <c r="L32" s="20" t="n">
        <v>0.25910691</v>
      </c>
      <c r="M32" s="18" t="n">
        <v>0</v>
      </c>
      <c r="N32" s="20" t="n">
        <v>0</v>
      </c>
      <c r="O32" s="18" t="n">
        <v>0</v>
      </c>
      <c r="P32" s="20" t="n">
        <v>0</v>
      </c>
      <c r="Q32" s="18" t="n">
        <v>0</v>
      </c>
      <c r="R32" s="20" t="n">
        <v>0</v>
      </c>
    </row>
    <row r="33" spans="1:18">
      <c r="A33" s="15" t="s">
        <v>455</v>
      </c>
      <c r="B33" s="17" t="n">
        <v>7325</v>
      </c>
      <c r="C33" s="18">
        <f>(6450.0/B33*100)</f>
        <v/>
      </c>
      <c r="D33" s="19" t="n">
        <v>875</v>
      </c>
      <c r="E33" s="18" t="n">
        <v>9.355651419999999</v>
      </c>
      <c r="F33" s="20" t="n">
        <v>1.12687886</v>
      </c>
      <c r="G33" s="18" t="n">
        <v>90.28442826</v>
      </c>
      <c r="H33" s="20" t="n">
        <v>1.1291751</v>
      </c>
      <c r="I33" s="18" t="n">
        <v>0</v>
      </c>
      <c r="J33" s="20" t="n">
        <v>0</v>
      </c>
      <c r="K33" s="18" t="n">
        <v>0.06565543</v>
      </c>
      <c r="L33" s="20" t="n">
        <v>0.04048491</v>
      </c>
      <c r="M33" s="18" t="n">
        <v>0</v>
      </c>
      <c r="N33" s="20" t="n">
        <v>0</v>
      </c>
      <c r="O33" s="18" t="n">
        <v>0</v>
      </c>
      <c r="P33" s="20" t="n">
        <v>0</v>
      </c>
      <c r="Q33" s="18" t="n">
        <v>0.29426489</v>
      </c>
      <c r="R33" s="20" t="n">
        <v>0.16136478</v>
      </c>
    </row>
    <row r="34" spans="1:18">
      <c r="A34" s="15" t="s">
        <v>456</v>
      </c>
      <c r="B34" s="17" t="n">
        <v>6350</v>
      </c>
      <c r="C34" s="18">
        <f>(5577.0/B34*100)</f>
        <v/>
      </c>
      <c r="D34" s="19" t="n">
        <v>773</v>
      </c>
      <c r="E34" s="18" t="n">
        <v>11.86098912</v>
      </c>
      <c r="F34" s="20" t="n">
        <v>1.39114926</v>
      </c>
      <c r="G34" s="18" t="n">
        <v>87.15475644</v>
      </c>
      <c r="H34" s="20" t="n">
        <v>1.36192938</v>
      </c>
      <c r="I34" s="18" t="n">
        <v>0</v>
      </c>
      <c r="J34" s="20" t="n">
        <v>0</v>
      </c>
      <c r="K34" s="18" t="n">
        <v>0.75762294</v>
      </c>
      <c r="L34" s="20" t="n">
        <v>0.27701198</v>
      </c>
      <c r="M34" s="18" t="n">
        <v>0</v>
      </c>
      <c r="N34" s="20" t="n">
        <v>0</v>
      </c>
      <c r="O34" s="18" t="n">
        <v>0</v>
      </c>
      <c r="P34" s="20" t="n">
        <v>0</v>
      </c>
      <c r="Q34" s="18" t="n">
        <v>0.2266315</v>
      </c>
      <c r="R34" s="20" t="n">
        <v>0.16207765</v>
      </c>
    </row>
    <row r="35" spans="1:18">
      <c r="A35" s="15" t="s">
        <v>457</v>
      </c>
      <c r="B35" s="17" t="n">
        <v>6406</v>
      </c>
      <c r="C35" s="18">
        <f>(5614.0/B35*100)</f>
        <v/>
      </c>
      <c r="D35" s="19" t="n">
        <v>792</v>
      </c>
      <c r="E35" s="18" t="n">
        <v>11.87516871</v>
      </c>
      <c r="F35" s="20" t="n">
        <v>1.34389948</v>
      </c>
      <c r="G35" s="18" t="n">
        <v>87.21916756</v>
      </c>
      <c r="H35" s="20" t="n">
        <v>1.40497091</v>
      </c>
      <c r="I35" s="18" t="n">
        <v>0</v>
      </c>
      <c r="J35" s="20" t="n">
        <v>0</v>
      </c>
      <c r="K35" s="18" t="n">
        <v>0.55906276</v>
      </c>
      <c r="L35" s="20" t="n">
        <v>0.31904533</v>
      </c>
      <c r="M35" s="18" t="n">
        <v>0</v>
      </c>
      <c r="N35" s="20" t="n">
        <v>0</v>
      </c>
      <c r="O35" s="18" t="n">
        <v>0</v>
      </c>
      <c r="P35" s="20" t="n">
        <v>0</v>
      </c>
      <c r="Q35" s="18" t="n">
        <v>0.34660097</v>
      </c>
      <c r="R35" s="20" t="n">
        <v>0.20923842</v>
      </c>
    </row>
    <row r="36" spans="1:18">
      <c r="A36" s="15" t="s">
        <v>458</v>
      </c>
      <c r="B36" s="17" t="n">
        <v>6736</v>
      </c>
      <c r="C36" s="18">
        <f>(5936.0/B36*100)</f>
        <v/>
      </c>
      <c r="D36" s="19" t="n">
        <v>800</v>
      </c>
      <c r="E36" s="18" t="n">
        <v>12.97927402</v>
      </c>
      <c r="F36" s="20" t="n">
        <v>1.36735753</v>
      </c>
      <c r="G36" s="18" t="n">
        <v>86.13157184000001</v>
      </c>
      <c r="H36" s="20" t="n">
        <v>1.40180342</v>
      </c>
      <c r="I36" s="18" t="n">
        <v>0</v>
      </c>
      <c r="J36" s="20" t="n">
        <v>0</v>
      </c>
      <c r="K36" s="18" t="n">
        <v>0.49614242</v>
      </c>
      <c r="L36" s="20" t="n">
        <v>0.27448712</v>
      </c>
      <c r="M36" s="18" t="n">
        <v>0</v>
      </c>
      <c r="N36" s="20" t="n">
        <v>0</v>
      </c>
      <c r="O36" s="18" t="n">
        <v>0</v>
      </c>
      <c r="P36" s="20" t="n">
        <v>0</v>
      </c>
      <c r="Q36" s="18" t="n">
        <v>0.39301172</v>
      </c>
      <c r="R36" s="20" t="n">
        <v>0.32777754</v>
      </c>
    </row>
    <row r="37" spans="1:18">
      <c r="A37" s="15" t="s">
        <v>459</v>
      </c>
      <c r="B37" s="17" t="n">
        <v>5458</v>
      </c>
      <c r="C37" s="18">
        <f>(4818.0/B37*100)</f>
        <v/>
      </c>
      <c r="D37" s="19" t="n">
        <v>640</v>
      </c>
      <c r="E37" s="18" t="n">
        <v>15.00546094</v>
      </c>
      <c r="F37" s="20" t="n">
        <v>1.53207058</v>
      </c>
      <c r="G37" s="18" t="n">
        <v>82.8576504</v>
      </c>
      <c r="H37" s="20" t="n">
        <v>1.60975283</v>
      </c>
      <c r="I37" s="18" t="n">
        <v>0</v>
      </c>
      <c r="J37" s="20" t="n">
        <v>0</v>
      </c>
      <c r="K37" s="18" t="n">
        <v>1.69856612</v>
      </c>
      <c r="L37" s="20" t="n">
        <v>0.57024507</v>
      </c>
      <c r="M37" s="18" t="n">
        <v>0</v>
      </c>
      <c r="N37" s="20" t="n">
        <v>0</v>
      </c>
      <c r="O37" s="18" t="n">
        <v>0</v>
      </c>
      <c r="P37" s="20" t="n">
        <v>0</v>
      </c>
      <c r="Q37" s="18" t="n">
        <v>0.43832254</v>
      </c>
      <c r="R37" s="20" t="n">
        <v>0.25344667</v>
      </c>
    </row>
    <row r="38" spans="1:18">
      <c r="A38" s="15" t="s">
        <v>460</v>
      </c>
      <c r="B38" s="17" t="n">
        <v>5860</v>
      </c>
      <c r="C38" s="18">
        <f>(4899.0/B38*100)</f>
        <v/>
      </c>
      <c r="D38" s="19" t="n">
        <v>961</v>
      </c>
      <c r="E38" s="18" t="n">
        <v>13.41847837</v>
      </c>
      <c r="F38" s="20" t="n">
        <v>1.28109491</v>
      </c>
      <c r="G38" s="18" t="n">
        <v>85.02633005</v>
      </c>
      <c r="H38" s="20" t="n">
        <v>1.35473687</v>
      </c>
      <c r="I38" s="18" t="n">
        <v>0</v>
      </c>
      <c r="J38" s="20" t="n">
        <v>0</v>
      </c>
      <c r="K38" s="18" t="n">
        <v>1.15353942</v>
      </c>
      <c r="L38" s="20" t="n">
        <v>0.42704275</v>
      </c>
      <c r="M38" s="18" t="n">
        <v>0</v>
      </c>
      <c r="N38" s="20" t="n">
        <v>0</v>
      </c>
      <c r="O38" s="18" t="n">
        <v>0</v>
      </c>
      <c r="P38" s="20" t="n">
        <v>0</v>
      </c>
      <c r="Q38" s="18" t="n">
        <v>0.40165216</v>
      </c>
      <c r="R38" s="20" t="n">
        <v>0.23850176</v>
      </c>
    </row>
    <row r="39" spans="1:18">
      <c r="A39" s="15" t="s">
        <v>461</v>
      </c>
      <c r="B39" s="17" t="n">
        <v>5895</v>
      </c>
      <c r="C39" s="18">
        <f>(5158.0/B39*100)</f>
        <v/>
      </c>
      <c r="D39" s="19" t="n">
        <v>737</v>
      </c>
      <c r="E39" s="18" t="n">
        <v>24.30783185</v>
      </c>
      <c r="F39" s="20" t="n">
        <v>1.69742117</v>
      </c>
      <c r="G39" s="18" t="n">
        <v>74.5772092</v>
      </c>
      <c r="H39" s="20" t="n">
        <v>1.83553595</v>
      </c>
      <c r="I39" s="18" t="n">
        <v>0</v>
      </c>
      <c r="J39" s="20" t="n">
        <v>0</v>
      </c>
      <c r="K39" s="18" t="n">
        <v>0.70637194</v>
      </c>
      <c r="L39" s="20" t="n">
        <v>0.3785598</v>
      </c>
      <c r="M39" s="18" t="n">
        <v>0</v>
      </c>
      <c r="N39" s="20" t="n">
        <v>0</v>
      </c>
      <c r="O39" s="18" t="n">
        <v>0</v>
      </c>
      <c r="P39" s="20" t="n">
        <v>0</v>
      </c>
      <c r="Q39" s="18" t="n">
        <v>0.40858702</v>
      </c>
      <c r="R39" s="20" t="n">
        <v>0.26546632</v>
      </c>
    </row>
    <row r="40" spans="1:18">
      <c r="A40" s="15" t="s">
        <v>462</v>
      </c>
      <c r="B40" s="17" t="n">
        <v>14157</v>
      </c>
      <c r="C40" s="18">
        <f>(12382.0/B40*100)</f>
        <v/>
      </c>
      <c r="D40" s="19" t="n">
        <v>1775</v>
      </c>
      <c r="E40" s="18" t="n">
        <v>15.45598053</v>
      </c>
      <c r="F40" s="20" t="n">
        <v>1.25113713</v>
      </c>
      <c r="G40" s="18" t="n">
        <v>82.67579227</v>
      </c>
      <c r="H40" s="20" t="n">
        <v>1.24643533</v>
      </c>
      <c r="I40" s="18" t="n">
        <v>0</v>
      </c>
      <c r="J40" s="20" t="n">
        <v>0</v>
      </c>
      <c r="K40" s="18" t="n">
        <v>0.70312078</v>
      </c>
      <c r="L40" s="20" t="n">
        <v>0.26269741</v>
      </c>
      <c r="M40" s="18" t="n">
        <v>0</v>
      </c>
      <c r="N40" s="20" t="n">
        <v>0</v>
      </c>
      <c r="O40" s="18" t="n">
        <v>0</v>
      </c>
      <c r="P40" s="20" t="n">
        <v>0</v>
      </c>
      <c r="Q40" s="18" t="n">
        <v>1.16510641</v>
      </c>
      <c r="R40" s="20" t="n">
        <v>0.40314928</v>
      </c>
    </row>
    <row r="41" spans="1:18">
      <c r="A41" s="15" t="s">
        <v>463</v>
      </c>
      <c r="B41" s="17" t="n">
        <v>5712</v>
      </c>
      <c r="C41" s="18">
        <f>(5048.0/B41*100)</f>
        <v/>
      </c>
      <c r="D41" s="19" t="n">
        <v>664</v>
      </c>
      <c r="E41" s="18" t="n">
        <v>12.72990261</v>
      </c>
      <c r="F41" s="20" t="n">
        <v>1.41789621</v>
      </c>
      <c r="G41" s="18" t="n">
        <v>86.61847064</v>
      </c>
      <c r="H41" s="20" t="n">
        <v>1.49598252</v>
      </c>
      <c r="I41" s="18" t="n">
        <v>0</v>
      </c>
      <c r="J41" s="20" t="n">
        <v>0</v>
      </c>
      <c r="K41" s="18" t="n">
        <v>0.39905593</v>
      </c>
      <c r="L41" s="20" t="n">
        <v>0.23630301</v>
      </c>
      <c r="M41" s="18" t="n">
        <v>0</v>
      </c>
      <c r="N41" s="20" t="n">
        <v>0</v>
      </c>
      <c r="O41" s="18" t="n">
        <v>0</v>
      </c>
      <c r="P41" s="20" t="n">
        <v>0</v>
      </c>
      <c r="Q41" s="18" t="n">
        <v>0.25257082</v>
      </c>
      <c r="R41" s="20" t="n">
        <v>0.1880185</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(8641.0/B48*100)</f>
        <v/>
      </c>
      <c r="D48" s="19" t="n">
        <v>1200</v>
      </c>
      <c r="E48" s="18" t="n">
        <v>15.7463722</v>
      </c>
      <c r="F48" s="20" t="n">
        <v>1.20074659</v>
      </c>
      <c r="G48" s="18" t="n">
        <v>83.39262914</v>
      </c>
      <c r="H48" s="20" t="n">
        <v>1.22067709</v>
      </c>
      <c r="I48" s="18" t="n">
        <v>0</v>
      </c>
      <c r="J48" s="20" t="n">
        <v>0</v>
      </c>
      <c r="K48" s="18" t="n">
        <v>0.73448611</v>
      </c>
      <c r="L48" s="20" t="n">
        <v>0.27574583</v>
      </c>
      <c r="M48" s="18" t="n">
        <v>0</v>
      </c>
      <c r="N48" s="20" t="n">
        <v>0</v>
      </c>
      <c r="O48" s="18" t="n">
        <v>0</v>
      </c>
      <c r="P48" s="20" t="n">
        <v>0</v>
      </c>
      <c r="Q48" s="18" t="n">
        <v>0.12651255</v>
      </c>
      <c r="R48" s="20" t="n">
        <v>0.1532803</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(5097.0/B51*100)</f>
        <v/>
      </c>
      <c r="D51" s="19" t="n">
        <v>712</v>
      </c>
      <c r="E51" s="18" t="n">
        <v>18.60848662</v>
      </c>
      <c r="F51" s="20" t="n">
        <v>1.36004577</v>
      </c>
      <c r="G51" s="18" t="n">
        <v>80.55103551000001</v>
      </c>
      <c r="H51" s="20" t="n">
        <v>1.53608816</v>
      </c>
      <c r="I51" s="18" t="n">
        <v>0</v>
      </c>
      <c r="J51" s="20" t="n">
        <v>0</v>
      </c>
      <c r="K51" s="18" t="n">
        <v>0</v>
      </c>
      <c r="L51" s="20" t="n">
        <v>0</v>
      </c>
      <c r="M51" s="18" t="n">
        <v>0</v>
      </c>
      <c r="N51" s="20" t="n">
        <v>0</v>
      </c>
      <c r="O51" s="18" t="n">
        <v>0</v>
      </c>
      <c r="P51" s="20" t="n">
        <v>0</v>
      </c>
      <c r="Q51" s="18" t="n">
        <v>0.84047787</v>
      </c>
      <c r="R51" s="20" t="n">
        <v>0.36042365</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12.50105908</v>
      </c>
      <c r="F55" s="20" t="n">
        <v>1.48650002</v>
      </c>
      <c r="G55" s="18" t="n">
        <v>86.58508128</v>
      </c>
      <c r="H55" s="20" t="n">
        <v>1.51462929</v>
      </c>
      <c r="I55" s="18" t="n">
        <v>0</v>
      </c>
      <c r="J55" s="20" t="n">
        <v>0</v>
      </c>
      <c r="K55" s="18" t="n">
        <v>0.5293443799999999</v>
      </c>
      <c r="L55" s="20" t="n">
        <v>0.33459949</v>
      </c>
      <c r="M55" s="18" t="n">
        <v>0</v>
      </c>
      <c r="N55" s="20" t="n">
        <v>0</v>
      </c>
      <c r="O55" s="18" t="n">
        <v>0</v>
      </c>
      <c r="P55" s="20" t="n">
        <v>0</v>
      </c>
      <c r="Q55" s="18" t="n">
        <v>0.38451526</v>
      </c>
      <c r="R55" s="20" t="n">
        <v>0.28839851</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(5688.0/B61*100)</f>
        <v/>
      </c>
      <c r="D61" s="19" t="n">
        <v>837</v>
      </c>
      <c r="E61" s="18" t="n">
        <v>20.1476468</v>
      </c>
      <c r="F61" s="20" t="n">
        <v>1.50741356</v>
      </c>
      <c r="G61" s="18" t="n">
        <v>79.12697399</v>
      </c>
      <c r="H61" s="20" t="n">
        <v>1.4816131</v>
      </c>
      <c r="I61" s="18" t="n">
        <v>0</v>
      </c>
      <c r="J61" s="20" t="n">
        <v>0</v>
      </c>
      <c r="K61" s="18" t="n">
        <v>0.21028711</v>
      </c>
      <c r="L61" s="20" t="n">
        <v>0.16134352</v>
      </c>
      <c r="M61" s="18" t="n">
        <v>0</v>
      </c>
      <c r="N61" s="20" t="n">
        <v>0</v>
      </c>
      <c r="O61" s="18" t="n">
        <v>0</v>
      </c>
      <c r="P61" s="20" t="n">
        <v>0</v>
      </c>
      <c r="Q61" s="18" t="n">
        <v>0.5150921000000001</v>
      </c>
      <c r="R61" s="20" t="n">
        <v>0.27454139</v>
      </c>
    </row>
    <row r="62" spans="1:18">
      <c r="A62" s="15" t="s">
        <v>486</v>
      </c>
      <c r="B62" s="17" t="n">
        <v>4476</v>
      </c>
      <c r="C62" s="18">
        <f>(3938.0/B62*100)</f>
        <v/>
      </c>
      <c r="D62" s="19" t="n">
        <v>538</v>
      </c>
      <c r="E62" s="18" t="n">
        <v>29.92463458</v>
      </c>
      <c r="F62" s="20" t="n">
        <v>1.978824</v>
      </c>
      <c r="G62" s="18" t="n">
        <v>69.51520677000001</v>
      </c>
      <c r="H62" s="20" t="n">
        <v>2.0003402</v>
      </c>
      <c r="I62" s="18" t="n">
        <v>0</v>
      </c>
      <c r="J62" s="20" t="n">
        <v>0</v>
      </c>
      <c r="K62" s="18" t="n">
        <v>0.37556074</v>
      </c>
      <c r="L62" s="20" t="n">
        <v>0.26716801</v>
      </c>
      <c r="M62" s="18" t="n">
        <v>0</v>
      </c>
      <c r="N62" s="20" t="n">
        <v>0</v>
      </c>
      <c r="O62" s="18" t="n">
        <v>0</v>
      </c>
      <c r="P62" s="20" t="n">
        <v>0</v>
      </c>
      <c r="Q62" s="18" t="n">
        <v>0.1845979</v>
      </c>
      <c r="R62" s="20" t="n">
        <v>0.18496171</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(5017.0/B67*100)</f>
        <v/>
      </c>
      <c r="D67" s="19" t="n">
        <v>648</v>
      </c>
      <c r="E67" s="18" t="n">
        <v>32.48243709</v>
      </c>
      <c r="F67" s="20" t="n">
        <v>1.94278048</v>
      </c>
      <c r="G67" s="18" t="n">
        <v>62.79949627</v>
      </c>
      <c r="H67" s="20" t="n">
        <v>1.99172138</v>
      </c>
      <c r="I67" s="18" t="n">
        <v>0</v>
      </c>
      <c r="J67" s="20" t="n">
        <v>0</v>
      </c>
      <c r="K67" s="18" t="n">
        <v>2.15134024</v>
      </c>
      <c r="L67" s="20" t="n">
        <v>0.59928616</v>
      </c>
      <c r="M67" s="18" t="n">
        <v>0</v>
      </c>
      <c r="N67" s="20" t="n">
        <v>0</v>
      </c>
      <c r="O67" s="18" t="n">
        <v>0</v>
      </c>
      <c r="P67" s="20" t="n">
        <v>0</v>
      </c>
      <c r="Q67" s="18" t="n">
        <v>2.56672641</v>
      </c>
      <c r="R67" s="20" t="n">
        <v>0.6609671499999999</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(5354.0/B72*100)</f>
        <v/>
      </c>
      <c r="D72" s="19" t="n">
        <v>682</v>
      </c>
      <c r="E72" s="18" t="n">
        <v>13.77818127</v>
      </c>
      <c r="F72" s="20" t="n">
        <v>1.17687657</v>
      </c>
      <c r="G72" s="18" t="n">
        <v>85.32707677000001</v>
      </c>
      <c r="H72" s="20" t="n">
        <v>1.29826298</v>
      </c>
      <c r="I72" s="18" t="n">
        <v>0</v>
      </c>
      <c r="J72" s="20" t="n">
        <v>0</v>
      </c>
      <c r="K72" s="18" t="n">
        <v>0.74415925</v>
      </c>
      <c r="L72" s="20" t="n">
        <v>0.33968179</v>
      </c>
      <c r="M72" s="18" t="n">
        <v>0</v>
      </c>
      <c r="N72" s="20" t="n">
        <v>0</v>
      </c>
      <c r="O72" s="18" t="n">
        <v>0</v>
      </c>
      <c r="P72" s="20" t="n">
        <v>0</v>
      </c>
      <c r="Q72" s="18" t="n">
        <v>0.15058271</v>
      </c>
      <c r="R72" s="20" t="n">
        <v>0.2143772</v>
      </c>
    </row>
    <row r="73" spans="1:18">
      <c r="A73" s="15" t="s">
        <v>497</v>
      </c>
      <c r="B73" s="17" t="n">
        <v>6115</v>
      </c>
      <c r="C73" s="18">
        <f>(5346.0/B73*100)</f>
        <v/>
      </c>
      <c r="D73" s="19" t="n">
        <v>769</v>
      </c>
      <c r="E73" s="18" t="n">
        <v>17.80259388</v>
      </c>
      <c r="F73" s="20" t="n">
        <v>1.47335779</v>
      </c>
      <c r="G73" s="18" t="n">
        <v>80.90308213</v>
      </c>
      <c r="H73" s="20" t="n">
        <v>1.48915311</v>
      </c>
      <c r="I73" s="18" t="n">
        <v>0</v>
      </c>
      <c r="J73" s="20" t="n">
        <v>0</v>
      </c>
      <c r="K73" s="18" t="n">
        <v>1.18121045</v>
      </c>
      <c r="L73" s="20" t="n">
        <v>0.33589577</v>
      </c>
      <c r="M73" s="18" t="n">
        <v>0</v>
      </c>
      <c r="N73" s="20" t="n">
        <v>0</v>
      </c>
      <c r="O73" s="18" t="n">
        <v>0</v>
      </c>
      <c r="P73" s="20" t="n">
        <v>0</v>
      </c>
      <c r="Q73" s="18" t="n">
        <v>0.11311354</v>
      </c>
      <c r="R73" s="20" t="n">
        <v>0.1130373</v>
      </c>
    </row>
    <row r="74" spans="1:18">
      <c r="A74" s="15" t="s">
        <v>498</v>
      </c>
      <c r="B74" s="17" t="n">
        <v>7708</v>
      </c>
      <c r="C74" s="18">
        <f>(6753.0/B74*100)</f>
        <v/>
      </c>
      <c r="D74" s="19" t="n">
        <v>955</v>
      </c>
      <c r="E74" s="18" t="n">
        <v>7.43038628</v>
      </c>
      <c r="F74" s="20" t="n">
        <v>0.81163408</v>
      </c>
      <c r="G74" s="18" t="n">
        <v>91.480425</v>
      </c>
      <c r="H74" s="20" t="n">
        <v>0.90532024</v>
      </c>
      <c r="I74" s="18" t="n">
        <v>0</v>
      </c>
      <c r="J74" s="20" t="n">
        <v>0</v>
      </c>
      <c r="K74" s="18" t="n">
        <v>0.33734057</v>
      </c>
      <c r="L74" s="20" t="n">
        <v>0.15880682</v>
      </c>
      <c r="M74" s="18" t="n">
        <v>0</v>
      </c>
      <c r="N74" s="20" t="n">
        <v>0</v>
      </c>
      <c r="O74" s="18" t="n">
        <v>0</v>
      </c>
      <c r="P74" s="20" t="n">
        <v>0</v>
      </c>
      <c r="Q74" s="18" t="n">
        <v>0.75184814</v>
      </c>
      <c r="R74" s="20" t="n">
        <v>0.29717095</v>
      </c>
    </row>
    <row r="75" spans="1:18">
      <c r="A75" s="15" t="s">
        <v>499</v>
      </c>
      <c r="B75" s="17" t="n">
        <v>8249</v>
      </c>
      <c r="C75" s="18">
        <f>(7286.0/B75*100)</f>
        <v/>
      </c>
      <c r="D75" s="19" t="n">
        <v>963</v>
      </c>
      <c r="E75" s="18" t="n">
        <v>26.38821026</v>
      </c>
      <c r="F75" s="20" t="n">
        <v>2.1607492</v>
      </c>
      <c r="G75" s="18" t="n">
        <v>72.70121451</v>
      </c>
      <c r="H75" s="20" t="n">
        <v>2.19655293</v>
      </c>
      <c r="I75" s="18" t="n">
        <v>0</v>
      </c>
      <c r="J75" s="20" t="n">
        <v>0</v>
      </c>
      <c r="K75" s="18" t="n">
        <v>0.29851575</v>
      </c>
      <c r="L75" s="20" t="n">
        <v>0.3025689</v>
      </c>
      <c r="M75" s="18" t="n">
        <v>0</v>
      </c>
      <c r="N75" s="20" t="n">
        <v>0</v>
      </c>
      <c r="O75" s="18" t="n">
        <v>0</v>
      </c>
      <c r="P75" s="20" t="n">
        <v>0</v>
      </c>
      <c r="Q75" s="18" t="n">
        <v>0.61205948</v>
      </c>
      <c r="R75" s="20" t="n">
        <v>0.3011591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(28489.0/B82*100)</f>
        <v/>
      </c>
      <c r="D82" s="19" t="n">
        <v>3841</v>
      </c>
      <c r="E82" s="18" t="n">
        <v>13.70265555</v>
      </c>
      <c r="F82" s="20" t="n">
        <v>0.8903311699999999</v>
      </c>
      <c r="G82" s="18" t="n">
        <v>85.22268074999999</v>
      </c>
      <c r="H82" s="20" t="n">
        <v>0.90536217</v>
      </c>
      <c r="I82" s="18" t="n">
        <v>0</v>
      </c>
      <c r="J82" s="20" t="n">
        <v>0</v>
      </c>
      <c r="K82" s="18" t="n">
        <v>0.50865255</v>
      </c>
      <c r="L82" s="20" t="n">
        <v>0.19542229</v>
      </c>
      <c r="M82" s="18" t="n">
        <v>0</v>
      </c>
      <c r="N82" s="20" t="n">
        <v>0</v>
      </c>
      <c r="O82" s="18" t="n">
        <v>0</v>
      </c>
      <c r="P82" s="20" t="n">
        <v>0</v>
      </c>
      <c r="Q82" s="18" t="n">
        <v>0.56601115</v>
      </c>
      <c r="R82" s="20" t="n">
        <v>0.17259339</v>
      </c>
    </row>
    <row r="83" spans="1:18">
      <c r="A83" s="15" t="s">
        <v>507</v>
      </c>
      <c r="B83" s="17" t="n">
        <v>1652</v>
      </c>
      <c r="C83" s="18">
        <f>(1470.0/B83*100)</f>
        <v/>
      </c>
      <c r="D83" s="19" t="n">
        <v>182</v>
      </c>
      <c r="E83" s="18" t="n">
        <v>7.42045427</v>
      </c>
      <c r="F83" s="20" t="n">
        <v>1.64149929</v>
      </c>
      <c r="G83" s="18" t="n">
        <v>92.57954573000001</v>
      </c>
      <c r="H83" s="20" t="n">
        <v>1.64149929</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(1664.0/B84*100)</f>
        <v/>
      </c>
      <c r="D84" s="19" t="n">
        <v>223</v>
      </c>
      <c r="E84" s="18" t="n">
        <v>12.5757022</v>
      </c>
      <c r="F84" s="20" t="n">
        <v>2.0614714</v>
      </c>
      <c r="G84" s="18" t="n">
        <v>87.42429780000001</v>
      </c>
      <c r="H84" s="20" t="n">
        <v>2.0614714</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(12731.0/B7*100)</f>
        <v/>
      </c>
      <c r="D7" s="19" t="n">
        <v>1799</v>
      </c>
      <c r="E7" s="18" t="n">
        <v>37.07789259</v>
      </c>
      <c r="F7" s="20" t="n">
        <v>1.46800717</v>
      </c>
      <c r="G7" s="18" t="n">
        <v>61.78647706</v>
      </c>
      <c r="H7" s="20" t="n">
        <v>1.40359474</v>
      </c>
      <c r="I7" s="18" t="n">
        <v>0</v>
      </c>
      <c r="J7" s="20" t="n">
        <v>0</v>
      </c>
      <c r="K7" s="18" t="n">
        <v>0.58528116</v>
      </c>
      <c r="L7" s="20" t="n">
        <v>0.17990982</v>
      </c>
      <c r="M7" s="18" t="n">
        <v>0</v>
      </c>
      <c r="N7" s="20" t="n">
        <v>0</v>
      </c>
      <c r="O7" s="18" t="n">
        <v>0</v>
      </c>
      <c r="P7" s="20" t="n">
        <v>0</v>
      </c>
      <c r="Q7" s="18" t="n">
        <v>0.55034919</v>
      </c>
      <c r="R7" s="20" t="n">
        <v>0.18047102</v>
      </c>
    </row>
    <row r="8" spans="1:18">
      <c r="A8" s="15" t="s">
        <v>430</v>
      </c>
      <c r="B8" s="17" t="n">
        <v>7007</v>
      </c>
      <c r="C8" s="18">
        <f>(6165.0/B8*100)</f>
        <v/>
      </c>
      <c r="D8" s="19" t="n">
        <v>842</v>
      </c>
      <c r="E8" s="18" t="n">
        <v>27.71902779</v>
      </c>
      <c r="F8" s="20" t="n">
        <v>1.69207884</v>
      </c>
      <c r="G8" s="18" t="n">
        <v>71.17410714</v>
      </c>
      <c r="H8" s="20" t="n">
        <v>1.75813706</v>
      </c>
      <c r="I8" s="18" t="n">
        <v>0</v>
      </c>
      <c r="J8" s="20" t="n">
        <v>0</v>
      </c>
      <c r="K8" s="18" t="n">
        <v>0.65816369</v>
      </c>
      <c r="L8" s="20" t="n">
        <v>0.25797682</v>
      </c>
      <c r="M8" s="18" t="n">
        <v>0</v>
      </c>
      <c r="N8" s="20" t="n">
        <v>0</v>
      </c>
      <c r="O8" s="18" t="n">
        <v>0</v>
      </c>
      <c r="P8" s="20" t="n">
        <v>0</v>
      </c>
      <c r="Q8" s="18" t="n">
        <v>0.44870138</v>
      </c>
      <c r="R8" s="20" t="n">
        <v>0.20725913</v>
      </c>
    </row>
    <row r="9" spans="1:18">
      <c r="A9" s="15" t="s">
        <v>431</v>
      </c>
      <c r="B9" s="17" t="n">
        <v>9651</v>
      </c>
      <c r="C9" s="18">
        <f>(8503.0/B9*100)</f>
        <v/>
      </c>
      <c r="D9" s="19" t="n">
        <v>1148</v>
      </c>
      <c r="E9" s="18" t="n">
        <v>34.05917596</v>
      </c>
      <c r="F9" s="20" t="n">
        <v>1.53406626</v>
      </c>
      <c r="G9" s="18" t="n">
        <v>63.65950325</v>
      </c>
      <c r="H9" s="20" t="n">
        <v>1.65360606</v>
      </c>
      <c r="I9" s="18" t="n">
        <v>0</v>
      </c>
      <c r="J9" s="20" t="n">
        <v>0</v>
      </c>
      <c r="K9" s="18" t="n">
        <v>1.51301671</v>
      </c>
      <c r="L9" s="20" t="n">
        <v>0.41304705</v>
      </c>
      <c r="M9" s="18" t="n">
        <v>0</v>
      </c>
      <c r="N9" s="20" t="n">
        <v>0</v>
      </c>
      <c r="O9" s="18" t="n">
        <v>0</v>
      </c>
      <c r="P9" s="20" t="n">
        <v>0</v>
      </c>
      <c r="Q9" s="18" t="n">
        <v>0.7683040799999999</v>
      </c>
      <c r="R9" s="20" t="n">
        <v>0.23777422</v>
      </c>
    </row>
    <row r="10" spans="1:18">
      <c r="A10" s="15" t="s">
        <v>432</v>
      </c>
      <c r="B10" s="17" t="n">
        <v>20058</v>
      </c>
      <c r="C10" s="18">
        <f>(17648.0/B10*100)</f>
        <v/>
      </c>
      <c r="D10" s="19" t="n">
        <v>2410</v>
      </c>
      <c r="E10" s="18" t="n">
        <v>34.98738432</v>
      </c>
      <c r="F10" s="20" t="n">
        <v>1.29294656</v>
      </c>
      <c r="G10" s="18" t="n">
        <v>63.59843784</v>
      </c>
      <c r="H10" s="20" t="n">
        <v>1.33072203</v>
      </c>
      <c r="I10" s="18" t="n">
        <v>0</v>
      </c>
      <c r="J10" s="20" t="n">
        <v>0</v>
      </c>
      <c r="K10" s="18" t="n">
        <v>1.28432099</v>
      </c>
      <c r="L10" s="20" t="n">
        <v>0.32625354</v>
      </c>
      <c r="M10" s="18" t="n">
        <v>0</v>
      </c>
      <c r="N10" s="20" t="n">
        <v>0</v>
      </c>
      <c r="O10" s="18" t="n">
        <v>0</v>
      </c>
      <c r="P10" s="20" t="n">
        <v>0</v>
      </c>
      <c r="Q10" s="18" t="n">
        <v>0.12985685</v>
      </c>
      <c r="R10" s="20" t="n">
        <v>0.05841597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(6065.0/B12*100)</f>
        <v/>
      </c>
      <c r="D12" s="19" t="n">
        <v>829</v>
      </c>
      <c r="E12" s="18" t="n">
        <v>27.88868313</v>
      </c>
      <c r="F12" s="20" t="n">
        <v>1.79020816</v>
      </c>
      <c r="G12" s="18" t="n">
        <v>71.36649676</v>
      </c>
      <c r="H12" s="20" t="n">
        <v>1.83389713</v>
      </c>
      <c r="I12" s="18" t="n">
        <v>0</v>
      </c>
      <c r="J12" s="20" t="n">
        <v>0</v>
      </c>
      <c r="K12" s="18" t="n">
        <v>0.05365613</v>
      </c>
      <c r="L12" s="20" t="n">
        <v>0.05379627</v>
      </c>
      <c r="M12" s="18" t="n">
        <v>0</v>
      </c>
      <c r="N12" s="20" t="n">
        <v>0</v>
      </c>
      <c r="O12" s="18" t="n">
        <v>0</v>
      </c>
      <c r="P12" s="20" t="n">
        <v>0</v>
      </c>
      <c r="Q12" s="18" t="n">
        <v>0.69116399</v>
      </c>
      <c r="R12" s="20" t="n">
        <v>0.30794637</v>
      </c>
    </row>
    <row r="13" spans="1:18">
      <c r="A13" s="15" t="s">
        <v>435</v>
      </c>
      <c r="B13" s="17" t="n">
        <v>7161</v>
      </c>
      <c r="C13" s="18">
        <f>(6334.0/B13*100)</f>
        <v/>
      </c>
      <c r="D13" s="19" t="n">
        <v>827</v>
      </c>
      <c r="E13" s="18" t="n">
        <v>30.34881306</v>
      </c>
      <c r="F13" s="20" t="n">
        <v>2.14032077</v>
      </c>
      <c r="G13" s="18" t="n">
        <v>68.99612979</v>
      </c>
      <c r="H13" s="20" t="n">
        <v>2.11060162</v>
      </c>
      <c r="I13" s="18" t="n">
        <v>0</v>
      </c>
      <c r="J13" s="20" t="n">
        <v>0</v>
      </c>
      <c r="K13" s="18" t="n">
        <v>0.60254969</v>
      </c>
      <c r="L13" s="20" t="n">
        <v>0.3009699</v>
      </c>
      <c r="M13" s="18" t="n">
        <v>0</v>
      </c>
      <c r="N13" s="20" t="n">
        <v>0</v>
      </c>
      <c r="O13" s="18" t="n">
        <v>0</v>
      </c>
      <c r="P13" s="20" t="n">
        <v>0</v>
      </c>
      <c r="Q13" s="18" t="n">
        <v>0.05250745</v>
      </c>
      <c r="R13" s="20" t="n">
        <v>0.06950647</v>
      </c>
    </row>
    <row r="14" spans="1:18">
      <c r="A14" s="15" t="s">
        <v>436</v>
      </c>
      <c r="B14" s="17" t="n">
        <v>5587</v>
      </c>
      <c r="C14" s="18">
        <f>(4903.0/B14*100)</f>
        <v/>
      </c>
      <c r="D14" s="19" t="n">
        <v>684</v>
      </c>
      <c r="E14" s="18" t="n">
        <v>31.08806951</v>
      </c>
      <c r="F14" s="20" t="n">
        <v>2.02160279</v>
      </c>
      <c r="G14" s="18" t="n">
        <v>67.80228117999999</v>
      </c>
      <c r="H14" s="20" t="n">
        <v>2.08652964</v>
      </c>
      <c r="I14" s="18" t="n">
        <v>0</v>
      </c>
      <c r="J14" s="20" t="n">
        <v>0</v>
      </c>
      <c r="K14" s="18" t="n">
        <v>0.70994106</v>
      </c>
      <c r="L14" s="20" t="n">
        <v>0.31836636</v>
      </c>
      <c r="M14" s="18" t="n">
        <v>0</v>
      </c>
      <c r="N14" s="20" t="n">
        <v>0</v>
      </c>
      <c r="O14" s="18" t="n">
        <v>0</v>
      </c>
      <c r="P14" s="20" t="n">
        <v>0</v>
      </c>
      <c r="Q14" s="18" t="n">
        <v>0.39970825</v>
      </c>
      <c r="R14" s="20" t="n">
        <v>0.29746671</v>
      </c>
    </row>
    <row r="15" spans="1:18">
      <c r="A15" s="15" t="s">
        <v>437</v>
      </c>
      <c r="B15" s="17" t="n">
        <v>5882</v>
      </c>
      <c r="C15" s="18">
        <f>(5172.0/B15*100)</f>
        <v/>
      </c>
      <c r="D15" s="19" t="n">
        <v>710</v>
      </c>
      <c r="E15" s="18" t="n">
        <v>20.37276136</v>
      </c>
      <c r="F15" s="20" t="n">
        <v>1.9226969</v>
      </c>
      <c r="G15" s="18" t="n">
        <v>78.52805050000001</v>
      </c>
      <c r="H15" s="20" t="n">
        <v>1.90232739</v>
      </c>
      <c r="I15" s="18" t="n">
        <v>0</v>
      </c>
      <c r="J15" s="20" t="n">
        <v>0</v>
      </c>
      <c r="K15" s="18" t="n">
        <v>0.82470649</v>
      </c>
      <c r="L15" s="20" t="n">
        <v>0.33678504</v>
      </c>
      <c r="M15" s="18" t="n">
        <v>0</v>
      </c>
      <c r="N15" s="20" t="n">
        <v>0</v>
      </c>
      <c r="O15" s="18" t="n">
        <v>0</v>
      </c>
      <c r="P15" s="20" t="n">
        <v>0</v>
      </c>
      <c r="Q15" s="18" t="n">
        <v>0.27448165</v>
      </c>
      <c r="R15" s="20" t="n">
        <v>0.19300941</v>
      </c>
    </row>
    <row r="16" spans="1:18">
      <c r="A16" s="15" t="s">
        <v>438</v>
      </c>
      <c r="B16" s="17" t="n">
        <v>6108</v>
      </c>
      <c r="C16" s="18">
        <f>(5369.0/B16*100)</f>
        <v/>
      </c>
      <c r="D16" s="19" t="n">
        <v>739</v>
      </c>
      <c r="E16" s="18" t="n">
        <v>37.39649994</v>
      </c>
      <c r="F16" s="20" t="n">
        <v>1.73403272</v>
      </c>
      <c r="G16" s="18" t="n">
        <v>58.65653594</v>
      </c>
      <c r="H16" s="20" t="n">
        <v>1.75966771</v>
      </c>
      <c r="I16" s="18" t="n">
        <v>0</v>
      </c>
      <c r="J16" s="20" t="n">
        <v>0</v>
      </c>
      <c r="K16" s="18" t="n">
        <v>2.62875797</v>
      </c>
      <c r="L16" s="20" t="n">
        <v>0.61399152</v>
      </c>
      <c r="M16" s="18" t="n">
        <v>0</v>
      </c>
      <c r="N16" s="20" t="n">
        <v>0</v>
      </c>
      <c r="O16" s="18" t="n">
        <v>0</v>
      </c>
      <c r="P16" s="20" t="n">
        <v>0</v>
      </c>
      <c r="Q16" s="18" t="n">
        <v>1.31820615</v>
      </c>
      <c r="R16" s="20" t="n">
        <v>0.34036702</v>
      </c>
    </row>
    <row r="17" spans="1:18">
      <c r="A17" s="15" t="s">
        <v>439</v>
      </c>
      <c r="B17" s="17" t="n">
        <v>6504</v>
      </c>
      <c r="C17" s="18">
        <f>(5722.0/B17*100)</f>
        <v/>
      </c>
      <c r="D17" s="19" t="n">
        <v>782</v>
      </c>
      <c r="E17" s="18" t="n">
        <v>27.18994867</v>
      </c>
      <c r="F17" s="20" t="n">
        <v>1.63619074</v>
      </c>
      <c r="G17" s="18" t="n">
        <v>71.21494982999999</v>
      </c>
      <c r="H17" s="20" t="n">
        <v>1.64993759</v>
      </c>
      <c r="I17" s="18" t="n">
        <v>0</v>
      </c>
      <c r="J17" s="20" t="n">
        <v>0</v>
      </c>
      <c r="K17" s="18" t="n">
        <v>0.62453906</v>
      </c>
      <c r="L17" s="20" t="n">
        <v>0.27809706</v>
      </c>
      <c r="M17" s="18" t="n">
        <v>0</v>
      </c>
      <c r="N17" s="20" t="n">
        <v>0</v>
      </c>
      <c r="O17" s="18" t="n">
        <v>0</v>
      </c>
      <c r="P17" s="20" t="n">
        <v>0</v>
      </c>
      <c r="Q17" s="18" t="n">
        <v>0.97056243</v>
      </c>
      <c r="R17" s="20" t="n">
        <v>0.30528223</v>
      </c>
    </row>
    <row r="18" spans="1:18">
      <c r="A18" s="15" t="s">
        <v>440</v>
      </c>
      <c r="B18" s="17" t="n">
        <v>5532</v>
      </c>
      <c r="C18" s="18">
        <f>(4866.0/B18*100)</f>
        <v/>
      </c>
      <c r="D18" s="19" t="n">
        <v>666</v>
      </c>
      <c r="E18" s="18" t="n">
        <v>43.01415116</v>
      </c>
      <c r="F18" s="20" t="n">
        <v>2.19800102</v>
      </c>
      <c r="G18" s="18" t="n">
        <v>54.7629811</v>
      </c>
      <c r="H18" s="20" t="n">
        <v>2.20968224</v>
      </c>
      <c r="I18" s="18" t="n">
        <v>0</v>
      </c>
      <c r="J18" s="20" t="n">
        <v>0</v>
      </c>
      <c r="K18" s="18" t="n">
        <v>1.60232318</v>
      </c>
      <c r="L18" s="20" t="n">
        <v>0.5583270299999999</v>
      </c>
      <c r="M18" s="18" t="n">
        <v>0</v>
      </c>
      <c r="N18" s="20" t="n">
        <v>0</v>
      </c>
      <c r="O18" s="18" t="n">
        <v>0</v>
      </c>
      <c r="P18" s="20" t="n">
        <v>0</v>
      </c>
      <c r="Q18" s="18" t="n">
        <v>0.62054455</v>
      </c>
      <c r="R18" s="20" t="n">
        <v>0.49335442</v>
      </c>
    </row>
    <row r="19" spans="1:18">
      <c r="A19" s="15" t="s">
        <v>441</v>
      </c>
      <c r="B19" s="17" t="n">
        <v>5658</v>
      </c>
      <c r="C19" s="18">
        <f>(4985.0/B19*100)</f>
        <v/>
      </c>
      <c r="D19" s="19" t="n">
        <v>673</v>
      </c>
      <c r="E19" s="18" t="n">
        <v>34.69273897</v>
      </c>
      <c r="F19" s="20" t="n">
        <v>2.02955918</v>
      </c>
      <c r="G19" s="18" t="n">
        <v>64.91364982</v>
      </c>
      <c r="H19" s="20" t="n">
        <v>1.99841987</v>
      </c>
      <c r="I19" s="18" t="n">
        <v>0</v>
      </c>
      <c r="J19" s="20" t="n">
        <v>0</v>
      </c>
      <c r="K19" s="18" t="n">
        <v>0.26129501</v>
      </c>
      <c r="L19" s="20" t="n">
        <v>0.18657418</v>
      </c>
      <c r="M19" s="18" t="n">
        <v>0</v>
      </c>
      <c r="N19" s="20" t="n">
        <v>0</v>
      </c>
      <c r="O19" s="18" t="n">
        <v>0</v>
      </c>
      <c r="P19" s="20" t="n">
        <v>0</v>
      </c>
      <c r="Q19" s="18" t="n">
        <v>0.1323162</v>
      </c>
      <c r="R19" s="20" t="n">
        <v>0.133274</v>
      </c>
    </row>
    <row r="20" spans="1:18">
      <c r="A20" s="15" t="s">
        <v>442</v>
      </c>
      <c r="B20" s="17" t="n">
        <v>3371</v>
      </c>
      <c r="C20" s="18">
        <f>(2980.0/B20*100)</f>
        <v/>
      </c>
      <c r="D20" s="19" t="n">
        <v>391</v>
      </c>
      <c r="E20" s="18" t="n">
        <v>43.73192316</v>
      </c>
      <c r="F20" s="20" t="n">
        <v>2.28667586</v>
      </c>
      <c r="G20" s="18" t="n">
        <v>53.35325893</v>
      </c>
      <c r="H20" s="20" t="n">
        <v>2.39584717</v>
      </c>
      <c r="I20" s="18" t="n">
        <v>0</v>
      </c>
      <c r="J20" s="20" t="n">
        <v>0</v>
      </c>
      <c r="K20" s="18" t="n">
        <v>1.45315275</v>
      </c>
      <c r="L20" s="20" t="n">
        <v>0.59756733</v>
      </c>
      <c r="M20" s="18" t="n">
        <v>0</v>
      </c>
      <c r="N20" s="20" t="n">
        <v>0</v>
      </c>
      <c r="O20" s="18" t="n">
        <v>0</v>
      </c>
      <c r="P20" s="20" t="n">
        <v>0</v>
      </c>
      <c r="Q20" s="18" t="n">
        <v>1.46166515</v>
      </c>
      <c r="R20" s="20" t="n">
        <v>0.49497805</v>
      </c>
    </row>
    <row r="21" spans="1:18">
      <c r="A21" s="15" t="s">
        <v>443</v>
      </c>
      <c r="B21" s="17" t="n">
        <v>5741</v>
      </c>
      <c r="C21" s="18">
        <f>(4803.0/B21*100)</f>
        <v/>
      </c>
      <c r="D21" s="19" t="n">
        <v>938</v>
      </c>
      <c r="E21" s="18" t="n">
        <v>34.46781817</v>
      </c>
      <c r="F21" s="20" t="n">
        <v>1.493574</v>
      </c>
      <c r="G21" s="18" t="n">
        <v>64.85840761999999</v>
      </c>
      <c r="H21" s="20" t="n">
        <v>1.46901978</v>
      </c>
      <c r="I21" s="18" t="n">
        <v>0</v>
      </c>
      <c r="J21" s="20" t="n">
        <v>0</v>
      </c>
      <c r="K21" s="18" t="n">
        <v>0.55121832</v>
      </c>
      <c r="L21" s="20" t="n">
        <v>0.21647575</v>
      </c>
      <c r="M21" s="18" t="n">
        <v>0</v>
      </c>
      <c r="N21" s="20" t="n">
        <v>0</v>
      </c>
      <c r="O21" s="18" t="n">
        <v>0</v>
      </c>
      <c r="P21" s="20" t="n">
        <v>0</v>
      </c>
      <c r="Q21" s="18" t="n">
        <v>0.1225559</v>
      </c>
      <c r="R21" s="20" t="n">
        <v>0.12237634</v>
      </c>
    </row>
    <row r="22" spans="1:18">
      <c r="A22" s="15" t="s">
        <v>444</v>
      </c>
      <c r="B22" s="17" t="n">
        <v>6598</v>
      </c>
      <c r="C22" s="18">
        <f>(5893.0/B22*100)</f>
        <v/>
      </c>
      <c r="D22" s="19" t="n">
        <v>705</v>
      </c>
      <c r="E22" s="18" t="n">
        <v>31.35725116</v>
      </c>
      <c r="F22" s="20" t="n">
        <v>1.87351508</v>
      </c>
      <c r="G22" s="18" t="n">
        <v>65.53191798</v>
      </c>
      <c r="H22" s="20" t="n">
        <v>2.18596037</v>
      </c>
      <c r="I22" s="18" t="n">
        <v>0</v>
      </c>
      <c r="J22" s="20" t="n">
        <v>0</v>
      </c>
      <c r="K22" s="18" t="n">
        <v>1.72860905</v>
      </c>
      <c r="L22" s="20" t="n">
        <v>0.59254721</v>
      </c>
      <c r="M22" s="18" t="n">
        <v>0</v>
      </c>
      <c r="N22" s="20" t="n">
        <v>0</v>
      </c>
      <c r="O22" s="18" t="n">
        <v>0</v>
      </c>
      <c r="P22" s="20" t="n">
        <v>0</v>
      </c>
      <c r="Q22" s="18" t="n">
        <v>1.38222182</v>
      </c>
      <c r="R22" s="20" t="n">
        <v>0.64379737</v>
      </c>
    </row>
    <row r="23" spans="1:18">
      <c r="A23" s="15" t="s">
        <v>445</v>
      </c>
      <c r="B23" s="17" t="n">
        <v>11583</v>
      </c>
      <c r="C23" s="18">
        <f>(10208.0/B23*100)</f>
        <v/>
      </c>
      <c r="D23" s="19" t="n">
        <v>1375</v>
      </c>
      <c r="E23" s="18" t="n">
        <v>38.99047095</v>
      </c>
      <c r="F23" s="20" t="n">
        <v>2.03418444</v>
      </c>
      <c r="G23" s="18" t="n">
        <v>59.24555124</v>
      </c>
      <c r="H23" s="20" t="n">
        <v>2.10766619</v>
      </c>
      <c r="I23" s="18" t="n">
        <v>0</v>
      </c>
      <c r="J23" s="20" t="n">
        <v>0</v>
      </c>
      <c r="K23" s="18" t="n">
        <v>1.12357998</v>
      </c>
      <c r="L23" s="20" t="n">
        <v>0.38460404</v>
      </c>
      <c r="M23" s="18" t="n">
        <v>0</v>
      </c>
      <c r="N23" s="20" t="n">
        <v>0</v>
      </c>
      <c r="O23" s="18" t="n">
        <v>0</v>
      </c>
      <c r="P23" s="20" t="n">
        <v>0</v>
      </c>
      <c r="Q23" s="18" t="n">
        <v>0.6403978299999999</v>
      </c>
      <c r="R23" s="20" t="n">
        <v>0.3334061</v>
      </c>
    </row>
    <row r="24" spans="1:18">
      <c r="A24" s="15" t="s">
        <v>446</v>
      </c>
      <c r="B24" s="17" t="n">
        <v>6647</v>
      </c>
      <c r="C24" s="18">
        <f>(5857.0/B24*100)</f>
        <v/>
      </c>
      <c r="D24" s="19" t="n">
        <v>790</v>
      </c>
      <c r="E24" s="18" t="n">
        <v>26.96253621</v>
      </c>
      <c r="F24" s="20" t="n">
        <v>1.48735035</v>
      </c>
      <c r="G24" s="18" t="n">
        <v>71.57456114</v>
      </c>
      <c r="H24" s="20" t="n">
        <v>1.40434123</v>
      </c>
      <c r="I24" s="18" t="n">
        <v>0</v>
      </c>
      <c r="J24" s="20" t="n">
        <v>0</v>
      </c>
      <c r="K24" s="18" t="n">
        <v>0.83067064</v>
      </c>
      <c r="L24" s="20" t="n">
        <v>0.35521437</v>
      </c>
      <c r="M24" s="18" t="n">
        <v>0</v>
      </c>
      <c r="N24" s="20" t="n">
        <v>0</v>
      </c>
      <c r="O24" s="18" t="n">
        <v>0</v>
      </c>
      <c r="P24" s="20" t="n">
        <v>0</v>
      </c>
      <c r="Q24" s="18" t="n">
        <v>0.63223202</v>
      </c>
      <c r="R24" s="20" t="n">
        <v>0.28314699</v>
      </c>
    </row>
    <row r="25" spans="1:18">
      <c r="A25" s="15" t="s">
        <v>447</v>
      </c>
      <c r="B25" s="17" t="n">
        <v>5581</v>
      </c>
      <c r="C25" s="18">
        <f>(4886.0/B25*100)</f>
        <v/>
      </c>
      <c r="D25" s="19" t="n">
        <v>695</v>
      </c>
      <c r="E25" s="18" t="n">
        <v>29.06077404</v>
      </c>
      <c r="F25" s="20" t="n">
        <v>1.77702191</v>
      </c>
      <c r="G25" s="18" t="n">
        <v>70.64584953000001</v>
      </c>
      <c r="H25" s="20" t="n">
        <v>1.7153216</v>
      </c>
      <c r="I25" s="18" t="n">
        <v>0</v>
      </c>
      <c r="J25" s="20" t="n">
        <v>0</v>
      </c>
      <c r="K25" s="18" t="n">
        <v>0.29337642</v>
      </c>
      <c r="L25" s="20" t="n">
        <v>0.20628515</v>
      </c>
      <c r="M25" s="18" t="n">
        <v>0</v>
      </c>
      <c r="N25" s="20" t="n">
        <v>0</v>
      </c>
      <c r="O25" s="18" t="n">
        <v>0</v>
      </c>
      <c r="P25" s="20" t="n">
        <v>0</v>
      </c>
      <c r="Q25" s="18" t="n">
        <v>0</v>
      </c>
      <c r="R25" s="20" t="n">
        <v>0</v>
      </c>
    </row>
    <row r="26" spans="1:18">
      <c r="A26" s="15" t="s">
        <v>448</v>
      </c>
      <c r="B26" s="17" t="n">
        <v>4869</v>
      </c>
      <c r="C26" s="18">
        <f>(4270.0/B26*100)</f>
        <v/>
      </c>
      <c r="D26" s="19" t="n">
        <v>599</v>
      </c>
      <c r="E26" s="18" t="n">
        <v>36.34206629</v>
      </c>
      <c r="F26" s="20" t="n">
        <v>2.46887882</v>
      </c>
      <c r="G26" s="18" t="n">
        <v>63.65793371</v>
      </c>
      <c r="H26" s="20" t="n">
        <v>2.46887882</v>
      </c>
      <c r="I26" s="18" t="n">
        <v>0</v>
      </c>
      <c r="J26" s="20" t="n">
        <v>0</v>
      </c>
      <c r="K26" s="18" t="n">
        <v>0</v>
      </c>
      <c r="L26" s="20" t="n">
        <v>0</v>
      </c>
      <c r="M26" s="18" t="n">
        <v>0</v>
      </c>
      <c r="N26" s="20" t="n">
        <v>0</v>
      </c>
      <c r="O26" s="18" t="n">
        <v>0</v>
      </c>
      <c r="P26" s="20" t="n">
        <v>0</v>
      </c>
      <c r="Q26" s="18" t="n">
        <v>0</v>
      </c>
      <c r="R26" s="20" t="n">
        <v>0</v>
      </c>
    </row>
    <row r="27" spans="1:18">
      <c r="A27" s="15" t="s">
        <v>449</v>
      </c>
      <c r="B27" s="17" t="n">
        <v>5299</v>
      </c>
      <c r="C27" s="18">
        <f>(4651.0/B27*100)</f>
        <v/>
      </c>
      <c r="D27" s="19" t="n">
        <v>648</v>
      </c>
      <c r="E27" s="18" t="n">
        <v>38.60320324</v>
      </c>
      <c r="F27" s="20" t="n">
        <v>2.05222073</v>
      </c>
      <c r="G27" s="18" t="n">
        <v>60.62260121</v>
      </c>
      <c r="H27" s="20" t="n">
        <v>2.03792866</v>
      </c>
      <c r="I27" s="18" t="n">
        <v>0</v>
      </c>
      <c r="J27" s="20" t="n">
        <v>0</v>
      </c>
      <c r="K27" s="18" t="n">
        <v>0.45985172</v>
      </c>
      <c r="L27" s="20" t="n">
        <v>0.26445569</v>
      </c>
      <c r="M27" s="18" t="n">
        <v>0</v>
      </c>
      <c r="N27" s="20" t="n">
        <v>0</v>
      </c>
      <c r="O27" s="18" t="n">
        <v>0</v>
      </c>
      <c r="P27" s="20" t="n">
        <v>0</v>
      </c>
      <c r="Q27" s="18" t="n">
        <v>0.31434384</v>
      </c>
      <c r="R27" s="20" t="n">
        <v>0.22671246</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29.49254718</v>
      </c>
      <c r="F29" s="20" t="n">
        <v>1.72722272</v>
      </c>
      <c r="G29" s="18" t="n">
        <v>69.86406467</v>
      </c>
      <c r="H29" s="20" t="n">
        <v>1.7613533</v>
      </c>
      <c r="I29" s="18" t="n">
        <v>0</v>
      </c>
      <c r="J29" s="20" t="n">
        <v>0</v>
      </c>
      <c r="K29" s="18" t="n">
        <v>0.49529817</v>
      </c>
      <c r="L29" s="20" t="n">
        <v>0.28417547</v>
      </c>
      <c r="M29" s="18" t="n">
        <v>0</v>
      </c>
      <c r="N29" s="20" t="n">
        <v>0</v>
      </c>
      <c r="O29" s="18" t="n">
        <v>0</v>
      </c>
      <c r="P29" s="20" t="n">
        <v>0</v>
      </c>
      <c r="Q29" s="18" t="n">
        <v>0.14808999</v>
      </c>
      <c r="R29" s="20" t="n">
        <v>0.15233693</v>
      </c>
    </row>
    <row r="30" spans="1:18">
      <c r="A30" s="15" t="s">
        <v>452</v>
      </c>
      <c r="B30" s="17" t="n">
        <v>4520</v>
      </c>
      <c r="C30" s="18">
        <f>(3964.0/B30*100)</f>
        <v/>
      </c>
      <c r="D30" s="19" t="n">
        <v>556</v>
      </c>
      <c r="E30" s="18" t="n">
        <v>41.15076144</v>
      </c>
      <c r="F30" s="20" t="n">
        <v>2.0557259</v>
      </c>
      <c r="G30" s="18" t="n">
        <v>56.93976572</v>
      </c>
      <c r="H30" s="20" t="n">
        <v>2.080915</v>
      </c>
      <c r="I30" s="18" t="n">
        <v>0</v>
      </c>
      <c r="J30" s="20" t="n">
        <v>0</v>
      </c>
      <c r="K30" s="18" t="n">
        <v>1.12190878</v>
      </c>
      <c r="L30" s="20" t="n">
        <v>0.53304444</v>
      </c>
      <c r="M30" s="18" t="n">
        <v>0</v>
      </c>
      <c r="N30" s="20" t="n">
        <v>0</v>
      </c>
      <c r="O30" s="18" t="n">
        <v>0</v>
      </c>
      <c r="P30" s="20" t="n">
        <v>0</v>
      </c>
      <c r="Q30" s="18" t="n">
        <v>0.78756406</v>
      </c>
      <c r="R30" s="20" t="n">
        <v>0.39764709</v>
      </c>
    </row>
    <row r="31" spans="1:18">
      <c r="A31" s="15" t="s">
        <v>453</v>
      </c>
      <c r="B31" s="17" t="n">
        <v>5456</v>
      </c>
      <c r="C31" s="18">
        <f>(4787.0/B31*100)</f>
        <v/>
      </c>
      <c r="D31" s="19" t="n">
        <v>669</v>
      </c>
      <c r="E31" s="18" t="n">
        <v>38.38664857</v>
      </c>
      <c r="F31" s="20" t="n">
        <v>1.60777271</v>
      </c>
      <c r="G31" s="18" t="n">
        <v>59.56958391</v>
      </c>
      <c r="H31" s="20" t="n">
        <v>1.79841028</v>
      </c>
      <c r="I31" s="18" t="n">
        <v>0</v>
      </c>
      <c r="J31" s="20" t="n">
        <v>0</v>
      </c>
      <c r="K31" s="18" t="n">
        <v>1.73068191</v>
      </c>
      <c r="L31" s="20" t="n">
        <v>0.55143612</v>
      </c>
      <c r="M31" s="18" t="n">
        <v>0</v>
      </c>
      <c r="N31" s="20" t="n">
        <v>0</v>
      </c>
      <c r="O31" s="18" t="n">
        <v>0</v>
      </c>
      <c r="P31" s="20" t="n">
        <v>0</v>
      </c>
      <c r="Q31" s="18" t="n">
        <v>0.31308561</v>
      </c>
      <c r="R31" s="20" t="n">
        <v>0.22914397</v>
      </c>
    </row>
    <row r="32" spans="1:18">
      <c r="A32" s="15" t="s">
        <v>454</v>
      </c>
      <c r="B32" s="17" t="n">
        <v>4478</v>
      </c>
      <c r="C32" s="18">
        <f>(3721.0/B32*100)</f>
        <v/>
      </c>
      <c r="D32" s="19" t="n">
        <v>757</v>
      </c>
      <c r="E32" s="18" t="n">
        <v>32.56643879</v>
      </c>
      <c r="F32" s="20" t="n">
        <v>1.73299578</v>
      </c>
      <c r="G32" s="18" t="n">
        <v>66.46726150000001</v>
      </c>
      <c r="H32" s="20" t="n">
        <v>1.70171211</v>
      </c>
      <c r="I32" s="18" t="n">
        <v>0</v>
      </c>
      <c r="J32" s="20" t="n">
        <v>0</v>
      </c>
      <c r="K32" s="18" t="n">
        <v>0.72900928</v>
      </c>
      <c r="L32" s="20" t="n">
        <v>0.28430909</v>
      </c>
      <c r="M32" s="18" t="n">
        <v>0</v>
      </c>
      <c r="N32" s="20" t="n">
        <v>0</v>
      </c>
      <c r="O32" s="18" t="n">
        <v>0</v>
      </c>
      <c r="P32" s="20" t="n">
        <v>0</v>
      </c>
      <c r="Q32" s="18" t="n">
        <v>0.23729043</v>
      </c>
      <c r="R32" s="20" t="n">
        <v>0.16787627</v>
      </c>
    </row>
    <row r="33" spans="1:18">
      <c r="A33" s="15" t="s">
        <v>455</v>
      </c>
      <c r="B33" s="17" t="n">
        <v>7325</v>
      </c>
      <c r="C33" s="18">
        <f>(6462.0/B33*100)</f>
        <v/>
      </c>
      <c r="D33" s="19" t="n">
        <v>863</v>
      </c>
      <c r="E33" s="18" t="n">
        <v>22.76814922</v>
      </c>
      <c r="F33" s="20" t="n">
        <v>1.64937362</v>
      </c>
      <c r="G33" s="18" t="n">
        <v>76.76662724000001</v>
      </c>
      <c r="H33" s="20" t="n">
        <v>1.67420364</v>
      </c>
      <c r="I33" s="18" t="n">
        <v>0</v>
      </c>
      <c r="J33" s="20" t="n">
        <v>0</v>
      </c>
      <c r="K33" s="18" t="n">
        <v>0.06656028</v>
      </c>
      <c r="L33" s="20" t="n">
        <v>0.04105227</v>
      </c>
      <c r="M33" s="18" t="n">
        <v>0</v>
      </c>
      <c r="N33" s="20" t="n">
        <v>0</v>
      </c>
      <c r="O33" s="18" t="n">
        <v>0</v>
      </c>
      <c r="P33" s="20" t="n">
        <v>0</v>
      </c>
      <c r="Q33" s="18" t="n">
        <v>0.39866326</v>
      </c>
      <c r="R33" s="20" t="n">
        <v>0.13018704</v>
      </c>
    </row>
    <row r="34" spans="1:18">
      <c r="A34" s="15" t="s">
        <v>456</v>
      </c>
      <c r="B34" s="17" t="n">
        <v>6350</v>
      </c>
      <c r="C34" s="18">
        <f>(5577.0/B34*100)</f>
        <v/>
      </c>
      <c r="D34" s="19" t="n">
        <v>773</v>
      </c>
      <c r="E34" s="18" t="n">
        <v>37.19602144</v>
      </c>
      <c r="F34" s="20" t="n">
        <v>1.96719144</v>
      </c>
      <c r="G34" s="18" t="n">
        <v>61.47519527</v>
      </c>
      <c r="H34" s="20" t="n">
        <v>1.94051416</v>
      </c>
      <c r="I34" s="18" t="n">
        <v>0</v>
      </c>
      <c r="J34" s="20" t="n">
        <v>0</v>
      </c>
      <c r="K34" s="18" t="n">
        <v>0.86030422</v>
      </c>
      <c r="L34" s="20" t="n">
        <v>0.2967675</v>
      </c>
      <c r="M34" s="18" t="n">
        <v>0</v>
      </c>
      <c r="N34" s="20" t="n">
        <v>0</v>
      </c>
      <c r="O34" s="18" t="n">
        <v>0</v>
      </c>
      <c r="P34" s="20" t="n">
        <v>0</v>
      </c>
      <c r="Q34" s="18" t="n">
        <v>0.46847907</v>
      </c>
      <c r="R34" s="20" t="n">
        <v>0.14884505</v>
      </c>
    </row>
    <row r="35" spans="1:18">
      <c r="A35" s="15" t="s">
        <v>457</v>
      </c>
      <c r="B35" s="17" t="n">
        <v>6406</v>
      </c>
      <c r="C35" s="18">
        <f>(5614.0/B35*100)</f>
        <v/>
      </c>
      <c r="D35" s="19" t="n">
        <v>792</v>
      </c>
      <c r="E35" s="18" t="n">
        <v>33.91344036</v>
      </c>
      <c r="F35" s="20" t="n">
        <v>1.83943653</v>
      </c>
      <c r="G35" s="18" t="n">
        <v>64.87546823</v>
      </c>
      <c r="H35" s="20" t="n">
        <v>1.8021846</v>
      </c>
      <c r="I35" s="18" t="n">
        <v>0</v>
      </c>
      <c r="J35" s="20" t="n">
        <v>0</v>
      </c>
      <c r="K35" s="18" t="n">
        <v>0.6375801</v>
      </c>
      <c r="L35" s="20" t="n">
        <v>0.32818949</v>
      </c>
      <c r="M35" s="18" t="n">
        <v>0</v>
      </c>
      <c r="N35" s="20" t="n">
        <v>0</v>
      </c>
      <c r="O35" s="18" t="n">
        <v>0</v>
      </c>
      <c r="P35" s="20" t="n">
        <v>0</v>
      </c>
      <c r="Q35" s="18" t="n">
        <v>0.57351131</v>
      </c>
      <c r="R35" s="20" t="n">
        <v>0.41241144</v>
      </c>
    </row>
    <row r="36" spans="1:18">
      <c r="A36" s="15" t="s">
        <v>458</v>
      </c>
      <c r="B36" s="17" t="n">
        <v>6736</v>
      </c>
      <c r="C36" s="18">
        <f>(5942.0/B36*100)</f>
        <v/>
      </c>
      <c r="D36" s="19" t="n">
        <v>794</v>
      </c>
      <c r="E36" s="18" t="n">
        <v>24.53061127</v>
      </c>
      <c r="F36" s="20" t="n">
        <v>1.82947074</v>
      </c>
      <c r="G36" s="18" t="n">
        <v>74.96953641</v>
      </c>
      <c r="H36" s="20" t="n">
        <v>1.79428036</v>
      </c>
      <c r="I36" s="18" t="n">
        <v>0</v>
      </c>
      <c r="J36" s="20" t="n">
        <v>0</v>
      </c>
      <c r="K36" s="18" t="n">
        <v>0.49985233</v>
      </c>
      <c r="L36" s="20" t="n">
        <v>0.27656633</v>
      </c>
      <c r="M36" s="18" t="n">
        <v>0</v>
      </c>
      <c r="N36" s="20" t="n">
        <v>0</v>
      </c>
      <c r="O36" s="18" t="n">
        <v>0</v>
      </c>
      <c r="P36" s="20" t="n">
        <v>0</v>
      </c>
      <c r="Q36" s="18" t="n">
        <v>0</v>
      </c>
      <c r="R36" s="20" t="n">
        <v>0</v>
      </c>
    </row>
    <row r="37" spans="1:18">
      <c r="A37" s="15" t="s">
        <v>459</v>
      </c>
      <c r="B37" s="17" t="n">
        <v>5458</v>
      </c>
      <c r="C37" s="18">
        <f>(4821.0/B37*100)</f>
        <v/>
      </c>
      <c r="D37" s="19" t="n">
        <v>637</v>
      </c>
      <c r="E37" s="18" t="n">
        <v>27.19629812</v>
      </c>
      <c r="F37" s="20" t="n">
        <v>1.84929502</v>
      </c>
      <c r="G37" s="18" t="n">
        <v>70.48133694000001</v>
      </c>
      <c r="H37" s="20" t="n">
        <v>2.01086904</v>
      </c>
      <c r="I37" s="18" t="n">
        <v>0</v>
      </c>
      <c r="J37" s="20" t="n">
        <v>0</v>
      </c>
      <c r="K37" s="18" t="n">
        <v>1.87517214</v>
      </c>
      <c r="L37" s="20" t="n">
        <v>0.59093602</v>
      </c>
      <c r="M37" s="18" t="n">
        <v>0</v>
      </c>
      <c r="N37" s="20" t="n">
        <v>0</v>
      </c>
      <c r="O37" s="18" t="n">
        <v>0</v>
      </c>
      <c r="P37" s="20" t="n">
        <v>0</v>
      </c>
      <c r="Q37" s="18" t="n">
        <v>0.4471928</v>
      </c>
      <c r="R37" s="20" t="n">
        <v>0.25917461</v>
      </c>
    </row>
    <row r="38" spans="1:18">
      <c r="A38" s="15" t="s">
        <v>460</v>
      </c>
      <c r="B38" s="17" t="n">
        <v>5860</v>
      </c>
      <c r="C38" s="18">
        <f>(4902.0/B38*100)</f>
        <v/>
      </c>
      <c r="D38" s="19" t="n">
        <v>958</v>
      </c>
      <c r="E38" s="18" t="n">
        <v>32.59788476</v>
      </c>
      <c r="F38" s="20" t="n">
        <v>1.88128708</v>
      </c>
      <c r="G38" s="18" t="n">
        <v>65.41011922</v>
      </c>
      <c r="H38" s="20" t="n">
        <v>1.9073072</v>
      </c>
      <c r="I38" s="18" t="n">
        <v>0</v>
      </c>
      <c r="J38" s="20" t="n">
        <v>0</v>
      </c>
      <c r="K38" s="18" t="n">
        <v>1.55705918</v>
      </c>
      <c r="L38" s="20" t="n">
        <v>0.54782536</v>
      </c>
      <c r="M38" s="18" t="n">
        <v>0</v>
      </c>
      <c r="N38" s="20" t="n">
        <v>0</v>
      </c>
      <c r="O38" s="18" t="n">
        <v>0</v>
      </c>
      <c r="P38" s="20" t="n">
        <v>0</v>
      </c>
      <c r="Q38" s="18" t="n">
        <v>0.43493685</v>
      </c>
      <c r="R38" s="20" t="n">
        <v>0.21453684</v>
      </c>
    </row>
    <row r="39" spans="1:18">
      <c r="A39" s="15" t="s">
        <v>461</v>
      </c>
      <c r="B39" s="17" t="n">
        <v>5895</v>
      </c>
      <c r="C39" s="18">
        <f>(5157.0/B39*100)</f>
        <v/>
      </c>
      <c r="D39" s="19" t="n">
        <v>738</v>
      </c>
      <c r="E39" s="18" t="n">
        <v>52.59997024</v>
      </c>
      <c r="F39" s="20" t="n">
        <v>2.01462115</v>
      </c>
      <c r="G39" s="18" t="n">
        <v>45.44085156</v>
      </c>
      <c r="H39" s="20" t="n">
        <v>2.1137979</v>
      </c>
      <c r="I39" s="18" t="n">
        <v>0</v>
      </c>
      <c r="J39" s="20" t="n">
        <v>0</v>
      </c>
      <c r="K39" s="18" t="n">
        <v>0.78204467</v>
      </c>
      <c r="L39" s="20" t="n">
        <v>0.38260555</v>
      </c>
      <c r="M39" s="18" t="n">
        <v>0</v>
      </c>
      <c r="N39" s="20" t="n">
        <v>0</v>
      </c>
      <c r="O39" s="18" t="n">
        <v>0</v>
      </c>
      <c r="P39" s="20" t="n">
        <v>0</v>
      </c>
      <c r="Q39" s="18" t="n">
        <v>1.17713352</v>
      </c>
      <c r="R39" s="20" t="n">
        <v>0.37357435</v>
      </c>
    </row>
    <row r="40" spans="1:18">
      <c r="A40" s="15" t="s">
        <v>462</v>
      </c>
      <c r="B40" s="17" t="n">
        <v>14157</v>
      </c>
      <c r="C40" s="18">
        <f>(12383.0/B40*100)</f>
        <v/>
      </c>
      <c r="D40" s="19" t="n">
        <v>1774</v>
      </c>
      <c r="E40" s="18" t="n">
        <v>42.16523343</v>
      </c>
      <c r="F40" s="20" t="n">
        <v>1.796365</v>
      </c>
      <c r="G40" s="18" t="n">
        <v>56.22842729</v>
      </c>
      <c r="H40" s="20" t="n">
        <v>1.80807045</v>
      </c>
      <c r="I40" s="18" t="n">
        <v>0</v>
      </c>
      <c r="J40" s="20" t="n">
        <v>0</v>
      </c>
      <c r="K40" s="18" t="n">
        <v>0.96103052</v>
      </c>
      <c r="L40" s="20" t="n">
        <v>0.37545454</v>
      </c>
      <c r="M40" s="18" t="n">
        <v>0</v>
      </c>
      <c r="N40" s="20" t="n">
        <v>0</v>
      </c>
      <c r="O40" s="18" t="n">
        <v>0</v>
      </c>
      <c r="P40" s="20" t="n">
        <v>0</v>
      </c>
      <c r="Q40" s="18" t="n">
        <v>0.64530877</v>
      </c>
      <c r="R40" s="20" t="n">
        <v>0.27039076</v>
      </c>
    </row>
    <row r="41" spans="1:18">
      <c r="A41" s="15" t="s">
        <v>463</v>
      </c>
      <c r="B41" s="17" t="n">
        <v>5712</v>
      </c>
      <c r="C41" s="18">
        <f>(5048.0/B41*100)</f>
        <v/>
      </c>
      <c r="D41" s="19" t="n">
        <v>664</v>
      </c>
      <c r="E41" s="18" t="n">
        <v>42.67749194</v>
      </c>
      <c r="F41" s="20" t="n">
        <v>2.07854976</v>
      </c>
      <c r="G41" s="18" t="n">
        <v>56.61801099</v>
      </c>
      <c r="H41" s="20" t="n">
        <v>2.06007645</v>
      </c>
      <c r="I41" s="18" t="n">
        <v>0</v>
      </c>
      <c r="J41" s="20" t="n">
        <v>0</v>
      </c>
      <c r="K41" s="18" t="n">
        <v>0.39905593</v>
      </c>
      <c r="L41" s="20" t="n">
        <v>0.23630301</v>
      </c>
      <c r="M41" s="18" t="n">
        <v>0</v>
      </c>
      <c r="N41" s="20" t="n">
        <v>0</v>
      </c>
      <c r="O41" s="18" t="n">
        <v>0</v>
      </c>
      <c r="P41" s="20" t="n">
        <v>0</v>
      </c>
      <c r="Q41" s="18" t="n">
        <v>0.30544114</v>
      </c>
      <c r="R41" s="20" t="n">
        <v>0.21847383</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(8642.0/B48*100)</f>
        <v/>
      </c>
      <c r="D48" s="19" t="n">
        <v>1199</v>
      </c>
      <c r="E48" s="18" t="n">
        <v>37.95090179</v>
      </c>
      <c r="F48" s="20" t="n">
        <v>2.37336141</v>
      </c>
      <c r="G48" s="18" t="n">
        <v>60.68159394</v>
      </c>
      <c r="H48" s="20" t="n">
        <v>2.45962836</v>
      </c>
      <c r="I48" s="18" t="n">
        <v>0</v>
      </c>
      <c r="J48" s="20" t="n">
        <v>0</v>
      </c>
      <c r="K48" s="18" t="n">
        <v>0.84638873</v>
      </c>
      <c r="L48" s="20" t="n">
        <v>0.29742005</v>
      </c>
      <c r="M48" s="18" t="n">
        <v>0</v>
      </c>
      <c r="N48" s="20" t="n">
        <v>0</v>
      </c>
      <c r="O48" s="18" t="n">
        <v>0</v>
      </c>
      <c r="P48" s="20" t="n">
        <v>0</v>
      </c>
      <c r="Q48" s="18" t="n">
        <v>0.52111554</v>
      </c>
      <c r="R48" s="20" t="n">
        <v>0.2661679</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(5097.0/B51*100)</f>
        <v/>
      </c>
      <c r="D51" s="19" t="n">
        <v>712</v>
      </c>
      <c r="E51" s="18" t="n">
        <v>34.92191999</v>
      </c>
      <c r="F51" s="20" t="n">
        <v>1.96420931</v>
      </c>
      <c r="G51" s="18" t="n">
        <v>64.22313543999999</v>
      </c>
      <c r="H51" s="20" t="n">
        <v>1.97316217</v>
      </c>
      <c r="I51" s="18" t="n">
        <v>0</v>
      </c>
      <c r="J51" s="20" t="n">
        <v>0</v>
      </c>
      <c r="K51" s="18" t="n">
        <v>0.12838158</v>
      </c>
      <c r="L51" s="20" t="n">
        <v>0.1283099</v>
      </c>
      <c r="M51" s="18" t="n">
        <v>0</v>
      </c>
      <c r="N51" s="20" t="n">
        <v>0</v>
      </c>
      <c r="O51" s="18" t="n">
        <v>0</v>
      </c>
      <c r="P51" s="20" t="n">
        <v>0</v>
      </c>
      <c r="Q51" s="18" t="n">
        <v>0.72656299</v>
      </c>
      <c r="R51" s="20" t="n">
        <v>0.30941201</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21.87205183</v>
      </c>
      <c r="F55" s="20" t="n">
        <v>1.84730855</v>
      </c>
      <c r="G55" s="18" t="n">
        <v>76.91388087</v>
      </c>
      <c r="H55" s="20" t="n">
        <v>1.89062221</v>
      </c>
      <c r="I55" s="18" t="n">
        <v>0</v>
      </c>
      <c r="J55" s="20" t="n">
        <v>0</v>
      </c>
      <c r="K55" s="18" t="n">
        <v>0.5293443799999999</v>
      </c>
      <c r="L55" s="20" t="n">
        <v>0.33459949</v>
      </c>
      <c r="M55" s="18" t="n">
        <v>0</v>
      </c>
      <c r="N55" s="20" t="n">
        <v>0</v>
      </c>
      <c r="O55" s="18" t="n">
        <v>0</v>
      </c>
      <c r="P55" s="20" t="n">
        <v>0</v>
      </c>
      <c r="Q55" s="18" t="n">
        <v>0.68472292</v>
      </c>
      <c r="R55" s="20" t="n">
        <v>0.3187434</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(5688.0/B61*100)</f>
        <v/>
      </c>
      <c r="D61" s="19" t="n">
        <v>837</v>
      </c>
      <c r="E61" s="18" t="n">
        <v>33.19831915</v>
      </c>
      <c r="F61" s="20" t="n">
        <v>1.82723676</v>
      </c>
      <c r="G61" s="18" t="n">
        <v>66.26687891</v>
      </c>
      <c r="H61" s="20" t="n">
        <v>1.84350061</v>
      </c>
      <c r="I61" s="18" t="n">
        <v>0</v>
      </c>
      <c r="J61" s="20" t="n">
        <v>0</v>
      </c>
      <c r="K61" s="18" t="n">
        <v>0.24122788</v>
      </c>
      <c r="L61" s="20" t="n">
        <v>0.1630356</v>
      </c>
      <c r="M61" s="18" t="n">
        <v>0</v>
      </c>
      <c r="N61" s="20" t="n">
        <v>0</v>
      </c>
      <c r="O61" s="18" t="n">
        <v>0</v>
      </c>
      <c r="P61" s="20" t="n">
        <v>0</v>
      </c>
      <c r="Q61" s="18" t="n">
        <v>0.29357407</v>
      </c>
      <c r="R61" s="20" t="n">
        <v>0.20264722</v>
      </c>
    </row>
    <row r="62" spans="1:18">
      <c r="A62" s="15" t="s">
        <v>486</v>
      </c>
      <c r="B62" s="17" t="n">
        <v>4476</v>
      </c>
      <c r="C62" s="18">
        <f>(3941.0/B62*100)</f>
        <v/>
      </c>
      <c r="D62" s="19" t="n">
        <v>535</v>
      </c>
      <c r="E62" s="18" t="n">
        <v>41.54280099</v>
      </c>
      <c r="F62" s="20" t="n">
        <v>1.91283925</v>
      </c>
      <c r="G62" s="18" t="n">
        <v>57.89392097</v>
      </c>
      <c r="H62" s="20" t="n">
        <v>1.92838617</v>
      </c>
      <c r="I62" s="18" t="n">
        <v>0</v>
      </c>
      <c r="J62" s="20" t="n">
        <v>0</v>
      </c>
      <c r="K62" s="18" t="n">
        <v>0.37765216</v>
      </c>
      <c r="L62" s="20" t="n">
        <v>0.26869224</v>
      </c>
      <c r="M62" s="18" t="n">
        <v>0</v>
      </c>
      <c r="N62" s="20" t="n">
        <v>0</v>
      </c>
      <c r="O62" s="18" t="n">
        <v>0</v>
      </c>
      <c r="P62" s="20" t="n">
        <v>0</v>
      </c>
      <c r="Q62" s="18" t="n">
        <v>0.18562589</v>
      </c>
      <c r="R62" s="20" t="n">
        <v>0.18662694</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(5019.0/B67*100)</f>
        <v/>
      </c>
      <c r="D67" s="19" t="n">
        <v>646</v>
      </c>
      <c r="E67" s="18" t="n">
        <v>45.02783713</v>
      </c>
      <c r="F67" s="20" t="n">
        <v>2.11966573</v>
      </c>
      <c r="G67" s="18" t="n">
        <v>49.42511483</v>
      </c>
      <c r="H67" s="20" t="n">
        <v>2.00284743</v>
      </c>
      <c r="I67" s="18" t="n">
        <v>0</v>
      </c>
      <c r="J67" s="20" t="n">
        <v>0</v>
      </c>
      <c r="K67" s="18" t="n">
        <v>2.88275571</v>
      </c>
      <c r="L67" s="20" t="n">
        <v>0.68157396</v>
      </c>
      <c r="M67" s="18" t="n">
        <v>0</v>
      </c>
      <c r="N67" s="20" t="n">
        <v>0</v>
      </c>
      <c r="O67" s="18" t="n">
        <v>0</v>
      </c>
      <c r="P67" s="20" t="n">
        <v>0</v>
      </c>
      <c r="Q67" s="18" t="n">
        <v>2.66429233</v>
      </c>
      <c r="R67" s="20" t="n">
        <v>0.6792935</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(5356.0/B72*100)</f>
        <v/>
      </c>
      <c r="D72" s="19" t="n">
        <v>680</v>
      </c>
      <c r="E72" s="18" t="n">
        <v>35.36942722</v>
      </c>
      <c r="F72" s="20" t="n">
        <v>2.11841785</v>
      </c>
      <c r="G72" s="18" t="n">
        <v>63.60004395</v>
      </c>
      <c r="H72" s="20" t="n">
        <v>2.19714973</v>
      </c>
      <c r="I72" s="18" t="n">
        <v>0</v>
      </c>
      <c r="J72" s="20" t="n">
        <v>0</v>
      </c>
      <c r="K72" s="18" t="n">
        <v>0.74532825</v>
      </c>
      <c r="L72" s="20" t="n">
        <v>0.34027902</v>
      </c>
      <c r="M72" s="18" t="n">
        <v>0</v>
      </c>
      <c r="N72" s="20" t="n">
        <v>0</v>
      </c>
      <c r="O72" s="18" t="n">
        <v>0</v>
      </c>
      <c r="P72" s="20" t="n">
        <v>0</v>
      </c>
      <c r="Q72" s="18" t="n">
        <v>0.28520058</v>
      </c>
      <c r="R72" s="20" t="n">
        <v>0.21517891</v>
      </c>
    </row>
    <row r="73" spans="1:18">
      <c r="A73" s="15" t="s">
        <v>497</v>
      </c>
      <c r="B73" s="17" t="n">
        <v>6115</v>
      </c>
      <c r="C73" s="18">
        <f>(5346.0/B73*100)</f>
        <v/>
      </c>
      <c r="D73" s="19" t="n">
        <v>769</v>
      </c>
      <c r="E73" s="18" t="n">
        <v>33.31016904</v>
      </c>
      <c r="F73" s="20" t="n">
        <v>1.87117262</v>
      </c>
      <c r="G73" s="18" t="n">
        <v>65.05284838</v>
      </c>
      <c r="H73" s="20" t="n">
        <v>1.93409174</v>
      </c>
      <c r="I73" s="18" t="n">
        <v>0</v>
      </c>
      <c r="J73" s="20" t="n">
        <v>0</v>
      </c>
      <c r="K73" s="18" t="n">
        <v>1.18121045</v>
      </c>
      <c r="L73" s="20" t="n">
        <v>0.33589577</v>
      </c>
      <c r="M73" s="18" t="n">
        <v>0</v>
      </c>
      <c r="N73" s="20" t="n">
        <v>0</v>
      </c>
      <c r="O73" s="18" t="n">
        <v>0</v>
      </c>
      <c r="P73" s="20" t="n">
        <v>0</v>
      </c>
      <c r="Q73" s="18" t="n">
        <v>0.45577213</v>
      </c>
      <c r="R73" s="20" t="n">
        <v>0.22790302</v>
      </c>
    </row>
    <row r="74" spans="1:18">
      <c r="A74" s="15" t="s">
        <v>498</v>
      </c>
      <c r="B74" s="17" t="n">
        <v>7708</v>
      </c>
      <c r="C74" s="18">
        <f>(6752.0/B74*100)</f>
        <v/>
      </c>
      <c r="D74" s="19" t="n">
        <v>956</v>
      </c>
      <c r="E74" s="18" t="n">
        <v>30.17692773</v>
      </c>
      <c r="F74" s="20" t="n">
        <v>1.50221101</v>
      </c>
      <c r="G74" s="18" t="n">
        <v>68.85406903000001</v>
      </c>
      <c r="H74" s="20" t="n">
        <v>1.52323892</v>
      </c>
      <c r="I74" s="18" t="n">
        <v>0</v>
      </c>
      <c r="J74" s="20" t="n">
        <v>0</v>
      </c>
      <c r="K74" s="18" t="n">
        <v>0.33693599</v>
      </c>
      <c r="L74" s="20" t="n">
        <v>0.15859733</v>
      </c>
      <c r="M74" s="18" t="n">
        <v>0</v>
      </c>
      <c r="N74" s="20" t="n">
        <v>0</v>
      </c>
      <c r="O74" s="18" t="n">
        <v>0</v>
      </c>
      <c r="P74" s="20" t="n">
        <v>0</v>
      </c>
      <c r="Q74" s="18" t="n">
        <v>0.63206725</v>
      </c>
      <c r="R74" s="20" t="n">
        <v>0.25272937</v>
      </c>
    </row>
    <row r="75" spans="1:18">
      <c r="A75" s="15" t="s">
        <v>499</v>
      </c>
      <c r="B75" s="17" t="n">
        <v>8249</v>
      </c>
      <c r="C75" s="18">
        <f>(7291.0/B75*100)</f>
        <v/>
      </c>
      <c r="D75" s="19" t="n">
        <v>958</v>
      </c>
      <c r="E75" s="18" t="n">
        <v>67.38902831</v>
      </c>
      <c r="F75" s="20" t="n">
        <v>1.79138985</v>
      </c>
      <c r="G75" s="18" t="n">
        <v>31.60496769</v>
      </c>
      <c r="H75" s="20" t="n">
        <v>1.82708586</v>
      </c>
      <c r="I75" s="18" t="n">
        <v>0</v>
      </c>
      <c r="J75" s="20" t="n">
        <v>0</v>
      </c>
      <c r="K75" s="18" t="n">
        <v>0.34693871</v>
      </c>
      <c r="L75" s="20" t="n">
        <v>0.30700471</v>
      </c>
      <c r="M75" s="18" t="n">
        <v>0</v>
      </c>
      <c r="N75" s="20" t="n">
        <v>0</v>
      </c>
      <c r="O75" s="18" t="n">
        <v>0</v>
      </c>
      <c r="P75" s="20" t="n">
        <v>0</v>
      </c>
      <c r="Q75" s="18" t="n">
        <v>0.65906529</v>
      </c>
      <c r="R75" s="20" t="n">
        <v>0.30940781</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(28500.0/B82*100)</f>
        <v/>
      </c>
      <c r="D82" s="19" t="n">
        <v>3830</v>
      </c>
      <c r="E82" s="18" t="n">
        <v>25.44942557</v>
      </c>
      <c r="F82" s="20" t="n">
        <v>1.09440844</v>
      </c>
      <c r="G82" s="18" t="n">
        <v>73.45627481</v>
      </c>
      <c r="H82" s="20" t="n">
        <v>1.10063513</v>
      </c>
      <c r="I82" s="18" t="n">
        <v>0</v>
      </c>
      <c r="J82" s="20" t="n">
        <v>0</v>
      </c>
      <c r="K82" s="18" t="n">
        <v>0.54393999</v>
      </c>
      <c r="L82" s="20" t="n">
        <v>0.19790765</v>
      </c>
      <c r="M82" s="18" t="n">
        <v>0</v>
      </c>
      <c r="N82" s="20" t="n">
        <v>0</v>
      </c>
      <c r="O82" s="18" t="n">
        <v>0</v>
      </c>
      <c r="P82" s="20" t="n">
        <v>0</v>
      </c>
      <c r="Q82" s="18" t="n">
        <v>0.55035963</v>
      </c>
      <c r="R82" s="20" t="n">
        <v>0.16164555</v>
      </c>
    </row>
    <row r="83" spans="1:18">
      <c r="A83" s="15" t="s">
        <v>507</v>
      </c>
      <c r="B83" s="17" t="n">
        <v>1652</v>
      </c>
      <c r="C83" s="18">
        <f>(1471.0/B83*100)</f>
        <v/>
      </c>
      <c r="D83" s="19" t="n">
        <v>181</v>
      </c>
      <c r="E83" s="18" t="n">
        <v>31.60999741</v>
      </c>
      <c r="F83" s="20" t="n">
        <v>3.58938651</v>
      </c>
      <c r="G83" s="18" t="n">
        <v>67.30130198000001</v>
      </c>
      <c r="H83" s="20" t="n">
        <v>3.94071876</v>
      </c>
      <c r="I83" s="18" t="n">
        <v>0</v>
      </c>
      <c r="J83" s="20" t="n">
        <v>0</v>
      </c>
      <c r="K83" s="18" t="n">
        <v>0</v>
      </c>
      <c r="L83" s="20" t="n">
        <v>0</v>
      </c>
      <c r="M83" s="18" t="n">
        <v>0</v>
      </c>
      <c r="N83" s="20" t="n">
        <v>0</v>
      </c>
      <c r="O83" s="18" t="n">
        <v>0</v>
      </c>
      <c r="P83" s="20" t="n">
        <v>0</v>
      </c>
      <c r="Q83" s="18" t="n">
        <v>1.08870061</v>
      </c>
      <c r="R83" s="20" t="n">
        <v>0.79283923</v>
      </c>
    </row>
    <row r="84" spans="1:18">
      <c r="A84" s="23" t="s">
        <v>508</v>
      </c>
      <c r="B84" s="24" t="n">
        <v>1887</v>
      </c>
      <c r="C84" s="25">
        <f>(1664.0/B84*100)</f>
        <v/>
      </c>
      <c r="D84" s="19" t="n">
        <v>223</v>
      </c>
      <c r="E84" s="18" t="n">
        <v>38.65266606</v>
      </c>
      <c r="F84" s="20" t="n">
        <v>3.00183768</v>
      </c>
      <c r="G84" s="18" t="n">
        <v>61.34733394</v>
      </c>
      <c r="H84" s="20" t="n">
        <v>3.00183768</v>
      </c>
      <c r="I84" s="18" t="n">
        <v>0</v>
      </c>
      <c r="J84" s="20" t="n">
        <v>0</v>
      </c>
      <c r="K84" s="18" t="n">
        <v>0</v>
      </c>
      <c r="L84" s="20" t="n">
        <v>0</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609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(12738.0/B7*100)</f>
        <v/>
      </c>
      <c r="D7" s="19" t="n">
        <v>1792</v>
      </c>
      <c r="E7" s="18" t="n">
        <v>16.00300507</v>
      </c>
      <c r="F7" s="20" t="n">
        <v>1.10915799</v>
      </c>
      <c r="G7" s="18" t="n">
        <v>82.26147892</v>
      </c>
      <c r="H7" s="20" t="n">
        <v>1.0972527</v>
      </c>
      <c r="I7" s="18" t="n">
        <v>0</v>
      </c>
      <c r="J7" s="20" t="n">
        <v>0</v>
      </c>
      <c r="K7" s="18" t="n">
        <v>0.85004957</v>
      </c>
      <c r="L7" s="20" t="n">
        <v>0.24412597</v>
      </c>
      <c r="M7" s="18" t="n">
        <v>0</v>
      </c>
      <c r="N7" s="20" t="n">
        <v>0</v>
      </c>
      <c r="O7" s="18" t="n">
        <v>0</v>
      </c>
      <c r="P7" s="20" t="n">
        <v>0</v>
      </c>
      <c r="Q7" s="18" t="n">
        <v>0.88546644</v>
      </c>
      <c r="R7" s="20" t="n">
        <v>0.26384088</v>
      </c>
    </row>
    <row r="8" spans="1:18">
      <c r="A8" s="15" t="s">
        <v>430</v>
      </c>
      <c r="B8" s="17" t="n">
        <v>7007</v>
      </c>
      <c r="C8" s="18">
        <f>(6165.0/B8*100)</f>
        <v/>
      </c>
      <c r="D8" s="19" t="n">
        <v>842</v>
      </c>
      <c r="E8" s="18" t="n">
        <v>18.30030585</v>
      </c>
      <c r="F8" s="20" t="n">
        <v>1.51830166</v>
      </c>
      <c r="G8" s="18" t="n">
        <v>80.04255652000001</v>
      </c>
      <c r="H8" s="20" t="n">
        <v>1.61758193</v>
      </c>
      <c r="I8" s="18" t="n">
        <v>0</v>
      </c>
      <c r="J8" s="20" t="n">
        <v>0</v>
      </c>
      <c r="K8" s="18" t="n">
        <v>0.83686195</v>
      </c>
      <c r="L8" s="20" t="n">
        <v>0.31402622</v>
      </c>
      <c r="M8" s="18" t="n">
        <v>0</v>
      </c>
      <c r="N8" s="20" t="n">
        <v>0</v>
      </c>
      <c r="O8" s="18" t="n">
        <v>0</v>
      </c>
      <c r="P8" s="20" t="n">
        <v>0</v>
      </c>
      <c r="Q8" s="18" t="n">
        <v>0.82027568</v>
      </c>
      <c r="R8" s="20" t="n">
        <v>0.32510074</v>
      </c>
    </row>
    <row r="9" spans="1:18">
      <c r="A9" s="15" t="s">
        <v>431</v>
      </c>
      <c r="B9" s="17" t="n">
        <v>9651</v>
      </c>
      <c r="C9" s="18">
        <f>(8507.0/B9*100)</f>
        <v/>
      </c>
      <c r="D9" s="19" t="n">
        <v>1144</v>
      </c>
      <c r="E9" s="18" t="n">
        <v>15.02502223</v>
      </c>
      <c r="F9" s="20" t="n">
        <v>1.17700802</v>
      </c>
      <c r="G9" s="18" t="n">
        <v>82.41980766</v>
      </c>
      <c r="H9" s="20" t="n">
        <v>1.25309763</v>
      </c>
      <c r="I9" s="18" t="n">
        <v>0</v>
      </c>
      <c r="J9" s="20" t="n">
        <v>0</v>
      </c>
      <c r="K9" s="18" t="n">
        <v>1.64635322</v>
      </c>
      <c r="L9" s="20" t="n">
        <v>0.45213513</v>
      </c>
      <c r="M9" s="18" t="n">
        <v>0</v>
      </c>
      <c r="N9" s="20" t="n">
        <v>0</v>
      </c>
      <c r="O9" s="18" t="n">
        <v>0</v>
      </c>
      <c r="P9" s="20" t="n">
        <v>0</v>
      </c>
      <c r="Q9" s="18" t="n">
        <v>0.90881689</v>
      </c>
      <c r="R9" s="20" t="n">
        <v>0.29236928</v>
      </c>
    </row>
    <row r="10" spans="1:18">
      <c r="A10" s="15" t="s">
        <v>432</v>
      </c>
      <c r="B10" s="17" t="n">
        <v>20058</v>
      </c>
      <c r="C10" s="18">
        <f>(17647.0/B10*100)</f>
        <v/>
      </c>
      <c r="D10" s="19" t="n">
        <v>2411</v>
      </c>
      <c r="E10" s="18" t="n">
        <v>13.08888167</v>
      </c>
      <c r="F10" s="20" t="n">
        <v>1.05092975</v>
      </c>
      <c r="G10" s="18" t="n">
        <v>85.25110887</v>
      </c>
      <c r="H10" s="20" t="n">
        <v>1.14786549</v>
      </c>
      <c r="I10" s="18" t="n">
        <v>0</v>
      </c>
      <c r="J10" s="20" t="n">
        <v>0</v>
      </c>
      <c r="K10" s="18" t="n">
        <v>1.46069698</v>
      </c>
      <c r="L10" s="20" t="n">
        <v>0.32610125</v>
      </c>
      <c r="M10" s="18" t="n">
        <v>0</v>
      </c>
      <c r="N10" s="20" t="n">
        <v>0</v>
      </c>
      <c r="O10" s="18" t="n">
        <v>0</v>
      </c>
      <c r="P10" s="20" t="n">
        <v>0</v>
      </c>
      <c r="Q10" s="18" t="n">
        <v>0.19931247</v>
      </c>
      <c r="R10" s="20" t="n">
        <v>0.09971956999999999</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(6067.0/B12*100)</f>
        <v/>
      </c>
      <c r="D12" s="19" t="n">
        <v>827</v>
      </c>
      <c r="E12" s="18" t="n">
        <v>18.97476506</v>
      </c>
      <c r="F12" s="20" t="n">
        <v>1.63239914</v>
      </c>
      <c r="G12" s="18" t="n">
        <v>79.70757519999999</v>
      </c>
      <c r="H12" s="20" t="n">
        <v>1.63693615</v>
      </c>
      <c r="I12" s="18" t="n">
        <v>0</v>
      </c>
      <c r="J12" s="20" t="n">
        <v>0</v>
      </c>
      <c r="K12" s="18" t="n">
        <v>0.05377904</v>
      </c>
      <c r="L12" s="20" t="n">
        <v>0.05392115</v>
      </c>
      <c r="M12" s="18" t="n">
        <v>0</v>
      </c>
      <c r="N12" s="20" t="n">
        <v>0</v>
      </c>
      <c r="O12" s="18" t="n">
        <v>0</v>
      </c>
      <c r="P12" s="20" t="n">
        <v>0</v>
      </c>
      <c r="Q12" s="18" t="n">
        <v>1.2638807</v>
      </c>
      <c r="R12" s="20" t="n">
        <v>0.493089</v>
      </c>
    </row>
    <row r="13" spans="1:18">
      <c r="A13" s="15" t="s">
        <v>435</v>
      </c>
      <c r="B13" s="17" t="n">
        <v>7161</v>
      </c>
      <c r="C13" s="18">
        <f>(6335.0/B13*100)</f>
        <v/>
      </c>
      <c r="D13" s="19" t="n">
        <v>826</v>
      </c>
      <c r="E13" s="18" t="n">
        <v>21.18755241</v>
      </c>
      <c r="F13" s="20" t="n">
        <v>1.56494816</v>
      </c>
      <c r="G13" s="18" t="n">
        <v>77.89209566</v>
      </c>
      <c r="H13" s="20" t="n">
        <v>1.50397374</v>
      </c>
      <c r="I13" s="18" t="n">
        <v>0</v>
      </c>
      <c r="J13" s="20" t="n">
        <v>0</v>
      </c>
      <c r="K13" s="18" t="n">
        <v>0.7919931</v>
      </c>
      <c r="L13" s="20" t="n">
        <v>0.35547518</v>
      </c>
      <c r="M13" s="18" t="n">
        <v>0</v>
      </c>
      <c r="N13" s="20" t="n">
        <v>0</v>
      </c>
      <c r="O13" s="18" t="n">
        <v>0</v>
      </c>
      <c r="P13" s="20" t="n">
        <v>0</v>
      </c>
      <c r="Q13" s="18" t="n">
        <v>0.12835883</v>
      </c>
      <c r="R13" s="20" t="n">
        <v>0.08819694</v>
      </c>
    </row>
    <row r="14" spans="1:18">
      <c r="A14" s="15" t="s">
        <v>436</v>
      </c>
      <c r="B14" s="17" t="n">
        <v>5587</v>
      </c>
      <c r="C14" s="18">
        <f>(4903.0/B14*100)</f>
        <v/>
      </c>
      <c r="D14" s="19" t="n">
        <v>684</v>
      </c>
      <c r="E14" s="18" t="n">
        <v>12.80416429</v>
      </c>
      <c r="F14" s="20" t="n">
        <v>1.38069144</v>
      </c>
      <c r="G14" s="18" t="n">
        <v>85.86083348</v>
      </c>
      <c r="H14" s="20" t="n">
        <v>1.53656942</v>
      </c>
      <c r="I14" s="18" t="n">
        <v>0</v>
      </c>
      <c r="J14" s="20" t="n">
        <v>0</v>
      </c>
      <c r="K14" s="18" t="n">
        <v>0.70994106</v>
      </c>
      <c r="L14" s="20" t="n">
        <v>0.31836636</v>
      </c>
      <c r="M14" s="18" t="n">
        <v>0</v>
      </c>
      <c r="N14" s="20" t="n">
        <v>0</v>
      </c>
      <c r="O14" s="18" t="n">
        <v>0</v>
      </c>
      <c r="P14" s="20" t="n">
        <v>0</v>
      </c>
      <c r="Q14" s="18" t="n">
        <v>0.6250611700000001</v>
      </c>
      <c r="R14" s="20" t="n">
        <v>0.47194909</v>
      </c>
    </row>
    <row r="15" spans="1:18">
      <c r="A15" s="15" t="s">
        <v>437</v>
      </c>
      <c r="B15" s="17" t="n">
        <v>5882</v>
      </c>
      <c r="C15" s="18">
        <f>(5172.0/B15*100)</f>
        <v/>
      </c>
      <c r="D15" s="19" t="n">
        <v>710</v>
      </c>
      <c r="E15" s="18" t="n">
        <v>26.39522045</v>
      </c>
      <c r="F15" s="20" t="n">
        <v>1.67395871</v>
      </c>
      <c r="G15" s="18" t="n">
        <v>72.09319241</v>
      </c>
      <c r="H15" s="20" t="n">
        <v>1.65681512</v>
      </c>
      <c r="I15" s="18" t="n">
        <v>0</v>
      </c>
      <c r="J15" s="20" t="n">
        <v>0</v>
      </c>
      <c r="K15" s="18" t="n">
        <v>0.82470649</v>
      </c>
      <c r="L15" s="20" t="n">
        <v>0.33678504</v>
      </c>
      <c r="M15" s="18" t="n">
        <v>0</v>
      </c>
      <c r="N15" s="20" t="n">
        <v>0</v>
      </c>
      <c r="O15" s="18" t="n">
        <v>0</v>
      </c>
      <c r="P15" s="20" t="n">
        <v>0</v>
      </c>
      <c r="Q15" s="18" t="n">
        <v>0.68688066</v>
      </c>
      <c r="R15" s="20" t="n">
        <v>0.29361735</v>
      </c>
    </row>
    <row r="16" spans="1:18">
      <c r="A16" s="15" t="s">
        <v>438</v>
      </c>
      <c r="B16" s="17" t="n">
        <v>6108</v>
      </c>
      <c r="C16" s="18">
        <f>(5371.0/B16*100)</f>
        <v/>
      </c>
      <c r="D16" s="19" t="n">
        <v>737</v>
      </c>
      <c r="E16" s="18" t="n">
        <v>16.72270993</v>
      </c>
      <c r="F16" s="20" t="n">
        <v>1.33863593</v>
      </c>
      <c r="G16" s="18" t="n">
        <v>78.52753810999999</v>
      </c>
      <c r="H16" s="20" t="n">
        <v>1.47948414</v>
      </c>
      <c r="I16" s="18" t="n">
        <v>0</v>
      </c>
      <c r="J16" s="20" t="n">
        <v>0</v>
      </c>
      <c r="K16" s="18" t="n">
        <v>3.68328981</v>
      </c>
      <c r="L16" s="20" t="n">
        <v>0.72081525</v>
      </c>
      <c r="M16" s="18" t="n">
        <v>0</v>
      </c>
      <c r="N16" s="20" t="n">
        <v>0</v>
      </c>
      <c r="O16" s="18" t="n">
        <v>0</v>
      </c>
      <c r="P16" s="20" t="n">
        <v>0</v>
      </c>
      <c r="Q16" s="18" t="n">
        <v>1.06646215</v>
      </c>
      <c r="R16" s="20" t="n">
        <v>0.44397061</v>
      </c>
    </row>
    <row r="17" spans="1:18">
      <c r="A17" s="15" t="s">
        <v>439</v>
      </c>
      <c r="B17" s="17" t="n">
        <v>6504</v>
      </c>
      <c r="C17" s="18">
        <f>(5723.0/B17*100)</f>
        <v/>
      </c>
      <c r="D17" s="19" t="n">
        <v>781</v>
      </c>
      <c r="E17" s="18" t="n">
        <v>17.25896571</v>
      </c>
      <c r="F17" s="20" t="n">
        <v>1.40572534</v>
      </c>
      <c r="G17" s="18" t="n">
        <v>80.96966808000001</v>
      </c>
      <c r="H17" s="20" t="n">
        <v>1.56478795</v>
      </c>
      <c r="I17" s="18" t="n">
        <v>0</v>
      </c>
      <c r="J17" s="20" t="n">
        <v>0</v>
      </c>
      <c r="K17" s="18" t="n">
        <v>0.97936134</v>
      </c>
      <c r="L17" s="20" t="n">
        <v>0.4436624</v>
      </c>
      <c r="M17" s="18" t="n">
        <v>0</v>
      </c>
      <c r="N17" s="20" t="n">
        <v>0</v>
      </c>
      <c r="O17" s="18" t="n">
        <v>0</v>
      </c>
      <c r="P17" s="20" t="n">
        <v>0</v>
      </c>
      <c r="Q17" s="18" t="n">
        <v>0.79200487</v>
      </c>
      <c r="R17" s="20" t="n">
        <v>0.2976696</v>
      </c>
    </row>
    <row r="18" spans="1:18">
      <c r="A18" s="15" t="s">
        <v>440</v>
      </c>
      <c r="B18" s="17" t="n">
        <v>5532</v>
      </c>
      <c r="C18" s="18">
        <f>(4866.0/B18*100)</f>
        <v/>
      </c>
      <c r="D18" s="19" t="n">
        <v>666</v>
      </c>
      <c r="E18" s="18" t="n">
        <v>24.76690007</v>
      </c>
      <c r="F18" s="20" t="n">
        <v>1.95764439</v>
      </c>
      <c r="G18" s="18" t="n">
        <v>73.09286485</v>
      </c>
      <c r="H18" s="20" t="n">
        <v>2.17190903</v>
      </c>
      <c r="I18" s="18" t="n">
        <v>0</v>
      </c>
      <c r="J18" s="20" t="n">
        <v>0</v>
      </c>
      <c r="K18" s="18" t="n">
        <v>1.60232318</v>
      </c>
      <c r="L18" s="20" t="n">
        <v>0.5583270299999999</v>
      </c>
      <c r="M18" s="18" t="n">
        <v>0</v>
      </c>
      <c r="N18" s="20" t="n">
        <v>0</v>
      </c>
      <c r="O18" s="18" t="n">
        <v>0</v>
      </c>
      <c r="P18" s="20" t="n">
        <v>0</v>
      </c>
      <c r="Q18" s="18" t="n">
        <v>0.5379119</v>
      </c>
      <c r="R18" s="20" t="n">
        <v>0.27454749</v>
      </c>
    </row>
    <row r="19" spans="1:18">
      <c r="A19" s="15" t="s">
        <v>441</v>
      </c>
      <c r="B19" s="17" t="n">
        <v>5658</v>
      </c>
      <c r="C19" s="18">
        <f>(4987.0/B19*100)</f>
        <v/>
      </c>
      <c r="D19" s="19" t="n">
        <v>671</v>
      </c>
      <c r="E19" s="18" t="n">
        <v>39.10928347</v>
      </c>
      <c r="F19" s="20" t="n">
        <v>2.12893185</v>
      </c>
      <c r="G19" s="18" t="n">
        <v>60.23087011</v>
      </c>
      <c r="H19" s="20" t="n">
        <v>2.13140604</v>
      </c>
      <c r="I19" s="18" t="n">
        <v>0</v>
      </c>
      <c r="J19" s="20" t="n">
        <v>0</v>
      </c>
      <c r="K19" s="18" t="n">
        <v>0.26198665</v>
      </c>
      <c r="L19" s="20" t="n">
        <v>0.18706897</v>
      </c>
      <c r="M19" s="18" t="n">
        <v>0</v>
      </c>
      <c r="N19" s="20" t="n">
        <v>0</v>
      </c>
      <c r="O19" s="18" t="n">
        <v>0</v>
      </c>
      <c r="P19" s="20" t="n">
        <v>0</v>
      </c>
      <c r="Q19" s="18" t="n">
        <v>0.39785977</v>
      </c>
      <c r="R19" s="20" t="n">
        <v>0.23522845</v>
      </c>
    </row>
    <row r="20" spans="1:18">
      <c r="A20" s="15" t="s">
        <v>442</v>
      </c>
      <c r="B20" s="17" t="n">
        <v>3371</v>
      </c>
      <c r="C20" s="18">
        <f>(2982.0/B20*100)</f>
        <v/>
      </c>
      <c r="D20" s="19" t="n">
        <v>389</v>
      </c>
      <c r="E20" s="18" t="n">
        <v>17.88613722</v>
      </c>
      <c r="F20" s="20" t="n">
        <v>1.96411325</v>
      </c>
      <c r="G20" s="18" t="n">
        <v>79.69715804000001</v>
      </c>
      <c r="H20" s="20" t="n">
        <v>1.95655438</v>
      </c>
      <c r="I20" s="18" t="n">
        <v>0</v>
      </c>
      <c r="J20" s="20" t="n">
        <v>0</v>
      </c>
      <c r="K20" s="18" t="n">
        <v>1.71544751</v>
      </c>
      <c r="L20" s="20" t="n">
        <v>0.64735191</v>
      </c>
      <c r="M20" s="18" t="n">
        <v>0</v>
      </c>
      <c r="N20" s="20" t="n">
        <v>0</v>
      </c>
      <c r="O20" s="18" t="n">
        <v>0</v>
      </c>
      <c r="P20" s="20" t="n">
        <v>0</v>
      </c>
      <c r="Q20" s="18" t="n">
        <v>0.70125724</v>
      </c>
      <c r="R20" s="20" t="n">
        <v>0.23512429</v>
      </c>
    </row>
    <row r="21" spans="1:18">
      <c r="A21" s="15" t="s">
        <v>443</v>
      </c>
      <c r="B21" s="17" t="n">
        <v>5741</v>
      </c>
      <c r="C21" s="18">
        <f>(4803.0/B21*100)</f>
        <v/>
      </c>
      <c r="D21" s="19" t="n">
        <v>938</v>
      </c>
      <c r="E21" s="18" t="n">
        <v>14.25452975</v>
      </c>
      <c r="F21" s="20" t="n">
        <v>1.13805267</v>
      </c>
      <c r="G21" s="18" t="n">
        <v>84.79371552000001</v>
      </c>
      <c r="H21" s="20" t="n">
        <v>1.16007012</v>
      </c>
      <c r="I21" s="18" t="n">
        <v>0</v>
      </c>
      <c r="J21" s="20" t="n">
        <v>0</v>
      </c>
      <c r="K21" s="18" t="n">
        <v>0.85882591</v>
      </c>
      <c r="L21" s="20" t="n">
        <v>0.28379529</v>
      </c>
      <c r="M21" s="18" t="n">
        <v>0</v>
      </c>
      <c r="N21" s="20" t="n">
        <v>0</v>
      </c>
      <c r="O21" s="18" t="n">
        <v>0</v>
      </c>
      <c r="P21" s="20" t="n">
        <v>0</v>
      </c>
      <c r="Q21" s="18" t="n">
        <v>0.09292882</v>
      </c>
      <c r="R21" s="20" t="n">
        <v>0.09322353999999999</v>
      </c>
    </row>
    <row r="22" spans="1:18">
      <c r="A22" s="15" t="s">
        <v>444</v>
      </c>
      <c r="B22" s="17" t="n">
        <v>6598</v>
      </c>
      <c r="C22" s="18">
        <f>(5893.0/B22*100)</f>
        <v/>
      </c>
      <c r="D22" s="19" t="n">
        <v>705</v>
      </c>
      <c r="E22" s="18" t="n">
        <v>17.02434518</v>
      </c>
      <c r="F22" s="20" t="n">
        <v>1.8110196</v>
      </c>
      <c r="G22" s="18" t="n">
        <v>79.72174269</v>
      </c>
      <c r="H22" s="20" t="n">
        <v>1.79898608</v>
      </c>
      <c r="I22" s="18" t="n">
        <v>0</v>
      </c>
      <c r="J22" s="20" t="n">
        <v>0</v>
      </c>
      <c r="K22" s="18" t="n">
        <v>1.84708035</v>
      </c>
      <c r="L22" s="20" t="n">
        <v>0.60365871</v>
      </c>
      <c r="M22" s="18" t="n">
        <v>0</v>
      </c>
      <c r="N22" s="20" t="n">
        <v>0</v>
      </c>
      <c r="O22" s="18" t="n">
        <v>0</v>
      </c>
      <c r="P22" s="20" t="n">
        <v>0</v>
      </c>
      <c r="Q22" s="18" t="n">
        <v>1.40683178</v>
      </c>
      <c r="R22" s="20" t="n">
        <v>0.44466933</v>
      </c>
    </row>
    <row r="23" spans="1:18">
      <c r="A23" s="15" t="s">
        <v>445</v>
      </c>
      <c r="B23" s="17" t="n">
        <v>11583</v>
      </c>
      <c r="C23" s="18">
        <f>(10211.0/B23*100)</f>
        <v/>
      </c>
      <c r="D23" s="19" t="n">
        <v>1372</v>
      </c>
      <c r="E23" s="18" t="n">
        <v>15.73546856</v>
      </c>
      <c r="F23" s="20" t="n">
        <v>1.29304626</v>
      </c>
      <c r="G23" s="18" t="n">
        <v>82.13308005</v>
      </c>
      <c r="H23" s="20" t="n">
        <v>1.48253095</v>
      </c>
      <c r="I23" s="18" t="n">
        <v>0</v>
      </c>
      <c r="J23" s="20" t="n">
        <v>0</v>
      </c>
      <c r="K23" s="18" t="n">
        <v>1.40331258</v>
      </c>
      <c r="L23" s="20" t="n">
        <v>0.39810162</v>
      </c>
      <c r="M23" s="18" t="n">
        <v>0</v>
      </c>
      <c r="N23" s="20" t="n">
        <v>0</v>
      </c>
      <c r="O23" s="18" t="n">
        <v>0</v>
      </c>
      <c r="P23" s="20" t="n">
        <v>0</v>
      </c>
      <c r="Q23" s="18" t="n">
        <v>0.72813882</v>
      </c>
      <c r="R23" s="20" t="n">
        <v>0.32245124</v>
      </c>
    </row>
    <row r="24" spans="1:18">
      <c r="A24" s="15" t="s">
        <v>446</v>
      </c>
      <c r="B24" s="17" t="n">
        <v>6647</v>
      </c>
      <c r="C24" s="18">
        <f>(5859.0/B24*100)</f>
        <v/>
      </c>
      <c r="D24" s="19" t="n">
        <v>788</v>
      </c>
      <c r="E24" s="18" t="n">
        <v>35.27040599</v>
      </c>
      <c r="F24" s="20" t="n">
        <v>1.69906341</v>
      </c>
      <c r="G24" s="18" t="n">
        <v>63.13509477</v>
      </c>
      <c r="H24" s="20" t="n">
        <v>1.7010723</v>
      </c>
      <c r="I24" s="18" t="n">
        <v>0</v>
      </c>
      <c r="J24" s="20" t="n">
        <v>0</v>
      </c>
      <c r="K24" s="18" t="n">
        <v>0.83278858</v>
      </c>
      <c r="L24" s="20" t="n">
        <v>0.35600367</v>
      </c>
      <c r="M24" s="18" t="n">
        <v>0</v>
      </c>
      <c r="N24" s="20" t="n">
        <v>0</v>
      </c>
      <c r="O24" s="18" t="n">
        <v>0</v>
      </c>
      <c r="P24" s="20" t="n">
        <v>0</v>
      </c>
      <c r="Q24" s="18" t="n">
        <v>0.76171067</v>
      </c>
      <c r="R24" s="20" t="n">
        <v>0.30963786</v>
      </c>
    </row>
    <row r="25" spans="1:18">
      <c r="A25" s="15" t="s">
        <v>447</v>
      </c>
      <c r="B25" s="17" t="n">
        <v>5581</v>
      </c>
      <c r="C25" s="18">
        <f>(4886.0/B25*100)</f>
        <v/>
      </c>
      <c r="D25" s="19" t="n">
        <v>695</v>
      </c>
      <c r="E25" s="18" t="n">
        <v>22.8435619</v>
      </c>
      <c r="F25" s="20" t="n">
        <v>1.58987751</v>
      </c>
      <c r="G25" s="18" t="n">
        <v>76.32886584000001</v>
      </c>
      <c r="H25" s="20" t="n">
        <v>1.60404898</v>
      </c>
      <c r="I25" s="18" t="n">
        <v>0</v>
      </c>
      <c r="J25" s="20" t="n">
        <v>0</v>
      </c>
      <c r="K25" s="18" t="n">
        <v>0.29337642</v>
      </c>
      <c r="L25" s="20" t="n">
        <v>0.20628515</v>
      </c>
      <c r="M25" s="18" t="n">
        <v>0</v>
      </c>
      <c r="N25" s="20" t="n">
        <v>0</v>
      </c>
      <c r="O25" s="18" t="n">
        <v>0</v>
      </c>
      <c r="P25" s="20" t="n">
        <v>0</v>
      </c>
      <c r="Q25" s="18" t="n">
        <v>0.53419584</v>
      </c>
      <c r="R25" s="20" t="n">
        <v>0.27050726</v>
      </c>
    </row>
    <row r="26" spans="1:18">
      <c r="A26" s="15" t="s">
        <v>448</v>
      </c>
      <c r="B26" s="17" t="n">
        <v>4869</v>
      </c>
      <c r="C26" s="18">
        <f>(4270.0/B26*100)</f>
        <v/>
      </c>
      <c r="D26" s="19" t="n">
        <v>599</v>
      </c>
      <c r="E26" s="18" t="n">
        <v>14.38106929</v>
      </c>
      <c r="F26" s="20" t="n">
        <v>1.69719655</v>
      </c>
      <c r="G26" s="18" t="n">
        <v>85.30486589</v>
      </c>
      <c r="H26" s="20" t="n">
        <v>1.73971828</v>
      </c>
      <c r="I26" s="18" t="n">
        <v>0</v>
      </c>
      <c r="J26" s="20" t="n">
        <v>0</v>
      </c>
      <c r="K26" s="18" t="n">
        <v>0</v>
      </c>
      <c r="L26" s="20" t="n">
        <v>0</v>
      </c>
      <c r="M26" s="18" t="n">
        <v>0</v>
      </c>
      <c r="N26" s="20" t="n">
        <v>0</v>
      </c>
      <c r="O26" s="18" t="n">
        <v>0</v>
      </c>
      <c r="P26" s="20" t="n">
        <v>0</v>
      </c>
      <c r="Q26" s="18" t="n">
        <v>0.31406482</v>
      </c>
      <c r="R26" s="20" t="n">
        <v>0.22410275</v>
      </c>
    </row>
    <row r="27" spans="1:18">
      <c r="A27" s="15" t="s">
        <v>449</v>
      </c>
      <c r="B27" s="17" t="n">
        <v>5299</v>
      </c>
      <c r="C27" s="18">
        <f>(4653.0/B27*100)</f>
        <v/>
      </c>
      <c r="D27" s="19" t="n">
        <v>646</v>
      </c>
      <c r="E27" s="18" t="n">
        <v>18.30094194</v>
      </c>
      <c r="F27" s="20" t="n">
        <v>1.61290824</v>
      </c>
      <c r="G27" s="18" t="n">
        <v>80.23531422000001</v>
      </c>
      <c r="H27" s="20" t="n">
        <v>1.60804231</v>
      </c>
      <c r="I27" s="18" t="n">
        <v>0</v>
      </c>
      <c r="J27" s="20" t="n">
        <v>0</v>
      </c>
      <c r="K27" s="18" t="n">
        <v>0.61856017</v>
      </c>
      <c r="L27" s="20" t="n">
        <v>0.30626891</v>
      </c>
      <c r="M27" s="18" t="n">
        <v>0</v>
      </c>
      <c r="N27" s="20" t="n">
        <v>0</v>
      </c>
      <c r="O27" s="18" t="n">
        <v>0</v>
      </c>
      <c r="P27" s="20" t="n">
        <v>0</v>
      </c>
      <c r="Q27" s="18" t="n">
        <v>0.8451836700000001</v>
      </c>
      <c r="R27" s="20" t="n">
        <v>0.37070835</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(4751.0/B29*100)</f>
        <v/>
      </c>
      <c r="D29" s="19" t="n">
        <v>634</v>
      </c>
      <c r="E29" s="18" t="n">
        <v>14.77576652</v>
      </c>
      <c r="F29" s="20" t="n">
        <v>1.23125129</v>
      </c>
      <c r="G29" s="18" t="n">
        <v>84.47425867</v>
      </c>
      <c r="H29" s="20" t="n">
        <v>1.16934349</v>
      </c>
      <c r="I29" s="18" t="n">
        <v>0</v>
      </c>
      <c r="J29" s="20" t="n">
        <v>0</v>
      </c>
      <c r="K29" s="18" t="n">
        <v>0.49646884</v>
      </c>
      <c r="L29" s="20" t="n">
        <v>0.28482572</v>
      </c>
      <c r="M29" s="18" t="n">
        <v>0</v>
      </c>
      <c r="N29" s="20" t="n">
        <v>0</v>
      </c>
      <c r="O29" s="18" t="n">
        <v>0</v>
      </c>
      <c r="P29" s="20" t="n">
        <v>0</v>
      </c>
      <c r="Q29" s="18" t="n">
        <v>0.25350597</v>
      </c>
      <c r="R29" s="20" t="n">
        <v>0.18853696</v>
      </c>
    </row>
    <row r="30" spans="1:18">
      <c r="A30" s="15" t="s">
        <v>452</v>
      </c>
      <c r="B30" s="17" t="n">
        <v>4520</v>
      </c>
      <c r="C30" s="18">
        <f>(3968.0/B30*100)</f>
        <v/>
      </c>
      <c r="D30" s="19" t="n">
        <v>552</v>
      </c>
      <c r="E30" s="18" t="n">
        <v>18.754251</v>
      </c>
      <c r="F30" s="20" t="n">
        <v>1.75206842</v>
      </c>
      <c r="G30" s="18" t="n">
        <v>77.87062804</v>
      </c>
      <c r="H30" s="20" t="n">
        <v>1.7731307</v>
      </c>
      <c r="I30" s="18" t="n">
        <v>0</v>
      </c>
      <c r="J30" s="20" t="n">
        <v>0</v>
      </c>
      <c r="K30" s="18" t="n">
        <v>1.13069117</v>
      </c>
      <c r="L30" s="20" t="n">
        <v>0.53594481</v>
      </c>
      <c r="M30" s="18" t="n">
        <v>0</v>
      </c>
      <c r="N30" s="20" t="n">
        <v>0</v>
      </c>
      <c r="O30" s="18" t="n">
        <v>0</v>
      </c>
      <c r="P30" s="20" t="n">
        <v>0</v>
      </c>
      <c r="Q30" s="18" t="n">
        <v>2.24442979</v>
      </c>
      <c r="R30" s="20" t="n">
        <v>0.6596308400000001</v>
      </c>
    </row>
    <row r="31" spans="1:18">
      <c r="A31" s="15" t="s">
        <v>453</v>
      </c>
      <c r="B31" s="17" t="n">
        <v>5456</v>
      </c>
      <c r="C31" s="18">
        <f>(4787.0/B31*100)</f>
        <v/>
      </c>
      <c r="D31" s="19" t="n">
        <v>669</v>
      </c>
      <c r="E31" s="18" t="n">
        <v>22.66636125</v>
      </c>
      <c r="F31" s="20" t="n">
        <v>1.78051779</v>
      </c>
      <c r="G31" s="18" t="n">
        <v>75.16578443</v>
      </c>
      <c r="H31" s="20" t="n">
        <v>1.96480116</v>
      </c>
      <c r="I31" s="18" t="n">
        <v>0</v>
      </c>
      <c r="J31" s="20" t="n">
        <v>0</v>
      </c>
      <c r="K31" s="18" t="n">
        <v>1.73068191</v>
      </c>
      <c r="L31" s="20" t="n">
        <v>0.55143612</v>
      </c>
      <c r="M31" s="18" t="n">
        <v>0</v>
      </c>
      <c r="N31" s="20" t="n">
        <v>0</v>
      </c>
      <c r="O31" s="18" t="n">
        <v>0</v>
      </c>
      <c r="P31" s="20" t="n">
        <v>0</v>
      </c>
      <c r="Q31" s="18" t="n">
        <v>0.43717241</v>
      </c>
      <c r="R31" s="20" t="n">
        <v>0.27818412</v>
      </c>
    </row>
    <row r="32" spans="1:18">
      <c r="A32" s="15" t="s">
        <v>454</v>
      </c>
      <c r="B32" s="17" t="n">
        <v>4478</v>
      </c>
      <c r="C32" s="18">
        <f>(3724.0/B32*100)</f>
        <v/>
      </c>
      <c r="D32" s="19" t="n">
        <v>754</v>
      </c>
      <c r="E32" s="18" t="n">
        <v>13.76425197</v>
      </c>
      <c r="F32" s="20" t="n">
        <v>1.33070696</v>
      </c>
      <c r="G32" s="18" t="n">
        <v>84.86673227</v>
      </c>
      <c r="H32" s="20" t="n">
        <v>1.3672727</v>
      </c>
      <c r="I32" s="18" t="n">
        <v>0</v>
      </c>
      <c r="J32" s="20" t="n">
        <v>0</v>
      </c>
      <c r="K32" s="18" t="n">
        <v>0.84911878</v>
      </c>
      <c r="L32" s="20" t="n">
        <v>0.30934994</v>
      </c>
      <c r="M32" s="18" t="n">
        <v>0</v>
      </c>
      <c r="N32" s="20" t="n">
        <v>0</v>
      </c>
      <c r="O32" s="18" t="n">
        <v>0</v>
      </c>
      <c r="P32" s="20" t="n">
        <v>0</v>
      </c>
      <c r="Q32" s="18" t="n">
        <v>0.51989698</v>
      </c>
      <c r="R32" s="20" t="n">
        <v>0.2740067</v>
      </c>
    </row>
    <row r="33" spans="1:18">
      <c r="A33" s="15" t="s">
        <v>455</v>
      </c>
      <c r="B33" s="17" t="n">
        <v>7325</v>
      </c>
      <c r="C33" s="18">
        <f>(6468.0/B33*100)</f>
        <v/>
      </c>
      <c r="D33" s="19" t="n">
        <v>857</v>
      </c>
      <c r="E33" s="18" t="n">
        <v>11.54914976</v>
      </c>
      <c r="F33" s="20" t="n">
        <v>1.23004255</v>
      </c>
      <c r="G33" s="18" t="n">
        <v>88.02131793</v>
      </c>
      <c r="H33" s="20" t="n">
        <v>1.29496597</v>
      </c>
      <c r="I33" s="18" t="n">
        <v>0</v>
      </c>
      <c r="J33" s="20" t="n">
        <v>0</v>
      </c>
      <c r="K33" s="18" t="n">
        <v>0.22204747</v>
      </c>
      <c r="L33" s="20" t="n">
        <v>0.16182767</v>
      </c>
      <c r="M33" s="18" t="n">
        <v>0</v>
      </c>
      <c r="N33" s="20" t="n">
        <v>0</v>
      </c>
      <c r="O33" s="18" t="n">
        <v>0</v>
      </c>
      <c r="P33" s="20" t="n">
        <v>0</v>
      </c>
      <c r="Q33" s="18" t="n">
        <v>0.20748484</v>
      </c>
      <c r="R33" s="20" t="n">
        <v>0.16839969</v>
      </c>
    </row>
    <row r="34" spans="1:18">
      <c r="A34" s="15" t="s">
        <v>456</v>
      </c>
      <c r="B34" s="17" t="n">
        <v>6350</v>
      </c>
      <c r="C34" s="18">
        <f>(5580.0/B34*100)</f>
        <v/>
      </c>
      <c r="D34" s="19" t="n">
        <v>770</v>
      </c>
      <c r="E34" s="18" t="n">
        <v>28.21175282</v>
      </c>
      <c r="F34" s="20" t="n">
        <v>1.70389663</v>
      </c>
      <c r="G34" s="18" t="n">
        <v>69.8781389</v>
      </c>
      <c r="H34" s="20" t="n">
        <v>1.7185471</v>
      </c>
      <c r="I34" s="18" t="n">
        <v>0</v>
      </c>
      <c r="J34" s="20" t="n">
        <v>0</v>
      </c>
      <c r="K34" s="18" t="n">
        <v>0.86396805</v>
      </c>
      <c r="L34" s="20" t="n">
        <v>0.2982437</v>
      </c>
      <c r="M34" s="18" t="n">
        <v>0</v>
      </c>
      <c r="N34" s="20" t="n">
        <v>0</v>
      </c>
      <c r="O34" s="18" t="n">
        <v>0</v>
      </c>
      <c r="P34" s="20" t="n">
        <v>0</v>
      </c>
      <c r="Q34" s="18" t="n">
        <v>1.04614023</v>
      </c>
      <c r="R34" s="20" t="n">
        <v>0.41461174</v>
      </c>
    </row>
    <row r="35" spans="1:18">
      <c r="A35" s="15" t="s">
        <v>457</v>
      </c>
      <c r="B35" s="17" t="n">
        <v>6406</v>
      </c>
      <c r="C35" s="18">
        <f>(5615.0/B35*100)</f>
        <v/>
      </c>
      <c r="D35" s="19" t="n">
        <v>791</v>
      </c>
      <c r="E35" s="18" t="n">
        <v>14.1587511</v>
      </c>
      <c r="F35" s="20" t="n">
        <v>1.31436714</v>
      </c>
      <c r="G35" s="18" t="n">
        <v>84.81182023</v>
      </c>
      <c r="H35" s="20" t="n">
        <v>1.33408579</v>
      </c>
      <c r="I35" s="18" t="n">
        <v>0</v>
      </c>
      <c r="J35" s="20" t="n">
        <v>0</v>
      </c>
      <c r="K35" s="18" t="n">
        <v>0.6401009</v>
      </c>
      <c r="L35" s="20" t="n">
        <v>0.32949413</v>
      </c>
      <c r="M35" s="18" t="n">
        <v>0</v>
      </c>
      <c r="N35" s="20" t="n">
        <v>0</v>
      </c>
      <c r="O35" s="18" t="n">
        <v>0</v>
      </c>
      <c r="P35" s="20" t="n">
        <v>0</v>
      </c>
      <c r="Q35" s="18" t="n">
        <v>0.38932778</v>
      </c>
      <c r="R35" s="20" t="n">
        <v>0.15794568</v>
      </c>
    </row>
    <row r="36" spans="1:18">
      <c r="A36" s="15" t="s">
        <v>458</v>
      </c>
      <c r="B36" s="17" t="n">
        <v>6736</v>
      </c>
      <c r="C36" s="18">
        <f>(5943.0/B36*100)</f>
        <v/>
      </c>
      <c r="D36" s="19" t="n">
        <v>793</v>
      </c>
      <c r="E36" s="18" t="n">
        <v>17.87240855</v>
      </c>
      <c r="F36" s="20" t="n">
        <v>1.57931991</v>
      </c>
      <c r="G36" s="18" t="n">
        <v>80.96017711</v>
      </c>
      <c r="H36" s="20" t="n">
        <v>1.57000336</v>
      </c>
      <c r="I36" s="18" t="n">
        <v>0</v>
      </c>
      <c r="J36" s="20" t="n">
        <v>0</v>
      </c>
      <c r="K36" s="18" t="n">
        <v>0.63336194</v>
      </c>
      <c r="L36" s="20" t="n">
        <v>0.30421621</v>
      </c>
      <c r="M36" s="18" t="n">
        <v>0</v>
      </c>
      <c r="N36" s="20" t="n">
        <v>0</v>
      </c>
      <c r="O36" s="18" t="n">
        <v>0</v>
      </c>
      <c r="P36" s="20" t="n">
        <v>0</v>
      </c>
      <c r="Q36" s="18" t="n">
        <v>0.5340524</v>
      </c>
      <c r="R36" s="20" t="n">
        <v>0.28781556</v>
      </c>
    </row>
    <row r="37" spans="1:18">
      <c r="A37" s="15" t="s">
        <v>459</v>
      </c>
      <c r="B37" s="17" t="n">
        <v>5458</v>
      </c>
      <c r="C37" s="18">
        <f>(4823.0/B37*100)</f>
        <v/>
      </c>
      <c r="D37" s="19" t="n">
        <v>635</v>
      </c>
      <c r="E37" s="18" t="n">
        <v>18.41600455</v>
      </c>
      <c r="F37" s="20" t="n">
        <v>1.70813953</v>
      </c>
      <c r="G37" s="18" t="n">
        <v>79.23082758</v>
      </c>
      <c r="H37" s="20" t="n">
        <v>1.95546396</v>
      </c>
      <c r="I37" s="18" t="n">
        <v>0</v>
      </c>
      <c r="J37" s="20" t="n">
        <v>0</v>
      </c>
      <c r="K37" s="18" t="n">
        <v>2.02088629</v>
      </c>
      <c r="L37" s="20" t="n">
        <v>0.6119989300000001</v>
      </c>
      <c r="M37" s="18" t="n">
        <v>0</v>
      </c>
      <c r="N37" s="20" t="n">
        <v>0</v>
      </c>
      <c r="O37" s="18" t="n">
        <v>0</v>
      </c>
      <c r="P37" s="20" t="n">
        <v>0</v>
      </c>
      <c r="Q37" s="18" t="n">
        <v>0.33228159</v>
      </c>
      <c r="R37" s="20" t="n">
        <v>0.23597362</v>
      </c>
    </row>
    <row r="38" spans="1:18">
      <c r="A38" s="15" t="s">
        <v>460</v>
      </c>
      <c r="B38" s="17" t="n">
        <v>5860</v>
      </c>
      <c r="C38" s="18">
        <f>(4902.0/B38*100)</f>
        <v/>
      </c>
      <c r="D38" s="19" t="n">
        <v>958</v>
      </c>
      <c r="E38" s="18" t="n">
        <v>18.07805544</v>
      </c>
      <c r="F38" s="20" t="n">
        <v>1.36080434</v>
      </c>
      <c r="G38" s="18" t="n">
        <v>79.35394041000001</v>
      </c>
      <c r="H38" s="20" t="n">
        <v>1.33343453</v>
      </c>
      <c r="I38" s="18" t="n">
        <v>0</v>
      </c>
      <c r="J38" s="20" t="n">
        <v>0</v>
      </c>
      <c r="K38" s="18" t="n">
        <v>1.85496275</v>
      </c>
      <c r="L38" s="20" t="n">
        <v>0.5788892</v>
      </c>
      <c r="M38" s="18" t="n">
        <v>0</v>
      </c>
      <c r="N38" s="20" t="n">
        <v>0</v>
      </c>
      <c r="O38" s="18" t="n">
        <v>0</v>
      </c>
      <c r="P38" s="20" t="n">
        <v>0</v>
      </c>
      <c r="Q38" s="18" t="n">
        <v>0.7130414</v>
      </c>
      <c r="R38" s="20" t="n">
        <v>0.31359629</v>
      </c>
    </row>
    <row r="39" spans="1:18">
      <c r="A39" s="15" t="s">
        <v>461</v>
      </c>
      <c r="B39" s="17" t="n">
        <v>5895</v>
      </c>
      <c r="C39" s="18">
        <f>(5157.0/B39*100)</f>
        <v/>
      </c>
      <c r="D39" s="19" t="n">
        <v>738</v>
      </c>
      <c r="E39" s="18" t="n">
        <v>32.08076644</v>
      </c>
      <c r="F39" s="20" t="n">
        <v>2.0359402</v>
      </c>
      <c r="G39" s="18" t="n">
        <v>66.44286054</v>
      </c>
      <c r="H39" s="20" t="n">
        <v>2.21552521</v>
      </c>
      <c r="I39" s="18" t="n">
        <v>0</v>
      </c>
      <c r="J39" s="20" t="n">
        <v>0</v>
      </c>
      <c r="K39" s="18" t="n">
        <v>0.78204467</v>
      </c>
      <c r="L39" s="20" t="n">
        <v>0.38260555</v>
      </c>
      <c r="M39" s="18" t="n">
        <v>0</v>
      </c>
      <c r="N39" s="20" t="n">
        <v>0</v>
      </c>
      <c r="O39" s="18" t="n">
        <v>0</v>
      </c>
      <c r="P39" s="20" t="n">
        <v>0</v>
      </c>
      <c r="Q39" s="18" t="n">
        <v>0.69432835</v>
      </c>
      <c r="R39" s="20" t="n">
        <v>0.42590512</v>
      </c>
    </row>
    <row r="40" spans="1:18">
      <c r="A40" s="15" t="s">
        <v>462</v>
      </c>
      <c r="B40" s="17" t="n">
        <v>14157</v>
      </c>
      <c r="C40" s="18">
        <f>(12385.0/B40*100)</f>
        <v/>
      </c>
      <c r="D40" s="19" t="n">
        <v>1772</v>
      </c>
      <c r="E40" s="18" t="n">
        <v>16.14958754</v>
      </c>
      <c r="F40" s="20" t="n">
        <v>1.35280439</v>
      </c>
      <c r="G40" s="18" t="n">
        <v>81.79269008</v>
      </c>
      <c r="H40" s="20" t="n">
        <v>1.43433789</v>
      </c>
      <c r="I40" s="18" t="n">
        <v>0</v>
      </c>
      <c r="J40" s="20" t="n">
        <v>0</v>
      </c>
      <c r="K40" s="18" t="n">
        <v>0.96244459</v>
      </c>
      <c r="L40" s="20" t="n">
        <v>0.37603635</v>
      </c>
      <c r="M40" s="18" t="n">
        <v>0</v>
      </c>
      <c r="N40" s="20" t="n">
        <v>0</v>
      </c>
      <c r="O40" s="18" t="n">
        <v>0</v>
      </c>
      <c r="P40" s="20" t="n">
        <v>0</v>
      </c>
      <c r="Q40" s="18" t="n">
        <v>1.09527778</v>
      </c>
      <c r="R40" s="20" t="n">
        <v>0.37273834</v>
      </c>
    </row>
    <row r="41" spans="1:18">
      <c r="A41" s="15" t="s">
        <v>463</v>
      </c>
      <c r="B41" s="17" t="n">
        <v>5712</v>
      </c>
      <c r="C41" s="18">
        <f>(5050.0/B41*100)</f>
        <v/>
      </c>
      <c r="D41" s="19" t="n">
        <v>662</v>
      </c>
      <c r="E41" s="18" t="n">
        <v>22.90413452</v>
      </c>
      <c r="F41" s="20" t="n">
        <v>1.80999099</v>
      </c>
      <c r="G41" s="18" t="n">
        <v>76.41166964</v>
      </c>
      <c r="H41" s="20" t="n">
        <v>1.84031914</v>
      </c>
      <c r="I41" s="18" t="n">
        <v>0</v>
      </c>
      <c r="J41" s="20" t="n">
        <v>0</v>
      </c>
      <c r="K41" s="18" t="n">
        <v>0.40104001</v>
      </c>
      <c r="L41" s="20" t="n">
        <v>0.23754773</v>
      </c>
      <c r="M41" s="18" t="n">
        <v>0</v>
      </c>
      <c r="N41" s="20" t="n">
        <v>0</v>
      </c>
      <c r="O41" s="18" t="n">
        <v>0</v>
      </c>
      <c r="P41" s="20" t="n">
        <v>0</v>
      </c>
      <c r="Q41" s="18" t="n">
        <v>0.28315583</v>
      </c>
      <c r="R41" s="20" t="n">
        <v>0.20388377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(8643.0/B48*100)</f>
        <v/>
      </c>
      <c r="D48" s="19" t="n">
        <v>1198</v>
      </c>
      <c r="E48" s="18" t="n">
        <v>34.7030383</v>
      </c>
      <c r="F48" s="20" t="n">
        <v>2.07088074</v>
      </c>
      <c r="G48" s="18" t="n">
        <v>64.22271213000001</v>
      </c>
      <c r="H48" s="20" t="n">
        <v>2.0237479</v>
      </c>
      <c r="I48" s="18" t="n">
        <v>0</v>
      </c>
      <c r="J48" s="20" t="n">
        <v>0</v>
      </c>
      <c r="K48" s="18" t="n">
        <v>0.84683628</v>
      </c>
      <c r="L48" s="20" t="n">
        <v>0.29758274</v>
      </c>
      <c r="M48" s="18" t="n">
        <v>0</v>
      </c>
      <c r="N48" s="20" t="n">
        <v>0</v>
      </c>
      <c r="O48" s="18" t="n">
        <v>0</v>
      </c>
      <c r="P48" s="20" t="n">
        <v>0</v>
      </c>
      <c r="Q48" s="18" t="n">
        <v>0.22741329</v>
      </c>
      <c r="R48" s="20" t="n">
        <v>0.1589263</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(5099.0/B51*100)</f>
        <v/>
      </c>
      <c r="D51" s="19" t="n">
        <v>710</v>
      </c>
      <c r="E51" s="18" t="n">
        <v>26.45168514</v>
      </c>
      <c r="F51" s="20" t="n">
        <v>1.73334943</v>
      </c>
      <c r="G51" s="18" t="n">
        <v>73.00174306</v>
      </c>
      <c r="H51" s="20" t="n">
        <v>1.71112465</v>
      </c>
      <c r="I51" s="18" t="n">
        <v>0</v>
      </c>
      <c r="J51" s="20" t="n">
        <v>0</v>
      </c>
      <c r="K51" s="18" t="n">
        <v>0.12869476</v>
      </c>
      <c r="L51" s="20" t="n">
        <v>0.12862547</v>
      </c>
      <c r="M51" s="18" t="n">
        <v>0</v>
      </c>
      <c r="N51" s="20" t="n">
        <v>0</v>
      </c>
      <c r="O51" s="18" t="n">
        <v>0</v>
      </c>
      <c r="P51" s="20" t="n">
        <v>0</v>
      </c>
      <c r="Q51" s="18" t="n">
        <v>0.41787703</v>
      </c>
      <c r="R51" s="20" t="n">
        <v>0.24588606</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27.79366427</v>
      </c>
      <c r="F55" s="20" t="n">
        <v>1.80193499</v>
      </c>
      <c r="G55" s="18" t="n">
        <v>71.27941769</v>
      </c>
      <c r="H55" s="20" t="n">
        <v>1.89117715</v>
      </c>
      <c r="I55" s="18" t="n">
        <v>0</v>
      </c>
      <c r="J55" s="20" t="n">
        <v>0</v>
      </c>
      <c r="K55" s="18" t="n">
        <v>0.5293443799999999</v>
      </c>
      <c r="L55" s="20" t="n">
        <v>0.33459949</v>
      </c>
      <c r="M55" s="18" t="n">
        <v>0</v>
      </c>
      <c r="N55" s="20" t="n">
        <v>0</v>
      </c>
      <c r="O55" s="18" t="n">
        <v>0</v>
      </c>
      <c r="P55" s="20" t="n">
        <v>0</v>
      </c>
      <c r="Q55" s="18" t="n">
        <v>0.39757366</v>
      </c>
      <c r="R55" s="20" t="n">
        <v>0.19542036</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(5689.0/B61*100)</f>
        <v/>
      </c>
      <c r="D61" s="19" t="n">
        <v>836</v>
      </c>
      <c r="E61" s="18" t="n">
        <v>34.93050828</v>
      </c>
      <c r="F61" s="20" t="n">
        <v>1.7961125</v>
      </c>
      <c r="G61" s="18" t="n">
        <v>64.13891979</v>
      </c>
      <c r="H61" s="20" t="n">
        <v>1.86482195</v>
      </c>
      <c r="I61" s="18" t="n">
        <v>0</v>
      </c>
      <c r="J61" s="20" t="n">
        <v>0</v>
      </c>
      <c r="K61" s="18" t="n">
        <v>0.38083337</v>
      </c>
      <c r="L61" s="20" t="n">
        <v>0.23011025</v>
      </c>
      <c r="M61" s="18" t="n">
        <v>0</v>
      </c>
      <c r="N61" s="20" t="n">
        <v>0</v>
      </c>
      <c r="O61" s="18" t="n">
        <v>0</v>
      </c>
      <c r="P61" s="20" t="n">
        <v>0</v>
      </c>
      <c r="Q61" s="18" t="n">
        <v>0.54973856</v>
      </c>
      <c r="R61" s="20" t="n">
        <v>0.33538297</v>
      </c>
    </row>
    <row r="62" spans="1:18">
      <c r="A62" s="15" t="s">
        <v>486</v>
      </c>
      <c r="B62" s="17" t="n">
        <v>4476</v>
      </c>
      <c r="C62" s="18">
        <f>(3941.0/B62*100)</f>
        <v/>
      </c>
      <c r="D62" s="19" t="n">
        <v>535</v>
      </c>
      <c r="E62" s="18" t="n">
        <v>32.95495476</v>
      </c>
      <c r="F62" s="20" t="n">
        <v>1.92176178</v>
      </c>
      <c r="G62" s="18" t="n">
        <v>66.29323997</v>
      </c>
      <c r="H62" s="20" t="n">
        <v>1.93732966</v>
      </c>
      <c r="I62" s="18" t="n">
        <v>0</v>
      </c>
      <c r="J62" s="20" t="n">
        <v>0</v>
      </c>
      <c r="K62" s="18" t="n">
        <v>0.37765216</v>
      </c>
      <c r="L62" s="20" t="n">
        <v>0.26869224</v>
      </c>
      <c r="M62" s="18" t="n">
        <v>0</v>
      </c>
      <c r="N62" s="20" t="n">
        <v>0</v>
      </c>
      <c r="O62" s="18" t="n">
        <v>0</v>
      </c>
      <c r="P62" s="20" t="n">
        <v>0</v>
      </c>
      <c r="Q62" s="18" t="n">
        <v>0.37415311</v>
      </c>
      <c r="R62" s="20" t="n">
        <v>0.26299916</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(5023.0/B67*100)</f>
        <v/>
      </c>
      <c r="D67" s="19" t="n">
        <v>642</v>
      </c>
      <c r="E67" s="18" t="n">
        <v>27.48877862</v>
      </c>
      <c r="F67" s="20" t="n">
        <v>1.81465784</v>
      </c>
      <c r="G67" s="18" t="n">
        <v>66.6080618</v>
      </c>
      <c r="H67" s="20" t="n">
        <v>1.79813511</v>
      </c>
      <c r="I67" s="18" t="n">
        <v>0</v>
      </c>
      <c r="J67" s="20" t="n">
        <v>0</v>
      </c>
      <c r="K67" s="18" t="n">
        <v>3.18573295</v>
      </c>
      <c r="L67" s="20" t="n">
        <v>0.71224489</v>
      </c>
      <c r="M67" s="18" t="n">
        <v>0</v>
      </c>
      <c r="N67" s="20" t="n">
        <v>0</v>
      </c>
      <c r="O67" s="18" t="n">
        <v>0</v>
      </c>
      <c r="P67" s="20" t="n">
        <v>0</v>
      </c>
      <c r="Q67" s="18" t="n">
        <v>2.71742663</v>
      </c>
      <c r="R67" s="20" t="n">
        <v>0.64794523</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(5359.0/B72*100)</f>
        <v/>
      </c>
      <c r="D72" s="19" t="n">
        <v>677</v>
      </c>
      <c r="E72" s="18" t="n">
        <v>17.26952068</v>
      </c>
      <c r="F72" s="20" t="n">
        <v>1.82157408</v>
      </c>
      <c r="G72" s="18" t="n">
        <v>81.37588955</v>
      </c>
      <c r="H72" s="20" t="n">
        <v>1.91196368</v>
      </c>
      <c r="I72" s="18" t="n">
        <v>0</v>
      </c>
      <c r="J72" s="20" t="n">
        <v>0</v>
      </c>
      <c r="K72" s="18" t="n">
        <v>1.07977107</v>
      </c>
      <c r="L72" s="20" t="n">
        <v>0.40449607</v>
      </c>
      <c r="M72" s="18" t="n">
        <v>0</v>
      </c>
      <c r="N72" s="20" t="n">
        <v>0</v>
      </c>
      <c r="O72" s="18" t="n">
        <v>0</v>
      </c>
      <c r="P72" s="20" t="n">
        <v>0</v>
      </c>
      <c r="Q72" s="18" t="n">
        <v>0.2748187</v>
      </c>
      <c r="R72" s="20" t="n">
        <v>0.19754805</v>
      </c>
    </row>
    <row r="73" spans="1:18">
      <c r="A73" s="15" t="s">
        <v>497</v>
      </c>
      <c r="B73" s="17" t="n">
        <v>6115</v>
      </c>
      <c r="C73" s="18">
        <f>(5346.0/B73*100)</f>
        <v/>
      </c>
      <c r="D73" s="19" t="n">
        <v>769</v>
      </c>
      <c r="E73" s="18" t="n">
        <v>19.59223672</v>
      </c>
      <c r="F73" s="20" t="n">
        <v>1.47839578</v>
      </c>
      <c r="G73" s="18" t="n">
        <v>79.12339331</v>
      </c>
      <c r="H73" s="20" t="n">
        <v>1.52892791</v>
      </c>
      <c r="I73" s="18" t="n">
        <v>0</v>
      </c>
      <c r="J73" s="20" t="n">
        <v>0</v>
      </c>
      <c r="K73" s="18" t="n">
        <v>1.18121045</v>
      </c>
      <c r="L73" s="20" t="n">
        <v>0.33589577</v>
      </c>
      <c r="M73" s="18" t="n">
        <v>0</v>
      </c>
      <c r="N73" s="20" t="n">
        <v>0</v>
      </c>
      <c r="O73" s="18" t="n">
        <v>0</v>
      </c>
      <c r="P73" s="20" t="n">
        <v>0</v>
      </c>
      <c r="Q73" s="18" t="n">
        <v>0.10315951</v>
      </c>
      <c r="R73" s="20" t="n">
        <v>0.10369309</v>
      </c>
    </row>
    <row r="74" spans="1:18">
      <c r="A74" s="15" t="s">
        <v>498</v>
      </c>
      <c r="B74" s="17" t="n">
        <v>7708</v>
      </c>
      <c r="C74" s="18">
        <f>(6752.0/B74*100)</f>
        <v/>
      </c>
      <c r="D74" s="19" t="n">
        <v>956</v>
      </c>
      <c r="E74" s="18" t="n">
        <v>26.60616525</v>
      </c>
      <c r="F74" s="20" t="n">
        <v>1.44630481</v>
      </c>
      <c r="G74" s="18" t="n">
        <v>72.88039904</v>
      </c>
      <c r="H74" s="20" t="n">
        <v>1.44919742</v>
      </c>
      <c r="I74" s="18" t="n">
        <v>0</v>
      </c>
      <c r="J74" s="20" t="n">
        <v>0</v>
      </c>
      <c r="K74" s="18" t="n">
        <v>0.33693599</v>
      </c>
      <c r="L74" s="20" t="n">
        <v>0.15859733</v>
      </c>
      <c r="M74" s="18" t="n">
        <v>0</v>
      </c>
      <c r="N74" s="20" t="n">
        <v>0</v>
      </c>
      <c r="O74" s="18" t="n">
        <v>0</v>
      </c>
      <c r="P74" s="20" t="n">
        <v>0</v>
      </c>
      <c r="Q74" s="18" t="n">
        <v>0.17649972</v>
      </c>
      <c r="R74" s="20" t="n">
        <v>0.12857199</v>
      </c>
    </row>
    <row r="75" spans="1:18">
      <c r="A75" s="15" t="s">
        <v>499</v>
      </c>
      <c r="B75" s="17" t="n">
        <v>8249</v>
      </c>
      <c r="C75" s="18">
        <f>(7295.0/B75*100)</f>
        <v/>
      </c>
      <c r="D75" s="19" t="n">
        <v>954</v>
      </c>
      <c r="E75" s="18" t="n">
        <v>52.41886764</v>
      </c>
      <c r="F75" s="20" t="n">
        <v>1.81806823</v>
      </c>
      <c r="G75" s="18" t="n">
        <v>47.05730987</v>
      </c>
      <c r="H75" s="20" t="n">
        <v>1.80908112</v>
      </c>
      <c r="I75" s="18" t="n">
        <v>0</v>
      </c>
      <c r="J75" s="20" t="n">
        <v>0</v>
      </c>
      <c r="K75" s="18" t="n">
        <v>0.34939738</v>
      </c>
      <c r="L75" s="20" t="n">
        <v>0.30914194</v>
      </c>
      <c r="M75" s="18" t="n">
        <v>0</v>
      </c>
      <c r="N75" s="20" t="n">
        <v>0</v>
      </c>
      <c r="O75" s="18" t="n">
        <v>0</v>
      </c>
      <c r="P75" s="20" t="n">
        <v>0</v>
      </c>
      <c r="Q75" s="18" t="n">
        <v>0.1744251</v>
      </c>
      <c r="R75" s="20" t="n">
        <v>0.15230083</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(28510.0/B82*100)</f>
        <v/>
      </c>
      <c r="D82" s="19" t="n">
        <v>3820</v>
      </c>
      <c r="E82" s="18" t="n">
        <v>16.04785611</v>
      </c>
      <c r="F82" s="20" t="n">
        <v>0.8393039</v>
      </c>
      <c r="G82" s="18" t="n">
        <v>82.72620757</v>
      </c>
      <c r="H82" s="20" t="n">
        <v>0.84057103</v>
      </c>
      <c r="I82" s="18" t="n">
        <v>0</v>
      </c>
      <c r="J82" s="20" t="n">
        <v>0</v>
      </c>
      <c r="K82" s="18" t="n">
        <v>0.68503842</v>
      </c>
      <c r="L82" s="20" t="n">
        <v>0.21525771</v>
      </c>
      <c r="M82" s="18" t="n">
        <v>0</v>
      </c>
      <c r="N82" s="20" t="n">
        <v>0</v>
      </c>
      <c r="O82" s="18" t="n">
        <v>0</v>
      </c>
      <c r="P82" s="20" t="n">
        <v>0</v>
      </c>
      <c r="Q82" s="18" t="n">
        <v>0.5408979</v>
      </c>
      <c r="R82" s="20" t="n">
        <v>0.14522316</v>
      </c>
    </row>
    <row r="83" spans="1:18">
      <c r="A83" s="15" t="s">
        <v>507</v>
      </c>
      <c r="B83" s="17" t="n">
        <v>1652</v>
      </c>
      <c r="C83" s="18">
        <f>(1471.0/B83*100)</f>
        <v/>
      </c>
      <c r="D83" s="19" t="n">
        <v>181</v>
      </c>
      <c r="E83" s="18" t="n">
        <v>12.5732577</v>
      </c>
      <c r="F83" s="20" t="n">
        <v>1.98079748</v>
      </c>
      <c r="G83" s="18" t="n">
        <v>86.94413342</v>
      </c>
      <c r="H83" s="20" t="n">
        <v>2.11395668</v>
      </c>
      <c r="I83" s="18" t="n">
        <v>0</v>
      </c>
      <c r="J83" s="20" t="n">
        <v>0</v>
      </c>
      <c r="K83" s="18" t="n">
        <v>0</v>
      </c>
      <c r="L83" s="20" t="n">
        <v>0</v>
      </c>
      <c r="M83" s="18" t="n">
        <v>0</v>
      </c>
      <c r="N83" s="20" t="n">
        <v>0</v>
      </c>
      <c r="O83" s="18" t="n">
        <v>0</v>
      </c>
      <c r="P83" s="20" t="n">
        <v>0</v>
      </c>
      <c r="Q83" s="18" t="n">
        <v>0.48260887</v>
      </c>
      <c r="R83" s="20" t="n">
        <v>0.48018021</v>
      </c>
    </row>
    <row r="84" spans="1:18">
      <c r="A84" s="23" t="s">
        <v>508</v>
      </c>
      <c r="B84" s="24" t="n">
        <v>1887</v>
      </c>
      <c r="C84" s="25">
        <f>(1664.0/B84*100)</f>
        <v/>
      </c>
      <c r="D84" s="19" t="n">
        <v>223</v>
      </c>
      <c r="E84" s="18" t="n">
        <v>19.56906202</v>
      </c>
      <c r="F84" s="20" t="n">
        <v>2.9493256</v>
      </c>
      <c r="G84" s="18" t="n">
        <v>80.10623393</v>
      </c>
      <c r="H84" s="20" t="n">
        <v>2.99053053</v>
      </c>
      <c r="I84" s="18" t="n">
        <v>0</v>
      </c>
      <c r="J84" s="20" t="n">
        <v>0</v>
      </c>
      <c r="K84" s="18" t="n">
        <v>0</v>
      </c>
      <c r="L84" s="20" t="n">
        <v>0</v>
      </c>
      <c r="M84" s="18" t="n">
        <v>0</v>
      </c>
      <c r="N84" s="20" t="n">
        <v>0</v>
      </c>
      <c r="O84" s="18" t="n">
        <v>0</v>
      </c>
      <c r="P84" s="20" t="n">
        <v>0</v>
      </c>
      <c r="Q84" s="18" t="n">
        <v>0.32470405</v>
      </c>
      <c r="R84" s="20" t="n">
        <v>0.32330868</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(12742.0/B7*100)</f>
        <v/>
      </c>
      <c r="D7" s="19" t="n">
        <v>1788</v>
      </c>
      <c r="E7" s="18" t="n">
        <v>53.72928983</v>
      </c>
      <c r="F7" s="20" t="n">
        <v>1.23621498</v>
      </c>
      <c r="G7" s="18" t="n">
        <v>45.06874889</v>
      </c>
      <c r="H7" s="20" t="n">
        <v>1.19693052</v>
      </c>
      <c r="I7" s="18" t="n">
        <v>0</v>
      </c>
      <c r="J7" s="20" t="n">
        <v>0</v>
      </c>
      <c r="K7" s="18" t="n">
        <v>1.20196127</v>
      </c>
      <c r="L7" s="20" t="n">
        <v>0.27869554</v>
      </c>
      <c r="M7" s="18" t="n">
        <v>0</v>
      </c>
      <c r="N7" s="20" t="n">
        <v>0</v>
      </c>
      <c r="O7" s="18" t="n">
        <v>0</v>
      </c>
      <c r="P7" s="20" t="n">
        <v>0</v>
      </c>
      <c r="Q7" s="18" t="n">
        <v>0</v>
      </c>
      <c r="R7" s="20" t="n">
        <v>0</v>
      </c>
    </row>
    <row r="8" spans="1:18">
      <c r="A8" s="15" t="s">
        <v>430</v>
      </c>
      <c r="B8" s="17" t="n">
        <v>7007</v>
      </c>
      <c r="C8" s="18">
        <f>(6165.0/B8*100)</f>
        <v/>
      </c>
      <c r="D8" s="19" t="n">
        <v>842</v>
      </c>
      <c r="E8" s="18" t="n">
        <v>53.98562486</v>
      </c>
      <c r="F8" s="20" t="n">
        <v>1.60812586</v>
      </c>
      <c r="G8" s="18" t="n">
        <v>44.43516069</v>
      </c>
      <c r="H8" s="20" t="n">
        <v>1.70707701</v>
      </c>
      <c r="I8" s="18" t="n">
        <v>0</v>
      </c>
      <c r="J8" s="20" t="n">
        <v>0</v>
      </c>
      <c r="K8" s="18" t="n">
        <v>1.57921445</v>
      </c>
      <c r="L8" s="20" t="n">
        <v>0.47770683</v>
      </c>
      <c r="M8" s="18" t="n">
        <v>0</v>
      </c>
      <c r="N8" s="20" t="n">
        <v>0</v>
      </c>
      <c r="O8" s="18" t="n">
        <v>0</v>
      </c>
      <c r="P8" s="20" t="n">
        <v>0</v>
      </c>
      <c r="Q8" s="18" t="n">
        <v>0</v>
      </c>
      <c r="R8" s="20" t="n">
        <v>0</v>
      </c>
    </row>
    <row r="9" spans="1:18">
      <c r="A9" s="15" t="s">
        <v>431</v>
      </c>
      <c r="B9" s="17" t="n">
        <v>9651</v>
      </c>
      <c r="C9" s="18">
        <f>(8511.0/B9*100)</f>
        <v/>
      </c>
      <c r="D9" s="19" t="n">
        <v>1140</v>
      </c>
      <c r="E9" s="18" t="n">
        <v>58.16821068</v>
      </c>
      <c r="F9" s="20" t="n">
        <v>1.87177552</v>
      </c>
      <c r="G9" s="18" t="n">
        <v>39.63310922</v>
      </c>
      <c r="H9" s="20" t="n">
        <v>1.8735291</v>
      </c>
      <c r="I9" s="18" t="n">
        <v>0</v>
      </c>
      <c r="J9" s="20" t="n">
        <v>0</v>
      </c>
      <c r="K9" s="18" t="n">
        <v>2.19868009</v>
      </c>
      <c r="L9" s="20" t="n">
        <v>0.5367539</v>
      </c>
      <c r="M9" s="18" t="n">
        <v>0</v>
      </c>
      <c r="N9" s="20" t="n">
        <v>0</v>
      </c>
      <c r="O9" s="18" t="n">
        <v>0</v>
      </c>
      <c r="P9" s="20" t="n">
        <v>0</v>
      </c>
      <c r="Q9" s="18" t="n">
        <v>0</v>
      </c>
      <c r="R9" s="20" t="n">
        <v>0</v>
      </c>
    </row>
    <row r="10" spans="1:18">
      <c r="A10" s="15" t="s">
        <v>432</v>
      </c>
      <c r="B10" s="17" t="n">
        <v>20058</v>
      </c>
      <c r="C10" s="18">
        <f>(17648.0/B10*100)</f>
        <v/>
      </c>
      <c r="D10" s="19" t="n">
        <v>2410</v>
      </c>
      <c r="E10" s="18" t="n">
        <v>52.20968153</v>
      </c>
      <c r="F10" s="20" t="n">
        <v>1.41117024</v>
      </c>
      <c r="G10" s="18" t="n">
        <v>46.22529762</v>
      </c>
      <c r="H10" s="20" t="n">
        <v>1.41572058</v>
      </c>
      <c r="I10" s="18" t="n">
        <v>0</v>
      </c>
      <c r="J10" s="20" t="n">
        <v>0</v>
      </c>
      <c r="K10" s="18" t="n">
        <v>1.56502086</v>
      </c>
      <c r="L10" s="20" t="n">
        <v>0.34718842</v>
      </c>
      <c r="M10" s="18" t="n">
        <v>0</v>
      </c>
      <c r="N10" s="20" t="n">
        <v>0</v>
      </c>
      <c r="O10" s="18" t="n">
        <v>0</v>
      </c>
      <c r="P10" s="20" t="n">
        <v>0</v>
      </c>
      <c r="Q10" s="18" t="n">
        <v>0</v>
      </c>
      <c r="R10" s="20" t="n">
        <v>0</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(6070.0/B12*100)</f>
        <v/>
      </c>
      <c r="D12" s="19" t="n">
        <v>824</v>
      </c>
      <c r="E12" s="18" t="n">
        <v>66.93092537</v>
      </c>
      <c r="F12" s="20" t="n">
        <v>1.79427665</v>
      </c>
      <c r="G12" s="18" t="n">
        <v>32.40289293</v>
      </c>
      <c r="H12" s="20" t="n">
        <v>1.80007035</v>
      </c>
      <c r="I12" s="18" t="n">
        <v>0</v>
      </c>
      <c r="J12" s="20" t="n">
        <v>0</v>
      </c>
      <c r="K12" s="18" t="n">
        <v>0.6661817</v>
      </c>
      <c r="L12" s="20" t="n">
        <v>0.23560325</v>
      </c>
      <c r="M12" s="18" t="n">
        <v>0</v>
      </c>
      <c r="N12" s="20" t="n">
        <v>0</v>
      </c>
      <c r="O12" s="18" t="n">
        <v>0</v>
      </c>
      <c r="P12" s="20" t="n">
        <v>0</v>
      </c>
      <c r="Q12" s="18" t="n">
        <v>0</v>
      </c>
      <c r="R12" s="20" t="n">
        <v>0</v>
      </c>
    </row>
    <row r="13" spans="1:18">
      <c r="A13" s="15" t="s">
        <v>435</v>
      </c>
      <c r="B13" s="17" t="n">
        <v>7161</v>
      </c>
      <c r="C13" s="18">
        <f>(6336.0/B13*100)</f>
        <v/>
      </c>
      <c r="D13" s="19" t="n">
        <v>825</v>
      </c>
      <c r="E13" s="18" t="n">
        <v>49.33929961</v>
      </c>
      <c r="F13" s="20" t="n">
        <v>1.86473921</v>
      </c>
      <c r="G13" s="18" t="n">
        <v>49.43286609</v>
      </c>
      <c r="H13" s="20" t="n">
        <v>1.94652863</v>
      </c>
      <c r="I13" s="18" t="n">
        <v>0</v>
      </c>
      <c r="J13" s="20" t="n">
        <v>0</v>
      </c>
      <c r="K13" s="18" t="n">
        <v>1.2278343</v>
      </c>
      <c r="L13" s="20" t="n">
        <v>0.41876096</v>
      </c>
      <c r="M13" s="18" t="n">
        <v>0</v>
      </c>
      <c r="N13" s="20" t="n">
        <v>0</v>
      </c>
      <c r="O13" s="18" t="n">
        <v>0</v>
      </c>
      <c r="P13" s="20" t="n">
        <v>0</v>
      </c>
      <c r="Q13" s="18" t="n">
        <v>0</v>
      </c>
      <c r="R13" s="20" t="n">
        <v>0</v>
      </c>
    </row>
    <row r="14" spans="1:18">
      <c r="A14" s="15" t="s">
        <v>436</v>
      </c>
      <c r="B14" s="17" t="n">
        <v>5587</v>
      </c>
      <c r="C14" s="18">
        <f>(4905.0/B14*100)</f>
        <v/>
      </c>
      <c r="D14" s="19" t="n">
        <v>682</v>
      </c>
      <c r="E14" s="18" t="n">
        <v>46.00620745</v>
      </c>
      <c r="F14" s="20" t="n">
        <v>2.0368654</v>
      </c>
      <c r="G14" s="18" t="n">
        <v>53.28195734</v>
      </c>
      <c r="H14" s="20" t="n">
        <v>2.05682616</v>
      </c>
      <c r="I14" s="18" t="n">
        <v>0</v>
      </c>
      <c r="J14" s="20" t="n">
        <v>0</v>
      </c>
      <c r="K14" s="18" t="n">
        <v>0.7118352100000001</v>
      </c>
      <c r="L14" s="20" t="n">
        <v>0.31920373</v>
      </c>
      <c r="M14" s="18" t="n">
        <v>0</v>
      </c>
      <c r="N14" s="20" t="n">
        <v>0</v>
      </c>
      <c r="O14" s="18" t="n">
        <v>0</v>
      </c>
      <c r="P14" s="20" t="n">
        <v>0</v>
      </c>
      <c r="Q14" s="18" t="n">
        <v>0</v>
      </c>
      <c r="R14" s="20" t="n">
        <v>0</v>
      </c>
    </row>
    <row r="15" spans="1:18">
      <c r="A15" s="15" t="s">
        <v>437</v>
      </c>
      <c r="B15" s="17" t="n">
        <v>5882</v>
      </c>
      <c r="C15" s="18">
        <f>(5173.0/B15*100)</f>
        <v/>
      </c>
      <c r="D15" s="19" t="n">
        <v>709</v>
      </c>
      <c r="E15" s="18" t="n">
        <v>36.24239221</v>
      </c>
      <c r="F15" s="20" t="n">
        <v>1.91671143</v>
      </c>
      <c r="G15" s="18" t="n">
        <v>62.23645944</v>
      </c>
      <c r="H15" s="20" t="n">
        <v>1.98269845</v>
      </c>
      <c r="I15" s="18" t="n">
        <v>0</v>
      </c>
      <c r="J15" s="20" t="n">
        <v>0</v>
      </c>
      <c r="K15" s="18" t="n">
        <v>1.52114835</v>
      </c>
      <c r="L15" s="20" t="n">
        <v>0.56539004</v>
      </c>
      <c r="M15" s="18" t="n">
        <v>0</v>
      </c>
      <c r="N15" s="20" t="n">
        <v>0</v>
      </c>
      <c r="O15" s="18" t="n">
        <v>0</v>
      </c>
      <c r="P15" s="20" t="n">
        <v>0</v>
      </c>
      <c r="Q15" s="18" t="n">
        <v>0</v>
      </c>
      <c r="R15" s="20" t="n">
        <v>0</v>
      </c>
    </row>
    <row r="16" spans="1:18">
      <c r="A16" s="15" t="s">
        <v>438</v>
      </c>
      <c r="B16" s="17" t="n">
        <v>6108</v>
      </c>
      <c r="C16" s="18">
        <f>(5371.0/B16*100)</f>
        <v/>
      </c>
      <c r="D16" s="19" t="n">
        <v>737</v>
      </c>
      <c r="E16" s="18" t="n">
        <v>53.10529329</v>
      </c>
      <c r="F16" s="20" t="n">
        <v>1.74442773</v>
      </c>
      <c r="G16" s="18" t="n">
        <v>42.31184991</v>
      </c>
      <c r="H16" s="20" t="n">
        <v>1.72330117</v>
      </c>
      <c r="I16" s="18" t="n">
        <v>0</v>
      </c>
      <c r="J16" s="20" t="n">
        <v>0</v>
      </c>
      <c r="K16" s="18" t="n">
        <v>4.5828568</v>
      </c>
      <c r="L16" s="20" t="n">
        <v>0.88276869</v>
      </c>
      <c r="M16" s="18" t="n">
        <v>0</v>
      </c>
      <c r="N16" s="20" t="n">
        <v>0</v>
      </c>
      <c r="O16" s="18" t="n">
        <v>0</v>
      </c>
      <c r="P16" s="20" t="n">
        <v>0</v>
      </c>
      <c r="Q16" s="18" t="n">
        <v>0</v>
      </c>
      <c r="R16" s="20" t="n">
        <v>0</v>
      </c>
    </row>
    <row r="17" spans="1:18">
      <c r="A17" s="15" t="s">
        <v>439</v>
      </c>
      <c r="B17" s="17" t="n">
        <v>6504</v>
      </c>
      <c r="C17" s="18">
        <f>(5724.0/B17*100)</f>
        <v/>
      </c>
      <c r="D17" s="19" t="n">
        <v>780</v>
      </c>
      <c r="E17" s="18" t="n">
        <v>49.21915453</v>
      </c>
      <c r="F17" s="20" t="n">
        <v>1.7038692</v>
      </c>
      <c r="G17" s="18" t="n">
        <v>49.50707393</v>
      </c>
      <c r="H17" s="20" t="n">
        <v>1.70923269</v>
      </c>
      <c r="I17" s="18" t="n">
        <v>0</v>
      </c>
      <c r="J17" s="20" t="n">
        <v>0</v>
      </c>
      <c r="K17" s="18" t="n">
        <v>1.27377153</v>
      </c>
      <c r="L17" s="20" t="n">
        <v>0.47370577</v>
      </c>
      <c r="M17" s="18" t="n">
        <v>0</v>
      </c>
      <c r="N17" s="20" t="n">
        <v>0</v>
      </c>
      <c r="O17" s="18" t="n">
        <v>0</v>
      </c>
      <c r="P17" s="20" t="n">
        <v>0</v>
      </c>
      <c r="Q17" s="18" t="n">
        <v>0</v>
      </c>
      <c r="R17" s="20" t="n">
        <v>0</v>
      </c>
    </row>
    <row r="18" spans="1:18">
      <c r="A18" s="15" t="s">
        <v>440</v>
      </c>
      <c r="B18" s="17" t="n">
        <v>5532</v>
      </c>
      <c r="C18" s="18">
        <f>(4866.0/B18*100)</f>
        <v/>
      </c>
      <c r="D18" s="19" t="n">
        <v>666</v>
      </c>
      <c r="E18" s="18" t="n">
        <v>61.24532209</v>
      </c>
      <c r="F18" s="20" t="n">
        <v>1.91662537</v>
      </c>
      <c r="G18" s="18" t="n">
        <v>36.72952884</v>
      </c>
      <c r="H18" s="20" t="n">
        <v>1.85161502</v>
      </c>
      <c r="I18" s="18" t="n">
        <v>0</v>
      </c>
      <c r="J18" s="20" t="n">
        <v>0</v>
      </c>
      <c r="K18" s="18" t="n">
        <v>2.02514907</v>
      </c>
      <c r="L18" s="20" t="n">
        <v>0.6082382200000001</v>
      </c>
      <c r="M18" s="18" t="n">
        <v>0</v>
      </c>
      <c r="N18" s="20" t="n">
        <v>0</v>
      </c>
      <c r="O18" s="18" t="n">
        <v>0</v>
      </c>
      <c r="P18" s="20" t="n">
        <v>0</v>
      </c>
      <c r="Q18" s="18" t="n">
        <v>0</v>
      </c>
      <c r="R18" s="20" t="n">
        <v>0</v>
      </c>
    </row>
    <row r="19" spans="1:18">
      <c r="A19" s="15" t="s">
        <v>441</v>
      </c>
      <c r="B19" s="17" t="n">
        <v>5658</v>
      </c>
      <c r="C19" s="18">
        <f>(4989.0/B19*100)</f>
        <v/>
      </c>
      <c r="D19" s="19" t="n">
        <v>669</v>
      </c>
      <c r="E19" s="18" t="n">
        <v>46.64740172</v>
      </c>
      <c r="F19" s="20" t="n">
        <v>2.09199228</v>
      </c>
      <c r="G19" s="18" t="n">
        <v>52.80485661</v>
      </c>
      <c r="H19" s="20" t="n">
        <v>2.05327762</v>
      </c>
      <c r="I19" s="18" t="n">
        <v>0</v>
      </c>
      <c r="J19" s="20" t="n">
        <v>0</v>
      </c>
      <c r="K19" s="18" t="n">
        <v>0.54774167</v>
      </c>
      <c r="L19" s="20" t="n">
        <v>0.27874831</v>
      </c>
      <c r="M19" s="18" t="n">
        <v>0</v>
      </c>
      <c r="N19" s="20" t="n">
        <v>0</v>
      </c>
      <c r="O19" s="18" t="n">
        <v>0</v>
      </c>
      <c r="P19" s="20" t="n">
        <v>0</v>
      </c>
      <c r="Q19" s="18" t="n">
        <v>0</v>
      </c>
      <c r="R19" s="20" t="n">
        <v>0</v>
      </c>
    </row>
    <row r="20" spans="1:18">
      <c r="A20" s="15" t="s">
        <v>442</v>
      </c>
      <c r="B20" s="17" t="n">
        <v>3371</v>
      </c>
      <c r="C20" s="18">
        <f>(2982.0/B20*100)</f>
        <v/>
      </c>
      <c r="D20" s="19" t="n">
        <v>389</v>
      </c>
      <c r="E20" s="18" t="n">
        <v>63.00306244</v>
      </c>
      <c r="F20" s="20" t="n">
        <v>2.47469211</v>
      </c>
      <c r="G20" s="18" t="n">
        <v>34.8268606</v>
      </c>
      <c r="H20" s="20" t="n">
        <v>2.45750364</v>
      </c>
      <c r="I20" s="18" t="n">
        <v>0</v>
      </c>
      <c r="J20" s="20" t="n">
        <v>0</v>
      </c>
      <c r="K20" s="18" t="n">
        <v>2.17007696</v>
      </c>
      <c r="L20" s="20" t="n">
        <v>0.72811573</v>
      </c>
      <c r="M20" s="18" t="n">
        <v>0</v>
      </c>
      <c r="N20" s="20" t="n">
        <v>0</v>
      </c>
      <c r="O20" s="18" t="n">
        <v>0</v>
      </c>
      <c r="P20" s="20" t="n">
        <v>0</v>
      </c>
      <c r="Q20" s="18" t="n">
        <v>0</v>
      </c>
      <c r="R20" s="20" t="n">
        <v>0</v>
      </c>
    </row>
    <row r="21" spans="1:18">
      <c r="A21" s="15" t="s">
        <v>443</v>
      </c>
      <c r="B21" s="17" t="n">
        <v>5741</v>
      </c>
      <c r="C21" s="18">
        <f>(4806.0/B21*100)</f>
        <v/>
      </c>
      <c r="D21" s="19" t="n">
        <v>935</v>
      </c>
      <c r="E21" s="18" t="n">
        <v>56.24001387</v>
      </c>
      <c r="F21" s="20" t="n">
        <v>1.50726168</v>
      </c>
      <c r="G21" s="18" t="n">
        <v>42.78692872</v>
      </c>
      <c r="H21" s="20" t="n">
        <v>1.48503446</v>
      </c>
      <c r="I21" s="18" t="n">
        <v>0</v>
      </c>
      <c r="J21" s="20" t="n">
        <v>0</v>
      </c>
      <c r="K21" s="18" t="n">
        <v>0.9730574</v>
      </c>
      <c r="L21" s="20" t="n">
        <v>0.3051981</v>
      </c>
      <c r="M21" s="18" t="n">
        <v>0</v>
      </c>
      <c r="N21" s="20" t="n">
        <v>0</v>
      </c>
      <c r="O21" s="18" t="n">
        <v>0</v>
      </c>
      <c r="P21" s="20" t="n">
        <v>0</v>
      </c>
      <c r="Q21" s="18" t="n">
        <v>0</v>
      </c>
      <c r="R21" s="20" t="n">
        <v>0</v>
      </c>
    </row>
    <row r="22" spans="1:18">
      <c r="A22" s="15" t="s">
        <v>444</v>
      </c>
      <c r="B22" s="17" t="n">
        <v>6598</v>
      </c>
      <c r="C22" s="18">
        <f>(5894.0/B22*100)</f>
        <v/>
      </c>
      <c r="D22" s="19" t="n">
        <v>704</v>
      </c>
      <c r="E22" s="18" t="n">
        <v>62.93596613</v>
      </c>
      <c r="F22" s="20" t="n">
        <v>2.17826007</v>
      </c>
      <c r="G22" s="18" t="n">
        <v>34.08748235</v>
      </c>
      <c r="H22" s="20" t="n">
        <v>2.12952822</v>
      </c>
      <c r="I22" s="18" t="n">
        <v>0</v>
      </c>
      <c r="J22" s="20" t="n">
        <v>0</v>
      </c>
      <c r="K22" s="18" t="n">
        <v>2.97655152</v>
      </c>
      <c r="L22" s="20" t="n">
        <v>0.74632375</v>
      </c>
      <c r="M22" s="18" t="n">
        <v>0</v>
      </c>
      <c r="N22" s="20" t="n">
        <v>0</v>
      </c>
      <c r="O22" s="18" t="n">
        <v>0</v>
      </c>
      <c r="P22" s="20" t="n">
        <v>0</v>
      </c>
      <c r="Q22" s="18" t="n">
        <v>0</v>
      </c>
      <c r="R22" s="20" t="n">
        <v>0</v>
      </c>
    </row>
    <row r="23" spans="1:18">
      <c r="A23" s="15" t="s">
        <v>445</v>
      </c>
      <c r="B23" s="17" t="n">
        <v>11583</v>
      </c>
      <c r="C23" s="18">
        <f>(10211.0/B23*100)</f>
        <v/>
      </c>
      <c r="D23" s="19" t="n">
        <v>1372</v>
      </c>
      <c r="E23" s="18" t="n">
        <v>61.80257193</v>
      </c>
      <c r="F23" s="20" t="n">
        <v>1.71491288</v>
      </c>
      <c r="G23" s="18" t="n">
        <v>36.21278002</v>
      </c>
      <c r="H23" s="20" t="n">
        <v>1.7527074</v>
      </c>
      <c r="I23" s="18" t="n">
        <v>0</v>
      </c>
      <c r="J23" s="20" t="n">
        <v>0</v>
      </c>
      <c r="K23" s="18" t="n">
        <v>1.98464805</v>
      </c>
      <c r="L23" s="20" t="n">
        <v>0.43788377</v>
      </c>
      <c r="M23" s="18" t="n">
        <v>0</v>
      </c>
      <c r="N23" s="20" t="n">
        <v>0</v>
      </c>
      <c r="O23" s="18" t="n">
        <v>0</v>
      </c>
      <c r="P23" s="20" t="n">
        <v>0</v>
      </c>
      <c r="Q23" s="18" t="n">
        <v>0</v>
      </c>
      <c r="R23" s="20" t="n">
        <v>0</v>
      </c>
    </row>
    <row r="24" spans="1:18">
      <c r="A24" s="15" t="s">
        <v>446</v>
      </c>
      <c r="B24" s="17" t="n">
        <v>6647</v>
      </c>
      <c r="C24" s="18">
        <f>(5863.0/B24*100)</f>
        <v/>
      </c>
      <c r="D24" s="19" t="n">
        <v>784</v>
      </c>
      <c r="E24" s="18" t="n">
        <v>62.06036693</v>
      </c>
      <c r="F24" s="20" t="n">
        <v>1.8404325</v>
      </c>
      <c r="G24" s="18" t="n">
        <v>36.38110738</v>
      </c>
      <c r="H24" s="20" t="n">
        <v>1.79356548</v>
      </c>
      <c r="I24" s="18" t="n">
        <v>0</v>
      </c>
      <c r="J24" s="20" t="n">
        <v>0</v>
      </c>
      <c r="K24" s="18" t="n">
        <v>1.55852569</v>
      </c>
      <c r="L24" s="20" t="n">
        <v>0.46249125</v>
      </c>
      <c r="M24" s="18" t="n">
        <v>0</v>
      </c>
      <c r="N24" s="20" t="n">
        <v>0</v>
      </c>
      <c r="O24" s="18" t="n">
        <v>0</v>
      </c>
      <c r="P24" s="20" t="n">
        <v>0</v>
      </c>
      <c r="Q24" s="18" t="n">
        <v>0</v>
      </c>
      <c r="R24" s="20" t="n">
        <v>0</v>
      </c>
    </row>
    <row r="25" spans="1:18">
      <c r="A25" s="15" t="s">
        <v>447</v>
      </c>
      <c r="B25" s="17" t="n">
        <v>5581</v>
      </c>
      <c r="C25" s="18">
        <f>(4886.0/B25*100)</f>
        <v/>
      </c>
      <c r="D25" s="19" t="n">
        <v>695</v>
      </c>
      <c r="E25" s="18" t="n">
        <v>51.56644615</v>
      </c>
      <c r="F25" s="20" t="n">
        <v>1.84815947</v>
      </c>
      <c r="G25" s="18" t="n">
        <v>47.72917892</v>
      </c>
      <c r="H25" s="20" t="n">
        <v>1.86176593</v>
      </c>
      <c r="I25" s="18" t="n">
        <v>0</v>
      </c>
      <c r="J25" s="20" t="n">
        <v>0</v>
      </c>
      <c r="K25" s="18" t="n">
        <v>0.70437493</v>
      </c>
      <c r="L25" s="20" t="n">
        <v>0.31563604</v>
      </c>
      <c r="M25" s="18" t="n">
        <v>0</v>
      </c>
      <c r="N25" s="20" t="n">
        <v>0</v>
      </c>
      <c r="O25" s="18" t="n">
        <v>0</v>
      </c>
      <c r="P25" s="20" t="n">
        <v>0</v>
      </c>
      <c r="Q25" s="18" t="n">
        <v>0</v>
      </c>
      <c r="R25" s="20" t="n">
        <v>0</v>
      </c>
    </row>
    <row r="26" spans="1:18">
      <c r="A26" s="15" t="s">
        <v>448</v>
      </c>
      <c r="B26" s="17" t="n">
        <v>4869</v>
      </c>
      <c r="C26" s="18">
        <f>(4270.0/B26*100)</f>
        <v/>
      </c>
      <c r="D26" s="19" t="n">
        <v>599</v>
      </c>
      <c r="E26" s="18" t="n">
        <v>45.55870828</v>
      </c>
      <c r="F26" s="20" t="n">
        <v>2.27379694</v>
      </c>
      <c r="G26" s="18" t="n">
        <v>54.01915067</v>
      </c>
      <c r="H26" s="20" t="n">
        <v>2.28627806</v>
      </c>
      <c r="I26" s="18" t="n">
        <v>0</v>
      </c>
      <c r="J26" s="20" t="n">
        <v>0</v>
      </c>
      <c r="K26" s="18" t="n">
        <v>0.42214105</v>
      </c>
      <c r="L26" s="20" t="n">
        <v>0.24053481</v>
      </c>
      <c r="M26" s="18" t="n">
        <v>0</v>
      </c>
      <c r="N26" s="20" t="n">
        <v>0</v>
      </c>
      <c r="O26" s="18" t="n">
        <v>0</v>
      </c>
      <c r="P26" s="20" t="n">
        <v>0</v>
      </c>
      <c r="Q26" s="18" t="n">
        <v>0</v>
      </c>
      <c r="R26" s="20" t="n">
        <v>0</v>
      </c>
    </row>
    <row r="27" spans="1:18">
      <c r="A27" s="15" t="s">
        <v>449</v>
      </c>
      <c r="B27" s="17" t="n">
        <v>5299</v>
      </c>
      <c r="C27" s="18">
        <f>(4658.0/B27*100)</f>
        <v/>
      </c>
      <c r="D27" s="19" t="n">
        <v>641</v>
      </c>
      <c r="E27" s="18" t="n">
        <v>55.68103491</v>
      </c>
      <c r="F27" s="20" t="n">
        <v>2.18322295</v>
      </c>
      <c r="G27" s="18" t="n">
        <v>43.04427898</v>
      </c>
      <c r="H27" s="20" t="n">
        <v>2.1699493</v>
      </c>
      <c r="I27" s="18" t="n">
        <v>0</v>
      </c>
      <c r="J27" s="20" t="n">
        <v>0</v>
      </c>
      <c r="K27" s="18" t="n">
        <v>1.27468611</v>
      </c>
      <c r="L27" s="20" t="n">
        <v>0.44885832</v>
      </c>
      <c r="M27" s="18" t="n">
        <v>0</v>
      </c>
      <c r="N27" s="20" t="n">
        <v>0</v>
      </c>
      <c r="O27" s="18" t="n">
        <v>0</v>
      </c>
      <c r="P27" s="20" t="n">
        <v>0</v>
      </c>
      <c r="Q27" s="18" t="n">
        <v>0</v>
      </c>
      <c r="R27" s="20" t="n">
        <v>0</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(4750.0/B29*100)</f>
        <v/>
      </c>
      <c r="D29" s="19" t="n">
        <v>635</v>
      </c>
      <c r="E29" s="18" t="n">
        <v>63.58426439</v>
      </c>
      <c r="F29" s="20" t="n">
        <v>2.17885705</v>
      </c>
      <c r="G29" s="18" t="n">
        <v>35.54338351</v>
      </c>
      <c r="H29" s="20" t="n">
        <v>2.10175107</v>
      </c>
      <c r="I29" s="18" t="n">
        <v>0</v>
      </c>
      <c r="J29" s="20" t="n">
        <v>0</v>
      </c>
      <c r="K29" s="18" t="n">
        <v>0.8723521</v>
      </c>
      <c r="L29" s="20" t="n">
        <v>0.47486667</v>
      </c>
      <c r="M29" s="18" t="n">
        <v>0</v>
      </c>
      <c r="N29" s="20" t="n">
        <v>0</v>
      </c>
      <c r="O29" s="18" t="n">
        <v>0</v>
      </c>
      <c r="P29" s="20" t="n">
        <v>0</v>
      </c>
      <c r="Q29" s="18" t="n">
        <v>0</v>
      </c>
      <c r="R29" s="20" t="n">
        <v>0</v>
      </c>
    </row>
    <row r="30" spans="1:18">
      <c r="A30" s="15" t="s">
        <v>452</v>
      </c>
      <c r="B30" s="17" t="n">
        <v>4520</v>
      </c>
      <c r="C30" s="18">
        <f>(3968.0/B30*100)</f>
        <v/>
      </c>
      <c r="D30" s="19" t="n">
        <v>552</v>
      </c>
      <c r="E30" s="18" t="n">
        <v>50.67776</v>
      </c>
      <c r="F30" s="20" t="n">
        <v>2.16207931</v>
      </c>
      <c r="G30" s="18" t="n">
        <v>47.96337698</v>
      </c>
      <c r="H30" s="20" t="n">
        <v>2.09155761</v>
      </c>
      <c r="I30" s="18" t="n">
        <v>0</v>
      </c>
      <c r="J30" s="20" t="n">
        <v>0</v>
      </c>
      <c r="K30" s="18" t="n">
        <v>1.35886303</v>
      </c>
      <c r="L30" s="20" t="n">
        <v>0.57183149</v>
      </c>
      <c r="M30" s="18" t="n">
        <v>0</v>
      </c>
      <c r="N30" s="20" t="n">
        <v>0</v>
      </c>
      <c r="O30" s="18" t="n">
        <v>0</v>
      </c>
      <c r="P30" s="20" t="n">
        <v>0</v>
      </c>
      <c r="Q30" s="18" t="n">
        <v>0</v>
      </c>
      <c r="R30" s="20" t="n">
        <v>0</v>
      </c>
    </row>
    <row r="31" spans="1:18">
      <c r="A31" s="15" t="s">
        <v>453</v>
      </c>
      <c r="B31" s="17" t="n">
        <v>5456</v>
      </c>
      <c r="C31" s="18">
        <f>(4788.0/B31*100)</f>
        <v/>
      </c>
      <c r="D31" s="19" t="n">
        <v>668</v>
      </c>
      <c r="E31" s="18" t="n">
        <v>48.3103153</v>
      </c>
      <c r="F31" s="20" t="n">
        <v>1.71619762</v>
      </c>
      <c r="G31" s="18" t="n">
        <v>49.08776819</v>
      </c>
      <c r="H31" s="20" t="n">
        <v>1.71917841</v>
      </c>
      <c r="I31" s="18" t="n">
        <v>0</v>
      </c>
      <c r="J31" s="20" t="n">
        <v>0</v>
      </c>
      <c r="K31" s="18" t="n">
        <v>2.6019165</v>
      </c>
      <c r="L31" s="20" t="n">
        <v>0.68475586</v>
      </c>
      <c r="M31" s="18" t="n">
        <v>0</v>
      </c>
      <c r="N31" s="20" t="n">
        <v>0</v>
      </c>
      <c r="O31" s="18" t="n">
        <v>0</v>
      </c>
      <c r="P31" s="20" t="n">
        <v>0</v>
      </c>
      <c r="Q31" s="18" t="n">
        <v>0</v>
      </c>
      <c r="R31" s="20" t="n">
        <v>0</v>
      </c>
    </row>
    <row r="32" spans="1:18">
      <c r="A32" s="15" t="s">
        <v>454</v>
      </c>
      <c r="B32" s="17" t="n">
        <v>4478</v>
      </c>
      <c r="C32" s="18">
        <f>(3724.0/B32*100)</f>
        <v/>
      </c>
      <c r="D32" s="19" t="n">
        <v>754</v>
      </c>
      <c r="E32" s="18" t="n">
        <v>58.33950406</v>
      </c>
      <c r="F32" s="20" t="n">
        <v>1.96439863</v>
      </c>
      <c r="G32" s="18" t="n">
        <v>40.69670792</v>
      </c>
      <c r="H32" s="20" t="n">
        <v>1.97984743</v>
      </c>
      <c r="I32" s="18" t="n">
        <v>0</v>
      </c>
      <c r="J32" s="20" t="n">
        <v>0</v>
      </c>
      <c r="K32" s="18" t="n">
        <v>0.96378802</v>
      </c>
      <c r="L32" s="20" t="n">
        <v>0.33051607</v>
      </c>
      <c r="M32" s="18" t="n">
        <v>0</v>
      </c>
      <c r="N32" s="20" t="n">
        <v>0</v>
      </c>
      <c r="O32" s="18" t="n">
        <v>0</v>
      </c>
      <c r="P32" s="20" t="n">
        <v>0</v>
      </c>
      <c r="Q32" s="18" t="n">
        <v>0</v>
      </c>
      <c r="R32" s="20" t="n">
        <v>0</v>
      </c>
    </row>
    <row r="33" spans="1:18">
      <c r="A33" s="15" t="s">
        <v>455</v>
      </c>
      <c r="B33" s="17" t="n">
        <v>7325</v>
      </c>
      <c r="C33" s="18">
        <f>(6471.0/B33*100)</f>
        <v/>
      </c>
      <c r="D33" s="19" t="n">
        <v>854</v>
      </c>
      <c r="E33" s="18" t="n">
        <v>52.77456643</v>
      </c>
      <c r="F33" s="20" t="n">
        <v>2.06375315</v>
      </c>
      <c r="G33" s="18" t="n">
        <v>46.6699073</v>
      </c>
      <c r="H33" s="20" t="n">
        <v>2.05127452</v>
      </c>
      <c r="I33" s="18" t="n">
        <v>0</v>
      </c>
      <c r="J33" s="20" t="n">
        <v>0</v>
      </c>
      <c r="K33" s="18" t="n">
        <v>0.55552628</v>
      </c>
      <c r="L33" s="20" t="n">
        <v>0.25626476</v>
      </c>
      <c r="M33" s="18" t="n">
        <v>0</v>
      </c>
      <c r="N33" s="20" t="n">
        <v>0</v>
      </c>
      <c r="O33" s="18" t="n">
        <v>0</v>
      </c>
      <c r="P33" s="20" t="n">
        <v>0</v>
      </c>
      <c r="Q33" s="18" t="n">
        <v>0</v>
      </c>
      <c r="R33" s="20" t="n">
        <v>0</v>
      </c>
    </row>
    <row r="34" spans="1:18">
      <c r="A34" s="15" t="s">
        <v>456</v>
      </c>
      <c r="B34" s="17" t="n">
        <v>6350</v>
      </c>
      <c r="C34" s="18">
        <f>(5582.0/B34*100)</f>
        <v/>
      </c>
      <c r="D34" s="19" t="n">
        <v>768</v>
      </c>
      <c r="E34" s="18" t="n">
        <v>64.66380527</v>
      </c>
      <c r="F34" s="20" t="n">
        <v>1.71745011</v>
      </c>
      <c r="G34" s="18" t="n">
        <v>33.82505932</v>
      </c>
      <c r="H34" s="20" t="n">
        <v>1.6191593</v>
      </c>
      <c r="I34" s="18" t="n">
        <v>0</v>
      </c>
      <c r="J34" s="20" t="n">
        <v>0</v>
      </c>
      <c r="K34" s="18" t="n">
        <v>1.51113541</v>
      </c>
      <c r="L34" s="20" t="n">
        <v>0.44485595</v>
      </c>
      <c r="M34" s="18" t="n">
        <v>0</v>
      </c>
      <c r="N34" s="20" t="n">
        <v>0</v>
      </c>
      <c r="O34" s="18" t="n">
        <v>0</v>
      </c>
      <c r="P34" s="20" t="n">
        <v>0</v>
      </c>
      <c r="Q34" s="18" t="n">
        <v>0</v>
      </c>
      <c r="R34" s="20" t="n">
        <v>0</v>
      </c>
    </row>
    <row r="35" spans="1:18">
      <c r="A35" s="15" t="s">
        <v>457</v>
      </c>
      <c r="B35" s="17" t="n">
        <v>6406</v>
      </c>
      <c r="C35" s="18">
        <f>(5616.0/B35*100)</f>
        <v/>
      </c>
      <c r="D35" s="19" t="n">
        <v>790</v>
      </c>
      <c r="E35" s="18" t="n">
        <v>47.88426144</v>
      </c>
      <c r="F35" s="20" t="n">
        <v>2.0133757</v>
      </c>
      <c r="G35" s="18" t="n">
        <v>50.99695846</v>
      </c>
      <c r="H35" s="20" t="n">
        <v>2.04227907</v>
      </c>
      <c r="I35" s="18" t="n">
        <v>0</v>
      </c>
      <c r="J35" s="20" t="n">
        <v>0</v>
      </c>
      <c r="K35" s="18" t="n">
        <v>1.11878011</v>
      </c>
      <c r="L35" s="20" t="n">
        <v>0.43156616</v>
      </c>
      <c r="M35" s="18" t="n">
        <v>0</v>
      </c>
      <c r="N35" s="20" t="n">
        <v>0</v>
      </c>
      <c r="O35" s="18" t="n">
        <v>0</v>
      </c>
      <c r="P35" s="20" t="n">
        <v>0</v>
      </c>
      <c r="Q35" s="18" t="n">
        <v>0</v>
      </c>
      <c r="R35" s="20" t="n">
        <v>0</v>
      </c>
    </row>
    <row r="36" spans="1:18">
      <c r="A36" s="15" t="s">
        <v>458</v>
      </c>
      <c r="B36" s="17" t="n">
        <v>6736</v>
      </c>
      <c r="C36" s="18">
        <f>(5944.0/B36*100)</f>
        <v/>
      </c>
      <c r="D36" s="19" t="n">
        <v>792</v>
      </c>
      <c r="E36" s="18" t="n">
        <v>73.31726934</v>
      </c>
      <c r="F36" s="20" t="n">
        <v>1.59418145</v>
      </c>
      <c r="G36" s="18" t="n">
        <v>25.65547368</v>
      </c>
      <c r="H36" s="20" t="n">
        <v>1.60420074</v>
      </c>
      <c r="I36" s="18" t="n">
        <v>0</v>
      </c>
      <c r="J36" s="20" t="n">
        <v>0</v>
      </c>
      <c r="K36" s="18" t="n">
        <v>1.02725698</v>
      </c>
      <c r="L36" s="20" t="n">
        <v>0.33327731</v>
      </c>
      <c r="M36" s="18" t="n">
        <v>0</v>
      </c>
      <c r="N36" s="20" t="n">
        <v>0</v>
      </c>
      <c r="O36" s="18" t="n">
        <v>0</v>
      </c>
      <c r="P36" s="20" t="n">
        <v>0</v>
      </c>
      <c r="Q36" s="18" t="n">
        <v>0</v>
      </c>
      <c r="R36" s="20" t="n">
        <v>0</v>
      </c>
    </row>
    <row r="37" spans="1:18">
      <c r="A37" s="15" t="s">
        <v>459</v>
      </c>
      <c r="B37" s="17" t="n">
        <v>5458</v>
      </c>
      <c r="C37" s="18">
        <f>(4825.0/B37*100)</f>
        <v/>
      </c>
      <c r="D37" s="19" t="n">
        <v>633</v>
      </c>
      <c r="E37" s="18" t="n">
        <v>56.59388099</v>
      </c>
      <c r="F37" s="20" t="n">
        <v>1.96526773</v>
      </c>
      <c r="G37" s="18" t="n">
        <v>40.77657646</v>
      </c>
      <c r="H37" s="20" t="n">
        <v>1.91846683</v>
      </c>
      <c r="I37" s="18" t="n">
        <v>0</v>
      </c>
      <c r="J37" s="20" t="n">
        <v>0</v>
      </c>
      <c r="K37" s="18" t="n">
        <v>2.62954254</v>
      </c>
      <c r="L37" s="20" t="n">
        <v>0.7030028699999999</v>
      </c>
      <c r="M37" s="18" t="n">
        <v>0</v>
      </c>
      <c r="N37" s="20" t="n">
        <v>0</v>
      </c>
      <c r="O37" s="18" t="n">
        <v>0</v>
      </c>
      <c r="P37" s="20" t="n">
        <v>0</v>
      </c>
      <c r="Q37" s="18" t="n">
        <v>0</v>
      </c>
      <c r="R37" s="20" t="n">
        <v>0</v>
      </c>
    </row>
    <row r="38" spans="1:18">
      <c r="A38" s="15" t="s">
        <v>460</v>
      </c>
      <c r="B38" s="17" t="n">
        <v>5860</v>
      </c>
      <c r="C38" s="18">
        <f>(4906.0/B38*100)</f>
        <v/>
      </c>
      <c r="D38" s="19" t="n">
        <v>954</v>
      </c>
      <c r="E38" s="18" t="n">
        <v>54.80263832</v>
      </c>
      <c r="F38" s="20" t="n">
        <v>1.70157047</v>
      </c>
      <c r="G38" s="18" t="n">
        <v>42.61773196</v>
      </c>
      <c r="H38" s="20" t="n">
        <v>1.7048049</v>
      </c>
      <c r="I38" s="18" t="n">
        <v>0</v>
      </c>
      <c r="J38" s="20" t="n">
        <v>0</v>
      </c>
      <c r="K38" s="18" t="n">
        <v>2.57962972</v>
      </c>
      <c r="L38" s="20" t="n">
        <v>0.63952005</v>
      </c>
      <c r="M38" s="18" t="n">
        <v>0</v>
      </c>
      <c r="N38" s="20" t="n">
        <v>0</v>
      </c>
      <c r="O38" s="18" t="n">
        <v>0</v>
      </c>
      <c r="P38" s="20" t="n">
        <v>0</v>
      </c>
      <c r="Q38" s="18" t="n">
        <v>0</v>
      </c>
      <c r="R38" s="20" t="n">
        <v>0</v>
      </c>
    </row>
    <row r="39" spans="1:18">
      <c r="A39" s="15" t="s">
        <v>461</v>
      </c>
      <c r="B39" s="17" t="n">
        <v>5895</v>
      </c>
      <c r="C39" s="18">
        <f>(5157.0/B39*100)</f>
        <v/>
      </c>
      <c r="D39" s="19" t="n">
        <v>738</v>
      </c>
      <c r="E39" s="18" t="n">
        <v>70.66075927999999</v>
      </c>
      <c r="F39" s="20" t="n">
        <v>1.95403668</v>
      </c>
      <c r="G39" s="18" t="n">
        <v>28.03143933</v>
      </c>
      <c r="H39" s="20" t="n">
        <v>1.88906715</v>
      </c>
      <c r="I39" s="18" t="n">
        <v>0</v>
      </c>
      <c r="J39" s="20" t="n">
        <v>0</v>
      </c>
      <c r="K39" s="18" t="n">
        <v>1.30780139</v>
      </c>
      <c r="L39" s="20" t="n">
        <v>0.50691324</v>
      </c>
      <c r="M39" s="18" t="n">
        <v>0</v>
      </c>
      <c r="N39" s="20" t="n">
        <v>0</v>
      </c>
      <c r="O39" s="18" t="n">
        <v>0</v>
      </c>
      <c r="P39" s="20" t="n">
        <v>0</v>
      </c>
      <c r="Q39" s="18" t="n">
        <v>0</v>
      </c>
      <c r="R39" s="20" t="n">
        <v>0</v>
      </c>
    </row>
    <row r="40" spans="1:18">
      <c r="A40" s="15" t="s">
        <v>462</v>
      </c>
      <c r="B40" s="17" t="n">
        <v>14157</v>
      </c>
      <c r="C40" s="18">
        <f>(12387.0/B40*100)</f>
        <v/>
      </c>
      <c r="D40" s="19" t="n">
        <v>1770</v>
      </c>
      <c r="E40" s="18" t="n">
        <v>59.97904047</v>
      </c>
      <c r="F40" s="20" t="n">
        <v>1.82898098</v>
      </c>
      <c r="G40" s="18" t="n">
        <v>38.45793349</v>
      </c>
      <c r="H40" s="20" t="n">
        <v>1.86376877</v>
      </c>
      <c r="I40" s="18" t="n">
        <v>0</v>
      </c>
      <c r="J40" s="20" t="n">
        <v>0</v>
      </c>
      <c r="K40" s="18" t="n">
        <v>1.56302604</v>
      </c>
      <c r="L40" s="20" t="n">
        <v>0.44408545</v>
      </c>
      <c r="M40" s="18" t="n">
        <v>0</v>
      </c>
      <c r="N40" s="20" t="n">
        <v>0</v>
      </c>
      <c r="O40" s="18" t="n">
        <v>0</v>
      </c>
      <c r="P40" s="20" t="n">
        <v>0</v>
      </c>
      <c r="Q40" s="18" t="n">
        <v>0</v>
      </c>
      <c r="R40" s="20" t="n">
        <v>0</v>
      </c>
    </row>
    <row r="41" spans="1:18">
      <c r="A41" s="15" t="s">
        <v>463</v>
      </c>
      <c r="B41" s="17" t="n">
        <v>5712</v>
      </c>
      <c r="C41" s="18">
        <f>(5051.0/B41*100)</f>
        <v/>
      </c>
      <c r="D41" s="19" t="n">
        <v>661</v>
      </c>
      <c r="E41" s="18" t="n">
        <v>52.66986207</v>
      </c>
      <c r="F41" s="20" t="n">
        <v>1.98370735</v>
      </c>
      <c r="G41" s="18" t="n">
        <v>46.58368423</v>
      </c>
      <c r="H41" s="20" t="n">
        <v>2.02491408</v>
      </c>
      <c r="I41" s="18" t="n">
        <v>0</v>
      </c>
      <c r="J41" s="20" t="n">
        <v>0</v>
      </c>
      <c r="K41" s="18" t="n">
        <v>0.7464537</v>
      </c>
      <c r="L41" s="20" t="n">
        <v>0.33224443</v>
      </c>
      <c r="M41" s="18" t="n">
        <v>0</v>
      </c>
      <c r="N41" s="20" t="n">
        <v>0</v>
      </c>
      <c r="O41" s="18" t="n">
        <v>0</v>
      </c>
      <c r="P41" s="20" t="n">
        <v>0</v>
      </c>
      <c r="Q41" s="18" t="n">
        <v>0</v>
      </c>
      <c r="R41" s="20" t="n">
        <v>0</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(8646.0/B48*100)</f>
        <v/>
      </c>
      <c r="D48" s="19" t="n">
        <v>1195</v>
      </c>
      <c r="E48" s="18" t="n">
        <v>45.48974379</v>
      </c>
      <c r="F48" s="20" t="n">
        <v>1.97406511</v>
      </c>
      <c r="G48" s="18" t="n">
        <v>53.24458325</v>
      </c>
      <c r="H48" s="20" t="n">
        <v>1.98235465</v>
      </c>
      <c r="I48" s="18" t="n">
        <v>0</v>
      </c>
      <c r="J48" s="20" t="n">
        <v>0</v>
      </c>
      <c r="K48" s="18" t="n">
        <v>1.26567296</v>
      </c>
      <c r="L48" s="20" t="n">
        <v>0.34084874</v>
      </c>
      <c r="M48" s="18" t="n">
        <v>0</v>
      </c>
      <c r="N48" s="20" t="n">
        <v>0</v>
      </c>
      <c r="O48" s="18" t="n">
        <v>0</v>
      </c>
      <c r="P48" s="20" t="n">
        <v>0</v>
      </c>
      <c r="Q48" s="18" t="n">
        <v>0</v>
      </c>
      <c r="R48" s="20" t="n">
        <v>0</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(5101.0/B51*100)</f>
        <v/>
      </c>
      <c r="D51" s="19" t="n">
        <v>708</v>
      </c>
      <c r="E51" s="18" t="n">
        <v>58.25539154</v>
      </c>
      <c r="F51" s="20" t="n">
        <v>1.64287246</v>
      </c>
      <c r="G51" s="18" t="n">
        <v>40.97034109</v>
      </c>
      <c r="H51" s="20" t="n">
        <v>1.68128466</v>
      </c>
      <c r="I51" s="18" t="n">
        <v>0</v>
      </c>
      <c r="J51" s="20" t="n">
        <v>0</v>
      </c>
      <c r="K51" s="18" t="n">
        <v>0.77426737</v>
      </c>
      <c r="L51" s="20" t="n">
        <v>0.31832197</v>
      </c>
      <c r="M51" s="18" t="n">
        <v>0</v>
      </c>
      <c r="N51" s="20" t="n">
        <v>0</v>
      </c>
      <c r="O51" s="18" t="n">
        <v>0</v>
      </c>
      <c r="P51" s="20" t="n">
        <v>0</v>
      </c>
      <c r="Q51" s="18" t="n">
        <v>0</v>
      </c>
      <c r="R51" s="20" t="n">
        <v>0</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(4715.0/B55*100)</f>
        <v/>
      </c>
      <c r="D55" s="19" t="n">
        <v>644</v>
      </c>
      <c r="E55" s="18" t="n">
        <v>54.75815243</v>
      </c>
      <c r="F55" s="20" t="n">
        <v>2.17645728</v>
      </c>
      <c r="G55" s="18" t="n">
        <v>43.94150942</v>
      </c>
      <c r="H55" s="20" t="n">
        <v>2.16782043</v>
      </c>
      <c r="I55" s="18" t="n">
        <v>0</v>
      </c>
      <c r="J55" s="20" t="n">
        <v>0</v>
      </c>
      <c r="K55" s="18" t="n">
        <v>1.30033815</v>
      </c>
      <c r="L55" s="20" t="n">
        <v>0.53425957</v>
      </c>
      <c r="M55" s="18" t="n">
        <v>0</v>
      </c>
      <c r="N55" s="20" t="n">
        <v>0</v>
      </c>
      <c r="O55" s="18" t="n">
        <v>0</v>
      </c>
      <c r="P55" s="20" t="n">
        <v>0</v>
      </c>
      <c r="Q55" s="18" t="n">
        <v>0</v>
      </c>
      <c r="R55" s="20" t="n">
        <v>0</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(5689.0/B61*100)</f>
        <v/>
      </c>
      <c r="D61" s="19" t="n">
        <v>836</v>
      </c>
      <c r="E61" s="18" t="n">
        <v>51.76090798</v>
      </c>
      <c r="F61" s="20" t="n">
        <v>2.07292962</v>
      </c>
      <c r="G61" s="18" t="n">
        <v>47.45129893</v>
      </c>
      <c r="H61" s="20" t="n">
        <v>2.08994318</v>
      </c>
      <c r="I61" s="18" t="n">
        <v>0</v>
      </c>
      <c r="J61" s="20" t="n">
        <v>0</v>
      </c>
      <c r="K61" s="18" t="n">
        <v>0.78779309</v>
      </c>
      <c r="L61" s="20" t="n">
        <v>0.3191621</v>
      </c>
      <c r="M61" s="18" t="n">
        <v>0</v>
      </c>
      <c r="N61" s="20" t="n">
        <v>0</v>
      </c>
      <c r="O61" s="18" t="n">
        <v>0</v>
      </c>
      <c r="P61" s="20" t="n">
        <v>0</v>
      </c>
      <c r="Q61" s="18" t="n">
        <v>0</v>
      </c>
      <c r="R61" s="20" t="n">
        <v>0</v>
      </c>
    </row>
    <row r="62" spans="1:18">
      <c r="A62" s="15" t="s">
        <v>486</v>
      </c>
      <c r="B62" s="17" t="n">
        <v>4476</v>
      </c>
      <c r="C62" s="18">
        <f>(3949.0/B62*100)</f>
        <v/>
      </c>
      <c r="D62" s="19" t="n">
        <v>527</v>
      </c>
      <c r="E62" s="18" t="n">
        <v>57.47253684</v>
      </c>
      <c r="F62" s="20" t="n">
        <v>2.19229656</v>
      </c>
      <c r="G62" s="18" t="n">
        <v>42.14411062</v>
      </c>
      <c r="H62" s="20" t="n">
        <v>2.19947442</v>
      </c>
      <c r="I62" s="18" t="n">
        <v>0</v>
      </c>
      <c r="J62" s="20" t="n">
        <v>0</v>
      </c>
      <c r="K62" s="18" t="n">
        <v>0.38335254</v>
      </c>
      <c r="L62" s="20" t="n">
        <v>0.27268089</v>
      </c>
      <c r="M62" s="18" t="n">
        <v>0</v>
      </c>
      <c r="N62" s="20" t="n">
        <v>0</v>
      </c>
      <c r="O62" s="18" t="n">
        <v>0</v>
      </c>
      <c r="P62" s="20" t="n">
        <v>0</v>
      </c>
      <c r="Q62" s="18" t="n">
        <v>0</v>
      </c>
      <c r="R62" s="20" t="n">
        <v>0</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(5022.0/B67*100)</f>
        <v/>
      </c>
      <c r="D67" s="19" t="n">
        <v>643</v>
      </c>
      <c r="E67" s="18" t="n">
        <v>65.6224993</v>
      </c>
      <c r="F67" s="20" t="n">
        <v>1.74271148</v>
      </c>
      <c r="G67" s="18" t="n">
        <v>29.89683364</v>
      </c>
      <c r="H67" s="20" t="n">
        <v>1.77716721</v>
      </c>
      <c r="I67" s="18" t="n">
        <v>0</v>
      </c>
      <c r="J67" s="20" t="n">
        <v>0</v>
      </c>
      <c r="K67" s="18" t="n">
        <v>4.48066707</v>
      </c>
      <c r="L67" s="20" t="n">
        <v>0.8119511700000001</v>
      </c>
      <c r="M67" s="18" t="n">
        <v>0</v>
      </c>
      <c r="N67" s="20" t="n">
        <v>0</v>
      </c>
      <c r="O67" s="18" t="n">
        <v>0</v>
      </c>
      <c r="P67" s="20" t="n">
        <v>0</v>
      </c>
      <c r="Q67" s="18" t="n">
        <v>0</v>
      </c>
      <c r="R67" s="20" t="n">
        <v>0</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(5363.0/B72*100)</f>
        <v/>
      </c>
      <c r="D72" s="19" t="n">
        <v>673</v>
      </c>
      <c r="E72" s="18" t="n">
        <v>51.11524763</v>
      </c>
      <c r="F72" s="20" t="n">
        <v>1.84325877</v>
      </c>
      <c r="G72" s="18" t="n">
        <v>47.41834272</v>
      </c>
      <c r="H72" s="20" t="n">
        <v>1.9876715</v>
      </c>
      <c r="I72" s="18" t="n">
        <v>0</v>
      </c>
      <c r="J72" s="20" t="n">
        <v>0</v>
      </c>
      <c r="K72" s="18" t="n">
        <v>1.46640964</v>
      </c>
      <c r="L72" s="20" t="n">
        <v>0.46059915</v>
      </c>
      <c r="M72" s="18" t="n">
        <v>0</v>
      </c>
      <c r="N72" s="20" t="n">
        <v>0</v>
      </c>
      <c r="O72" s="18" t="n">
        <v>0</v>
      </c>
      <c r="P72" s="20" t="n">
        <v>0</v>
      </c>
      <c r="Q72" s="18" t="n">
        <v>0</v>
      </c>
      <c r="R72" s="20" t="n">
        <v>0</v>
      </c>
    </row>
    <row r="73" spans="1:18">
      <c r="A73" s="15" t="s">
        <v>497</v>
      </c>
      <c r="B73" s="17" t="n">
        <v>6115</v>
      </c>
      <c r="C73" s="18">
        <f>(5346.0/B73*100)</f>
        <v/>
      </c>
      <c r="D73" s="19" t="n">
        <v>769</v>
      </c>
      <c r="E73" s="18" t="n">
        <v>44.20581374</v>
      </c>
      <c r="F73" s="20" t="n">
        <v>1.85596073</v>
      </c>
      <c r="G73" s="18" t="n">
        <v>54.40426898</v>
      </c>
      <c r="H73" s="20" t="n">
        <v>1.90120177</v>
      </c>
      <c r="I73" s="18" t="n">
        <v>0</v>
      </c>
      <c r="J73" s="20" t="n">
        <v>0</v>
      </c>
      <c r="K73" s="18" t="n">
        <v>1.38991727</v>
      </c>
      <c r="L73" s="20" t="n">
        <v>0.39357136</v>
      </c>
      <c r="M73" s="18" t="n">
        <v>0</v>
      </c>
      <c r="N73" s="20" t="n">
        <v>0</v>
      </c>
      <c r="O73" s="18" t="n">
        <v>0</v>
      </c>
      <c r="P73" s="20" t="n">
        <v>0</v>
      </c>
      <c r="Q73" s="18" t="n">
        <v>0</v>
      </c>
      <c r="R73" s="20" t="n">
        <v>0</v>
      </c>
    </row>
    <row r="74" spans="1:18">
      <c r="A74" s="15" t="s">
        <v>498</v>
      </c>
      <c r="B74" s="17" t="n">
        <v>7708</v>
      </c>
      <c r="C74" s="18">
        <f>(6753.0/B74*100)</f>
        <v/>
      </c>
      <c r="D74" s="19" t="n">
        <v>955</v>
      </c>
      <c r="E74" s="18" t="n">
        <v>60.10321338</v>
      </c>
      <c r="F74" s="20" t="n">
        <v>1.83147136</v>
      </c>
      <c r="G74" s="18" t="n">
        <v>39.36480292</v>
      </c>
      <c r="H74" s="20" t="n">
        <v>1.85629212</v>
      </c>
      <c r="I74" s="18" t="n">
        <v>0</v>
      </c>
      <c r="J74" s="20" t="n">
        <v>0</v>
      </c>
      <c r="K74" s="18" t="n">
        <v>0.5319836999999999</v>
      </c>
      <c r="L74" s="20" t="n">
        <v>0.21416851</v>
      </c>
      <c r="M74" s="18" t="n">
        <v>0</v>
      </c>
      <c r="N74" s="20" t="n">
        <v>0</v>
      </c>
      <c r="O74" s="18" t="n">
        <v>0</v>
      </c>
      <c r="P74" s="20" t="n">
        <v>0</v>
      </c>
      <c r="Q74" s="18" t="n">
        <v>0</v>
      </c>
      <c r="R74" s="20" t="n">
        <v>0</v>
      </c>
    </row>
    <row r="75" spans="1:18">
      <c r="A75" s="15" t="s">
        <v>499</v>
      </c>
      <c r="B75" s="17" t="n">
        <v>8249</v>
      </c>
      <c r="C75" s="18">
        <f>(7303.0/B75*100)</f>
        <v/>
      </c>
      <c r="D75" s="19" t="n">
        <v>946</v>
      </c>
      <c r="E75" s="18" t="n">
        <v>65.74989085999999</v>
      </c>
      <c r="F75" s="20" t="n">
        <v>1.75854315</v>
      </c>
      <c r="G75" s="18" t="n">
        <v>33.74738513</v>
      </c>
      <c r="H75" s="20" t="n">
        <v>1.73175785</v>
      </c>
      <c r="I75" s="18" t="n">
        <v>0</v>
      </c>
      <c r="J75" s="20" t="n">
        <v>0</v>
      </c>
      <c r="K75" s="18" t="n">
        <v>0.50272401</v>
      </c>
      <c r="L75" s="20" t="n">
        <v>0.3463809</v>
      </c>
      <c r="M75" s="18" t="n">
        <v>0</v>
      </c>
      <c r="N75" s="20" t="n">
        <v>0</v>
      </c>
      <c r="O75" s="18" t="n">
        <v>0</v>
      </c>
      <c r="P75" s="20" t="n">
        <v>0</v>
      </c>
      <c r="Q75" s="18" t="n">
        <v>0</v>
      </c>
      <c r="R75" s="20" t="n">
        <v>0</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(28522.0/B82*100)</f>
        <v/>
      </c>
      <c r="D82" s="19" t="n">
        <v>3808</v>
      </c>
      <c r="E82" s="18" t="n">
        <v>71.81589628</v>
      </c>
      <c r="F82" s="20" t="n">
        <v>0.8754541</v>
      </c>
      <c r="G82" s="18" t="n">
        <v>27.03580477</v>
      </c>
      <c r="H82" s="20" t="n">
        <v>0.8419884399999999</v>
      </c>
      <c r="I82" s="18" t="n">
        <v>0</v>
      </c>
      <c r="J82" s="20" t="n">
        <v>0</v>
      </c>
      <c r="K82" s="18" t="n">
        <v>1.14829895</v>
      </c>
      <c r="L82" s="20" t="n">
        <v>0.25153008</v>
      </c>
      <c r="M82" s="18" t="n">
        <v>0</v>
      </c>
      <c r="N82" s="20" t="n">
        <v>0</v>
      </c>
      <c r="O82" s="18" t="n">
        <v>0</v>
      </c>
      <c r="P82" s="20" t="n">
        <v>0</v>
      </c>
      <c r="Q82" s="18" t="n">
        <v>0</v>
      </c>
      <c r="R82" s="20" t="n">
        <v>0</v>
      </c>
    </row>
    <row r="83" spans="1:18">
      <c r="A83" s="15" t="s">
        <v>507</v>
      </c>
      <c r="B83" s="17" t="n">
        <v>1652</v>
      </c>
      <c r="C83" s="18">
        <f>(1471.0/B83*100)</f>
        <v/>
      </c>
      <c r="D83" s="19" t="n">
        <v>181</v>
      </c>
      <c r="E83" s="18" t="n">
        <v>40.28801817</v>
      </c>
      <c r="F83" s="20" t="n">
        <v>3.35889068</v>
      </c>
      <c r="G83" s="18" t="n">
        <v>59.71198183</v>
      </c>
      <c r="H83" s="20" t="n">
        <v>3.35889068</v>
      </c>
      <c r="I83" s="18" t="n">
        <v>0</v>
      </c>
      <c r="J83" s="20" t="n">
        <v>0</v>
      </c>
      <c r="K83" s="18" t="n">
        <v>0</v>
      </c>
      <c r="L83" s="20" t="n">
        <v>0</v>
      </c>
      <c r="M83" s="18" t="n">
        <v>0</v>
      </c>
      <c r="N83" s="20" t="n">
        <v>0</v>
      </c>
      <c r="O83" s="18" t="n">
        <v>0</v>
      </c>
      <c r="P83" s="20" t="n">
        <v>0</v>
      </c>
      <c r="Q83" s="18" t="n">
        <v>0</v>
      </c>
      <c r="R83" s="20" t="n">
        <v>0</v>
      </c>
    </row>
    <row r="84" spans="1:18">
      <c r="A84" s="23" t="s">
        <v>508</v>
      </c>
      <c r="B84" s="24" t="n">
        <v>1887</v>
      </c>
      <c r="C84" s="25">
        <f>(1665.0/B84*100)</f>
        <v/>
      </c>
      <c r="D84" s="19" t="n">
        <v>222</v>
      </c>
      <c r="E84" s="18" t="n">
        <v>49.34847861</v>
      </c>
      <c r="F84" s="20" t="n">
        <v>3.85448237</v>
      </c>
      <c r="G84" s="18" t="n">
        <v>50.22554763</v>
      </c>
      <c r="H84" s="20" t="n">
        <v>3.78080375</v>
      </c>
      <c r="I84" s="18" t="n">
        <v>0</v>
      </c>
      <c r="J84" s="20" t="n">
        <v>0</v>
      </c>
      <c r="K84" s="18" t="n">
        <v>0.42597376</v>
      </c>
      <c r="L84" s="20" t="n">
        <v>0.42650168</v>
      </c>
      <c r="M84" s="18" t="n">
        <v>0</v>
      </c>
      <c r="N84" s="20" t="n">
        <v>0</v>
      </c>
      <c r="O84" s="18" t="n">
        <v>0</v>
      </c>
      <c r="P84" s="20" t="n">
        <v>0</v>
      </c>
      <c r="Q84" s="18" t="n">
        <v>0</v>
      </c>
      <c r="R84" s="20" t="n">
        <v>0</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(6186.0/B11*100)</f>
        <v/>
      </c>
      <c r="D11" s="19" t="n">
        <v>867</v>
      </c>
      <c r="E11" s="18" t="n">
        <v>8.08807483</v>
      </c>
      <c r="F11" s="20" t="n">
        <v>1.38551048</v>
      </c>
      <c r="G11" s="18" t="n">
        <v>90.82174519</v>
      </c>
      <c r="H11" s="20" t="n">
        <v>1.42130326</v>
      </c>
      <c r="I11" s="18" t="n">
        <v>0</v>
      </c>
      <c r="J11" s="20" t="n">
        <v>0</v>
      </c>
      <c r="K11" s="18" t="n">
        <v>0.44620866</v>
      </c>
      <c r="L11" s="20" t="n">
        <v>0.35952288</v>
      </c>
      <c r="M11" s="18" t="n">
        <v>0</v>
      </c>
      <c r="N11" s="20" t="n">
        <v>0</v>
      </c>
      <c r="O11" s="18" t="n">
        <v>0</v>
      </c>
      <c r="P11" s="20" t="n">
        <v>0</v>
      </c>
      <c r="Q11" s="18" t="n">
        <v>0.64397133</v>
      </c>
      <c r="R11" s="20" t="n">
        <v>0.28753786</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(6687.0/B28*100)</f>
        <v/>
      </c>
      <c r="D28" s="19" t="n">
        <v>881</v>
      </c>
      <c r="E28" s="18" t="n">
        <v>16.63363578</v>
      </c>
      <c r="F28" s="20" t="n">
        <v>1.52831288</v>
      </c>
      <c r="G28" s="18" t="n">
        <v>83.09040438</v>
      </c>
      <c r="H28" s="20" t="n">
        <v>1.5620848</v>
      </c>
      <c r="I28" s="18" t="n">
        <v>0</v>
      </c>
      <c r="J28" s="20" t="n">
        <v>0</v>
      </c>
      <c r="K28" s="18" t="n">
        <v>0.20960373</v>
      </c>
      <c r="L28" s="20" t="n">
        <v>0.21104879</v>
      </c>
      <c r="M28" s="18" t="n">
        <v>0</v>
      </c>
      <c r="N28" s="20" t="n">
        <v>0</v>
      </c>
      <c r="O28" s="18" t="n">
        <v>0</v>
      </c>
      <c r="P28" s="20" t="n">
        <v>0</v>
      </c>
      <c r="Q28" s="18" t="n">
        <v>0.06635611</v>
      </c>
      <c r="R28" s="20" t="n">
        <v>0.06610111</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(20383.0/B46*100)</f>
        <v/>
      </c>
      <c r="D46" s="19" t="n">
        <v>2758</v>
      </c>
      <c r="E46" s="18" t="n">
        <v>31.83225204</v>
      </c>
      <c r="F46" s="20" t="n">
        <v>1.4606622</v>
      </c>
      <c r="G46" s="18" t="n">
        <v>67.1304019</v>
      </c>
      <c r="H46" s="20" t="n">
        <v>1.48015648</v>
      </c>
      <c r="I46" s="18" t="n">
        <v>0</v>
      </c>
      <c r="J46" s="20" t="n">
        <v>0</v>
      </c>
      <c r="K46" s="18" t="n">
        <v>0.20994045</v>
      </c>
      <c r="L46" s="20" t="n">
        <v>0.11898153</v>
      </c>
      <c r="M46" s="18" t="n">
        <v>0</v>
      </c>
      <c r="N46" s="20" t="n">
        <v>0</v>
      </c>
      <c r="O46" s="18" t="n">
        <v>0</v>
      </c>
      <c r="P46" s="20" t="n">
        <v>0</v>
      </c>
      <c r="Q46" s="18" t="n">
        <v>0.82740561</v>
      </c>
      <c r="R46" s="20" t="n">
        <v>0.19227328</v>
      </c>
    </row>
    <row r="47" spans="1:18">
      <c r="A47" s="15" t="s">
        <v>470</v>
      </c>
      <c r="B47" s="17" t="n">
        <v>5928</v>
      </c>
      <c r="C47" s="18">
        <f>(5207.0/B47*100)</f>
        <v/>
      </c>
      <c r="D47" s="19" t="n">
        <v>721</v>
      </c>
      <c r="E47" s="18" t="n">
        <v>9.960189010000001</v>
      </c>
      <c r="F47" s="20" t="n">
        <v>1.35346882</v>
      </c>
      <c r="G47" s="18" t="n">
        <v>88.10126918</v>
      </c>
      <c r="H47" s="20" t="n">
        <v>1.52990143</v>
      </c>
      <c r="I47" s="18" t="n">
        <v>0</v>
      </c>
      <c r="J47" s="20" t="n">
        <v>0</v>
      </c>
      <c r="K47" s="18" t="n">
        <v>0</v>
      </c>
      <c r="L47" s="20" t="n">
        <v>0</v>
      </c>
      <c r="M47" s="18" t="n">
        <v>0</v>
      </c>
      <c r="N47" s="20" t="n">
        <v>0</v>
      </c>
      <c r="O47" s="18" t="n">
        <v>0</v>
      </c>
      <c r="P47" s="20" t="n">
        <v>0</v>
      </c>
      <c r="Q47" s="18" t="n">
        <v>1.93854181</v>
      </c>
      <c r="R47" s="20" t="n">
        <v>0.6206619799999999</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(10337.0/B49*100)</f>
        <v/>
      </c>
      <c r="D49" s="19" t="n">
        <v>1458</v>
      </c>
      <c r="E49" s="18" t="n">
        <v>23.37445891</v>
      </c>
      <c r="F49" s="20" t="n">
        <v>1.73720192</v>
      </c>
      <c r="G49" s="18" t="n">
        <v>75.23069133</v>
      </c>
      <c r="H49" s="20" t="n">
        <v>1.75377607</v>
      </c>
      <c r="I49" s="18" t="n">
        <v>0</v>
      </c>
      <c r="J49" s="20" t="n">
        <v>0</v>
      </c>
      <c r="K49" s="18" t="n">
        <v>0.16308379</v>
      </c>
      <c r="L49" s="20" t="n">
        <v>0.16169482</v>
      </c>
      <c r="M49" s="18" t="n">
        <v>0</v>
      </c>
      <c r="N49" s="20" t="n">
        <v>0</v>
      </c>
      <c r="O49" s="18" t="n">
        <v>0</v>
      </c>
      <c r="P49" s="20" t="n">
        <v>0</v>
      </c>
      <c r="Q49" s="18" t="n">
        <v>1.23176597</v>
      </c>
      <c r="R49" s="20" t="n">
        <v>0.34664383</v>
      </c>
    </row>
    <row r="50" spans="1:18">
      <c r="A50" s="15" t="s">
        <v>473</v>
      </c>
      <c r="B50" s="17" t="n">
        <v>6866</v>
      </c>
      <c r="C50" s="18">
        <f>(6127.0/B50*100)</f>
        <v/>
      </c>
      <c r="D50" s="19" t="n">
        <v>739</v>
      </c>
      <c r="E50" s="18" t="n">
        <v>19.04434884</v>
      </c>
      <c r="F50" s="20" t="n">
        <v>1.8172523</v>
      </c>
      <c r="G50" s="18" t="n">
        <v>79.05410898</v>
      </c>
      <c r="H50" s="20" t="n">
        <v>1.80648423</v>
      </c>
      <c r="I50" s="18" t="n">
        <v>0</v>
      </c>
      <c r="J50" s="20" t="n">
        <v>0</v>
      </c>
      <c r="K50" s="18" t="n">
        <v>0.18277411</v>
      </c>
      <c r="L50" s="20" t="n">
        <v>0.18315871</v>
      </c>
      <c r="M50" s="18" t="n">
        <v>0</v>
      </c>
      <c r="N50" s="20" t="n">
        <v>0</v>
      </c>
      <c r="O50" s="18" t="n">
        <v>0</v>
      </c>
      <c r="P50" s="20" t="n">
        <v>0</v>
      </c>
      <c r="Q50" s="18" t="n">
        <v>1.71876807</v>
      </c>
      <c r="R50" s="20" t="n">
        <v>0.59874493</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(4898.0/B52*100)</f>
        <v/>
      </c>
      <c r="D52" s="19" t="n">
        <v>673</v>
      </c>
      <c r="E52" s="18" t="n">
        <v>12.27332484</v>
      </c>
      <c r="F52" s="20" t="n">
        <v>1.33163102</v>
      </c>
      <c r="G52" s="18" t="n">
        <v>86.938717</v>
      </c>
      <c r="H52" s="20" t="n">
        <v>1.37163734</v>
      </c>
      <c r="I52" s="18" t="n">
        <v>0</v>
      </c>
      <c r="J52" s="20" t="n">
        <v>0</v>
      </c>
      <c r="K52" s="18" t="n">
        <v>0</v>
      </c>
      <c r="L52" s="20" t="n">
        <v>0</v>
      </c>
      <c r="M52" s="18" t="n">
        <v>0</v>
      </c>
      <c r="N52" s="20" t="n">
        <v>0</v>
      </c>
      <c r="O52" s="18" t="n">
        <v>0</v>
      </c>
      <c r="P52" s="20" t="n">
        <v>0</v>
      </c>
      <c r="Q52" s="18" t="n">
        <v>0.78795816</v>
      </c>
      <c r="R52" s="20" t="n">
        <v>0.37043421</v>
      </c>
    </row>
    <row r="53" spans="1:18">
      <c r="A53" s="15" t="s">
        <v>476</v>
      </c>
      <c r="B53" s="17" t="n">
        <v>4740</v>
      </c>
      <c r="C53" s="18">
        <f>(3930.0/B53*100)</f>
        <v/>
      </c>
      <c r="D53" s="19" t="n">
        <v>810</v>
      </c>
      <c r="E53" s="18" t="n">
        <v>21.0808561</v>
      </c>
      <c r="F53" s="20" t="n">
        <v>1.89755835</v>
      </c>
      <c r="G53" s="18" t="n">
        <v>73.11132852999999</v>
      </c>
      <c r="H53" s="20" t="n">
        <v>1.82905149</v>
      </c>
      <c r="I53" s="18" t="n">
        <v>0</v>
      </c>
      <c r="J53" s="20" t="n">
        <v>0</v>
      </c>
      <c r="K53" s="18" t="n">
        <v>3.6922915</v>
      </c>
      <c r="L53" s="20" t="n">
        <v>0.6967312</v>
      </c>
      <c r="M53" s="18" t="n">
        <v>0</v>
      </c>
      <c r="N53" s="20" t="n">
        <v>0</v>
      </c>
      <c r="O53" s="18" t="n">
        <v>0</v>
      </c>
      <c r="P53" s="20" t="n">
        <v>0</v>
      </c>
      <c r="Q53" s="18" t="n">
        <v>2.11552386</v>
      </c>
      <c r="R53" s="20" t="n">
        <v>0.5867797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(6106.0/B68*100)</f>
        <v/>
      </c>
      <c r="D68" s="19" t="n">
        <v>865</v>
      </c>
      <c r="E68" s="18" t="n">
        <v>20.52094815</v>
      </c>
      <c r="F68" s="20" t="n">
        <v>1.21511862</v>
      </c>
      <c r="G68" s="18" t="n">
        <v>78.55593047000001</v>
      </c>
      <c r="H68" s="20" t="n">
        <v>1.14526616</v>
      </c>
      <c r="I68" s="18" t="n">
        <v>0</v>
      </c>
      <c r="J68" s="20" t="n">
        <v>0</v>
      </c>
      <c r="K68" s="18" t="n">
        <v>0.22264598</v>
      </c>
      <c r="L68" s="20" t="n">
        <v>0.1569427</v>
      </c>
      <c r="M68" s="18" t="n">
        <v>0</v>
      </c>
      <c r="N68" s="20" t="n">
        <v>0</v>
      </c>
      <c r="O68" s="18" t="n">
        <v>0</v>
      </c>
      <c r="P68" s="20" t="n">
        <v>0</v>
      </c>
      <c r="Q68" s="18" t="n">
        <v>0.7004754</v>
      </c>
      <c r="R68" s="20" t="n">
        <v>0.26547648</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28.89240167</v>
      </c>
      <c r="F70" s="20" t="n">
        <v>0.96258089</v>
      </c>
      <c r="G70" s="18" t="n">
        <v>68.68938215999999</v>
      </c>
      <c r="H70" s="20" t="n">
        <v>1.02511714</v>
      </c>
      <c r="I70" s="18" t="n">
        <v>0</v>
      </c>
      <c r="J70" s="20" t="n">
        <v>0</v>
      </c>
      <c r="K70" s="18" t="n">
        <v>1.3031076</v>
      </c>
      <c r="L70" s="20" t="n">
        <v>0.25654491</v>
      </c>
      <c r="M70" s="18" t="n">
        <v>0</v>
      </c>
      <c r="N70" s="20" t="n">
        <v>0</v>
      </c>
      <c r="O70" s="18" t="n">
        <v>0</v>
      </c>
      <c r="P70" s="20" t="n">
        <v>0</v>
      </c>
      <c r="Q70" s="18" t="n">
        <v>1.11510857</v>
      </c>
      <c r="R70" s="20" t="n">
        <v>0.23017114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(4758.0/B77*100)</f>
        <v/>
      </c>
      <c r="D77" s="19" t="n">
        <v>617</v>
      </c>
      <c r="E77" s="18" t="n">
        <v>21.48678622</v>
      </c>
      <c r="F77" s="20" t="n">
        <v>2.05874329</v>
      </c>
      <c r="G77" s="18" t="n">
        <v>75.91798568</v>
      </c>
      <c r="H77" s="20" t="n">
        <v>2.02523342</v>
      </c>
      <c r="I77" s="18" t="n">
        <v>0</v>
      </c>
      <c r="J77" s="20" t="n">
        <v>0</v>
      </c>
      <c r="K77" s="18" t="n">
        <v>0.6799045500000001</v>
      </c>
      <c r="L77" s="20" t="n">
        <v>0.31707178</v>
      </c>
      <c r="M77" s="18" t="n">
        <v>0</v>
      </c>
      <c r="N77" s="20" t="n">
        <v>0</v>
      </c>
      <c r="O77" s="18" t="n">
        <v>0</v>
      </c>
      <c r="P77" s="20" t="n">
        <v>0</v>
      </c>
      <c r="Q77" s="18" t="n">
        <v>1.91532355</v>
      </c>
      <c r="R77" s="20" t="n">
        <v>0.49695286</v>
      </c>
    </row>
    <row r="78" spans="1:18">
      <c r="A78" s="15" t="s">
        <v>502</v>
      </c>
      <c r="B78" s="17" t="n">
        <v>14167</v>
      </c>
      <c r="C78" s="18">
        <f>(12414.0/B78*100)</f>
        <v/>
      </c>
      <c r="D78" s="19" t="n">
        <v>1753</v>
      </c>
      <c r="E78" s="18" t="n">
        <v>16.62917461</v>
      </c>
      <c r="F78" s="20" t="n">
        <v>1.13333288</v>
      </c>
      <c r="G78" s="18" t="n">
        <v>81.80365515</v>
      </c>
      <c r="H78" s="20" t="n">
        <v>1.27548497</v>
      </c>
      <c r="I78" s="18" t="n">
        <v>0</v>
      </c>
      <c r="J78" s="20" t="n">
        <v>0</v>
      </c>
      <c r="K78" s="18" t="n">
        <v>0.51392358</v>
      </c>
      <c r="L78" s="20" t="n">
        <v>0.16301507</v>
      </c>
      <c r="M78" s="18" t="n">
        <v>0</v>
      </c>
      <c r="N78" s="20" t="n">
        <v>0</v>
      </c>
      <c r="O78" s="18" t="n">
        <v>0</v>
      </c>
      <c r="P78" s="20" t="n">
        <v>0</v>
      </c>
      <c r="Q78" s="18" t="n">
        <v>1.05324666</v>
      </c>
      <c r="R78" s="20" t="n">
        <v>0.34600925</v>
      </c>
    </row>
    <row r="79" spans="1:18">
      <c r="A79" s="15" t="s">
        <v>503</v>
      </c>
      <c r="B79" s="17" t="n">
        <v>6062</v>
      </c>
      <c r="C79" s="18">
        <f>(5350.0/B79*100)</f>
        <v/>
      </c>
      <c r="D79" s="19" t="n">
        <v>712</v>
      </c>
      <c r="E79" s="18" t="n">
        <v>15.45748889</v>
      </c>
      <c r="F79" s="20" t="n">
        <v>1.52501362</v>
      </c>
      <c r="G79" s="18" t="n">
        <v>83.58124515999999</v>
      </c>
      <c r="H79" s="20" t="n">
        <v>1.56225958</v>
      </c>
      <c r="I79" s="18" t="n">
        <v>0</v>
      </c>
      <c r="J79" s="20" t="n">
        <v>0</v>
      </c>
      <c r="K79" s="18" t="n">
        <v>0.27335371</v>
      </c>
      <c r="L79" s="20" t="n">
        <v>0.25555147</v>
      </c>
      <c r="M79" s="18" t="n">
        <v>0</v>
      </c>
      <c r="N79" s="20" t="n">
        <v>0</v>
      </c>
      <c r="O79" s="18" t="n">
        <v>0</v>
      </c>
      <c r="P79" s="20" t="n">
        <v>0</v>
      </c>
      <c r="Q79" s="18" t="n">
        <v>0.68791223</v>
      </c>
      <c r="R79" s="20" t="n">
        <v>0.35844169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(6187.0/B11*100)</f>
        <v/>
      </c>
      <c r="D11" s="19" t="n">
        <v>866</v>
      </c>
      <c r="E11" s="18" t="n">
        <v>17.90634236</v>
      </c>
      <c r="F11" s="20" t="n">
        <v>1.38944855</v>
      </c>
      <c r="G11" s="18" t="n">
        <v>80.64398785</v>
      </c>
      <c r="H11" s="20" t="n">
        <v>1.53781125</v>
      </c>
      <c r="I11" s="18" t="n">
        <v>0</v>
      </c>
      <c r="J11" s="20" t="n">
        <v>0</v>
      </c>
      <c r="K11" s="18" t="n">
        <v>0.4470062</v>
      </c>
      <c r="L11" s="20" t="n">
        <v>0.36016272</v>
      </c>
      <c r="M11" s="18" t="n">
        <v>0</v>
      </c>
      <c r="N11" s="20" t="n">
        <v>0</v>
      </c>
      <c r="O11" s="18" t="n">
        <v>0</v>
      </c>
      <c r="P11" s="20" t="n">
        <v>0</v>
      </c>
      <c r="Q11" s="18" t="n">
        <v>1.00266359</v>
      </c>
      <c r="R11" s="20" t="n">
        <v>0.39819332</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(6690.0/B28*100)</f>
        <v/>
      </c>
      <c r="D28" s="19" t="n">
        <v>878</v>
      </c>
      <c r="E28" s="18" t="n">
        <v>19.36016256</v>
      </c>
      <c r="F28" s="20" t="n">
        <v>1.36361191</v>
      </c>
      <c r="G28" s="18" t="n">
        <v>79.21415149000001</v>
      </c>
      <c r="H28" s="20" t="n">
        <v>1.42086913</v>
      </c>
      <c r="I28" s="18" t="n">
        <v>0</v>
      </c>
      <c r="J28" s="20" t="n">
        <v>0</v>
      </c>
      <c r="K28" s="18" t="n">
        <v>0.21047135</v>
      </c>
      <c r="L28" s="20" t="n">
        <v>0.21192844</v>
      </c>
      <c r="M28" s="18" t="n">
        <v>0.39518545</v>
      </c>
      <c r="N28" s="20" t="n">
        <v>0.28151142</v>
      </c>
      <c r="O28" s="18" t="n">
        <v>0</v>
      </c>
      <c r="P28" s="20" t="n">
        <v>0</v>
      </c>
      <c r="Q28" s="18" t="n">
        <v>0.82002915</v>
      </c>
      <c r="R28" s="20" t="n">
        <v>0.37438637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(20434.0/B46*100)</f>
        <v/>
      </c>
      <c r="D46" s="19" t="n">
        <v>2707</v>
      </c>
      <c r="E46" s="18" t="n">
        <v>26.61418503</v>
      </c>
      <c r="F46" s="20" t="n">
        <v>1.2333081</v>
      </c>
      <c r="G46" s="18" t="n">
        <v>67.40366028</v>
      </c>
      <c r="H46" s="20" t="n">
        <v>1.47254766</v>
      </c>
      <c r="I46" s="18" t="n">
        <v>0</v>
      </c>
      <c r="J46" s="20" t="n">
        <v>0</v>
      </c>
      <c r="K46" s="18" t="n">
        <v>0.21284745</v>
      </c>
      <c r="L46" s="20" t="n">
        <v>0.12067786</v>
      </c>
      <c r="M46" s="18" t="n">
        <v>0.20758746</v>
      </c>
      <c r="N46" s="20" t="n">
        <v>0.13225569</v>
      </c>
      <c r="O46" s="18" t="n">
        <v>0</v>
      </c>
      <c r="P46" s="20" t="n">
        <v>0</v>
      </c>
      <c r="Q46" s="18" t="n">
        <v>5.56171979</v>
      </c>
      <c r="R46" s="20" t="n">
        <v>0.54639175</v>
      </c>
    </row>
    <row r="47" spans="1:18">
      <c r="A47" s="15" t="s">
        <v>470</v>
      </c>
      <c r="B47" s="17" t="n">
        <v>5928</v>
      </c>
      <c r="C47" s="18">
        <f>(5210.0/B47*100)</f>
        <v/>
      </c>
      <c r="D47" s="19" t="n">
        <v>718</v>
      </c>
      <c r="E47" s="18" t="n">
        <v>25.52138566</v>
      </c>
      <c r="F47" s="20" t="n">
        <v>1.67446399</v>
      </c>
      <c r="G47" s="18" t="n">
        <v>64.28185762</v>
      </c>
      <c r="H47" s="20" t="n">
        <v>2.12506504</v>
      </c>
      <c r="I47" s="18" t="n">
        <v>0</v>
      </c>
      <c r="J47" s="20" t="n">
        <v>0</v>
      </c>
      <c r="K47" s="18" t="n">
        <v>0</v>
      </c>
      <c r="L47" s="20" t="n">
        <v>0</v>
      </c>
      <c r="M47" s="18" t="n">
        <v>0</v>
      </c>
      <c r="N47" s="20" t="n">
        <v>0</v>
      </c>
      <c r="O47" s="18" t="n">
        <v>0</v>
      </c>
      <c r="P47" s="20" t="n">
        <v>0</v>
      </c>
      <c r="Q47" s="18" t="n">
        <v>10.19675672</v>
      </c>
      <c r="R47" s="20" t="n">
        <v>1.25630163</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(10340.0/B49*100)</f>
        <v/>
      </c>
      <c r="D49" s="19" t="n">
        <v>1455</v>
      </c>
      <c r="E49" s="18" t="n">
        <v>18.62016352</v>
      </c>
      <c r="F49" s="20" t="n">
        <v>1.31448653</v>
      </c>
      <c r="G49" s="18" t="n">
        <v>80.26931964000001</v>
      </c>
      <c r="H49" s="20" t="n">
        <v>1.33471092</v>
      </c>
      <c r="I49" s="18" t="n">
        <v>0</v>
      </c>
      <c r="J49" s="20" t="n">
        <v>0</v>
      </c>
      <c r="K49" s="18" t="n">
        <v>0.16361156</v>
      </c>
      <c r="L49" s="20" t="n">
        <v>0.16221788</v>
      </c>
      <c r="M49" s="18" t="n">
        <v>0.08106338</v>
      </c>
      <c r="N49" s="20" t="n">
        <v>0.07741547999999999</v>
      </c>
      <c r="O49" s="18" t="n">
        <v>0</v>
      </c>
      <c r="P49" s="20" t="n">
        <v>0</v>
      </c>
      <c r="Q49" s="18" t="n">
        <v>0.8658419000000001</v>
      </c>
      <c r="R49" s="20" t="n">
        <v>0.2507855</v>
      </c>
    </row>
    <row r="50" spans="1:18">
      <c r="A50" s="15" t="s">
        <v>473</v>
      </c>
      <c r="B50" s="17" t="n">
        <v>6866</v>
      </c>
      <c r="C50" s="18">
        <f>(6129.0/B50*100)</f>
        <v/>
      </c>
      <c r="D50" s="19" t="n">
        <v>737</v>
      </c>
      <c r="E50" s="18" t="n">
        <v>42.11630582</v>
      </c>
      <c r="F50" s="20" t="n">
        <v>2.04577115</v>
      </c>
      <c r="G50" s="18" t="n">
        <v>56.00623695</v>
      </c>
      <c r="H50" s="20" t="n">
        <v>2.01164779</v>
      </c>
      <c r="I50" s="18" t="n">
        <v>0</v>
      </c>
      <c r="J50" s="20" t="n">
        <v>0</v>
      </c>
      <c r="K50" s="18" t="n">
        <v>0.183158</v>
      </c>
      <c r="L50" s="20" t="n">
        <v>0.18354475</v>
      </c>
      <c r="M50" s="18" t="n">
        <v>0</v>
      </c>
      <c r="N50" s="20" t="n">
        <v>0</v>
      </c>
      <c r="O50" s="18" t="n">
        <v>0</v>
      </c>
      <c r="P50" s="20" t="n">
        <v>0</v>
      </c>
      <c r="Q50" s="18" t="n">
        <v>1.69429924</v>
      </c>
      <c r="R50" s="20" t="n">
        <v>0.4006291</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(4897.0/B52*100)</f>
        <v/>
      </c>
      <c r="D52" s="19" t="n">
        <v>674</v>
      </c>
      <c r="E52" s="18" t="n">
        <v>20.77716424</v>
      </c>
      <c r="F52" s="20" t="n">
        <v>1.73395481</v>
      </c>
      <c r="G52" s="18" t="n">
        <v>75.34958647000001</v>
      </c>
      <c r="H52" s="20" t="n">
        <v>1.78419279</v>
      </c>
      <c r="I52" s="18" t="n">
        <v>0</v>
      </c>
      <c r="J52" s="20" t="n">
        <v>0</v>
      </c>
      <c r="K52" s="18" t="n">
        <v>0.10812633</v>
      </c>
      <c r="L52" s="20" t="n">
        <v>0.10809872</v>
      </c>
      <c r="M52" s="18" t="n">
        <v>0</v>
      </c>
      <c r="N52" s="20" t="n">
        <v>0</v>
      </c>
      <c r="O52" s="18" t="n">
        <v>0</v>
      </c>
      <c r="P52" s="20" t="n">
        <v>0</v>
      </c>
      <c r="Q52" s="18" t="n">
        <v>3.76512296</v>
      </c>
      <c r="R52" s="20" t="n">
        <v>0.69350537</v>
      </c>
    </row>
    <row r="53" spans="1:18">
      <c r="A53" s="15" t="s">
        <v>476</v>
      </c>
      <c r="B53" s="17" t="n">
        <v>4740</v>
      </c>
      <c r="C53" s="18">
        <f>(3930.0/B53*100)</f>
        <v/>
      </c>
      <c r="D53" s="19" t="n">
        <v>810</v>
      </c>
      <c r="E53" s="18" t="n">
        <v>34.83537959</v>
      </c>
      <c r="F53" s="20" t="n">
        <v>1.86893952</v>
      </c>
      <c r="G53" s="18" t="n">
        <v>54.90663995</v>
      </c>
      <c r="H53" s="20" t="n">
        <v>1.97350603</v>
      </c>
      <c r="I53" s="18" t="n">
        <v>0</v>
      </c>
      <c r="J53" s="20" t="n">
        <v>0</v>
      </c>
      <c r="K53" s="18" t="n">
        <v>3.96007765</v>
      </c>
      <c r="L53" s="20" t="n">
        <v>0.74870227</v>
      </c>
      <c r="M53" s="18" t="n">
        <v>0.77383656</v>
      </c>
      <c r="N53" s="20" t="n">
        <v>0.6979338</v>
      </c>
      <c r="O53" s="18" t="n">
        <v>0</v>
      </c>
      <c r="P53" s="20" t="n">
        <v>0</v>
      </c>
      <c r="Q53" s="18" t="n">
        <v>5.52406625</v>
      </c>
      <c r="R53" s="20" t="n">
        <v>0.89254542</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(6114.0/B68*100)</f>
        <v/>
      </c>
      <c r="D68" s="19" t="n">
        <v>857</v>
      </c>
      <c r="E68" s="18" t="n">
        <v>27.14511596</v>
      </c>
      <c r="F68" s="20" t="n">
        <v>1.47554099</v>
      </c>
      <c r="G68" s="18" t="n">
        <v>71.39034174</v>
      </c>
      <c r="H68" s="20" t="n">
        <v>1.49055779</v>
      </c>
      <c r="I68" s="18" t="n">
        <v>0</v>
      </c>
      <c r="J68" s="20" t="n">
        <v>0</v>
      </c>
      <c r="K68" s="18" t="n">
        <v>0.22476968</v>
      </c>
      <c r="L68" s="20" t="n">
        <v>0.15844834</v>
      </c>
      <c r="M68" s="18" t="n">
        <v>0</v>
      </c>
      <c r="N68" s="20" t="n">
        <v>0</v>
      </c>
      <c r="O68" s="18" t="n">
        <v>0</v>
      </c>
      <c r="P68" s="20" t="n">
        <v>0</v>
      </c>
      <c r="Q68" s="18" t="n">
        <v>1.23977261</v>
      </c>
      <c r="R68" s="20" t="n">
        <v>0.34097389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37.02600497</v>
      </c>
      <c r="F70" s="20" t="n">
        <v>1.03645726</v>
      </c>
      <c r="G70" s="18" t="n">
        <v>56.26189199</v>
      </c>
      <c r="H70" s="20" t="n">
        <v>1.19336623</v>
      </c>
      <c r="I70" s="18" t="n">
        <v>0</v>
      </c>
      <c r="J70" s="20" t="n">
        <v>0</v>
      </c>
      <c r="K70" s="18" t="n">
        <v>1.40319474</v>
      </c>
      <c r="L70" s="20" t="n">
        <v>0.24620712</v>
      </c>
      <c r="M70" s="18" t="n">
        <v>0.09482409999999999</v>
      </c>
      <c r="N70" s="20" t="n">
        <v>0.06737768</v>
      </c>
      <c r="O70" s="18" t="n">
        <v>0</v>
      </c>
      <c r="P70" s="20" t="n">
        <v>0</v>
      </c>
      <c r="Q70" s="18" t="n">
        <v>5.2140842</v>
      </c>
      <c r="R70" s="20" t="n">
        <v>0.51840657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(4759.0/B77*100)</f>
        <v/>
      </c>
      <c r="D77" s="19" t="n">
        <v>616</v>
      </c>
      <c r="E77" s="18" t="n">
        <v>32.38072432</v>
      </c>
      <c r="F77" s="20" t="n">
        <v>1.91360538</v>
      </c>
      <c r="G77" s="18" t="n">
        <v>54.22021824</v>
      </c>
      <c r="H77" s="20" t="n">
        <v>2.20796774</v>
      </c>
      <c r="I77" s="18" t="n">
        <v>0</v>
      </c>
      <c r="J77" s="20" t="n">
        <v>0</v>
      </c>
      <c r="K77" s="18" t="n">
        <v>0.81385383</v>
      </c>
      <c r="L77" s="20" t="n">
        <v>0.34454587</v>
      </c>
      <c r="M77" s="18" t="n">
        <v>0.18963572</v>
      </c>
      <c r="N77" s="20" t="n">
        <v>0.18796252</v>
      </c>
      <c r="O77" s="18" t="n">
        <v>0</v>
      </c>
      <c r="P77" s="20" t="n">
        <v>0</v>
      </c>
      <c r="Q77" s="18" t="n">
        <v>12.39556788</v>
      </c>
      <c r="R77" s="20" t="n">
        <v>1.58044342</v>
      </c>
    </row>
    <row r="78" spans="1:18">
      <c r="A78" s="15" t="s">
        <v>502</v>
      </c>
      <c r="B78" s="17" t="n">
        <v>14167</v>
      </c>
      <c r="C78" s="18">
        <f>(12413.0/B78*100)</f>
        <v/>
      </c>
      <c r="D78" s="19" t="n">
        <v>1754</v>
      </c>
      <c r="E78" s="18" t="n">
        <v>33.11003618</v>
      </c>
      <c r="F78" s="20" t="n">
        <v>1.55088165</v>
      </c>
      <c r="G78" s="18" t="n">
        <v>63.34822518</v>
      </c>
      <c r="H78" s="20" t="n">
        <v>1.56027467</v>
      </c>
      <c r="I78" s="18" t="n">
        <v>0</v>
      </c>
      <c r="J78" s="20" t="n">
        <v>0</v>
      </c>
      <c r="K78" s="18" t="n">
        <v>0.51382911</v>
      </c>
      <c r="L78" s="20" t="n">
        <v>0.16298523</v>
      </c>
      <c r="M78" s="18" t="n">
        <v>0.13114987</v>
      </c>
      <c r="N78" s="20" t="n">
        <v>0.08486264</v>
      </c>
      <c r="O78" s="18" t="n">
        <v>0</v>
      </c>
      <c r="P78" s="20" t="n">
        <v>0</v>
      </c>
      <c r="Q78" s="18" t="n">
        <v>2.89675966</v>
      </c>
      <c r="R78" s="20" t="n">
        <v>0.56703241</v>
      </c>
    </row>
    <row r="79" spans="1:18">
      <c r="A79" s="15" t="s">
        <v>503</v>
      </c>
      <c r="B79" s="17" t="n">
        <v>6062</v>
      </c>
      <c r="C79" s="18">
        <f>(5354.0/B79*100)</f>
        <v/>
      </c>
      <c r="D79" s="19" t="n">
        <v>708</v>
      </c>
      <c r="E79" s="18" t="n">
        <v>17.26554119</v>
      </c>
      <c r="F79" s="20" t="n">
        <v>1.39956451</v>
      </c>
      <c r="G79" s="18" t="n">
        <v>78.74844519</v>
      </c>
      <c r="H79" s="20" t="n">
        <v>1.61710562</v>
      </c>
      <c r="I79" s="18" t="n">
        <v>0</v>
      </c>
      <c r="J79" s="20" t="n">
        <v>0</v>
      </c>
      <c r="K79" s="18" t="n">
        <v>0.27494474</v>
      </c>
      <c r="L79" s="20" t="n">
        <v>0.25704957</v>
      </c>
      <c r="M79" s="18" t="n">
        <v>0.128659</v>
      </c>
      <c r="N79" s="20" t="n">
        <v>0.13241693</v>
      </c>
      <c r="O79" s="18" t="n">
        <v>0</v>
      </c>
      <c r="P79" s="20" t="n">
        <v>0</v>
      </c>
      <c r="Q79" s="18" t="n">
        <v>3.58240988</v>
      </c>
      <c r="R79" s="20" t="n">
        <v>0.70727736</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(6187.0/B11*100)</f>
        <v/>
      </c>
      <c r="D11" s="19" t="n">
        <v>866</v>
      </c>
      <c r="E11" s="18" t="n">
        <v>7.01487307</v>
      </c>
      <c r="F11" s="20" t="n">
        <v>1.18771454</v>
      </c>
      <c r="G11" s="18" t="n">
        <v>92.07461704000001</v>
      </c>
      <c r="H11" s="20" t="n">
        <v>1.26040469</v>
      </c>
      <c r="I11" s="18" t="n">
        <v>0</v>
      </c>
      <c r="J11" s="20" t="n">
        <v>0</v>
      </c>
      <c r="K11" s="18" t="n">
        <v>0.4470062</v>
      </c>
      <c r="L11" s="20" t="n">
        <v>0.36016272</v>
      </c>
      <c r="M11" s="18" t="n">
        <v>0</v>
      </c>
      <c r="N11" s="20" t="n">
        <v>0</v>
      </c>
      <c r="O11" s="18" t="n">
        <v>0</v>
      </c>
      <c r="P11" s="20" t="n">
        <v>0</v>
      </c>
      <c r="Q11" s="18" t="n">
        <v>0.46350369</v>
      </c>
      <c r="R11" s="20" t="n">
        <v>0.23019814</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(6690.0/B28*100)</f>
        <v/>
      </c>
      <c r="D28" s="19" t="n">
        <v>878</v>
      </c>
      <c r="E28" s="18" t="n">
        <v>16.19242175</v>
      </c>
      <c r="F28" s="20" t="n">
        <v>1.44503282</v>
      </c>
      <c r="G28" s="18" t="n">
        <v>83.31537720999999</v>
      </c>
      <c r="H28" s="20" t="n">
        <v>1.41156761</v>
      </c>
      <c r="I28" s="18" t="n">
        <v>0</v>
      </c>
      <c r="J28" s="20" t="n">
        <v>0</v>
      </c>
      <c r="K28" s="18" t="n">
        <v>0.21047135</v>
      </c>
      <c r="L28" s="20" t="n">
        <v>0.21192844</v>
      </c>
      <c r="M28" s="18" t="n">
        <v>0</v>
      </c>
      <c r="N28" s="20" t="n">
        <v>0</v>
      </c>
      <c r="O28" s="18" t="n">
        <v>0</v>
      </c>
      <c r="P28" s="20" t="n">
        <v>0</v>
      </c>
      <c r="Q28" s="18" t="n">
        <v>0.2817297</v>
      </c>
      <c r="R28" s="20" t="n">
        <v>0.16429378</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(20419.0/B46*100)</f>
        <v/>
      </c>
      <c r="D46" s="19" t="n">
        <v>2722</v>
      </c>
      <c r="E46" s="18" t="n">
        <v>17.65074181</v>
      </c>
      <c r="F46" s="20" t="n">
        <v>0.9313900000000001</v>
      </c>
      <c r="G46" s="18" t="n">
        <v>81.37544873</v>
      </c>
      <c r="H46" s="20" t="n">
        <v>0.97306711</v>
      </c>
      <c r="I46" s="18" t="n">
        <v>0</v>
      </c>
      <c r="J46" s="20" t="n">
        <v>0</v>
      </c>
      <c r="K46" s="18" t="n">
        <v>0.25233475</v>
      </c>
      <c r="L46" s="20" t="n">
        <v>0.12546257</v>
      </c>
      <c r="M46" s="18" t="n">
        <v>0</v>
      </c>
      <c r="N46" s="20" t="n">
        <v>0</v>
      </c>
      <c r="O46" s="18" t="n">
        <v>0</v>
      </c>
      <c r="P46" s="20" t="n">
        <v>0</v>
      </c>
      <c r="Q46" s="18" t="n">
        <v>0.72147471</v>
      </c>
      <c r="R46" s="20" t="n">
        <v>0.18462602</v>
      </c>
    </row>
    <row r="47" spans="1:18">
      <c r="A47" s="15" t="s">
        <v>470</v>
      </c>
      <c r="B47" s="17" t="n">
        <v>5928</v>
      </c>
      <c r="C47" s="18">
        <f>(5210.0/B47*100)</f>
        <v/>
      </c>
      <c r="D47" s="19" t="n">
        <v>718</v>
      </c>
      <c r="E47" s="18" t="n">
        <v>20.48001494</v>
      </c>
      <c r="F47" s="20" t="n">
        <v>1.44157684</v>
      </c>
      <c r="G47" s="18" t="n">
        <v>78.14368118</v>
      </c>
      <c r="H47" s="20" t="n">
        <v>1.48970404</v>
      </c>
      <c r="I47" s="18" t="n">
        <v>0</v>
      </c>
      <c r="J47" s="20" t="n">
        <v>0</v>
      </c>
      <c r="K47" s="18" t="n">
        <v>0</v>
      </c>
      <c r="L47" s="20" t="n">
        <v>0</v>
      </c>
      <c r="M47" s="18" t="n">
        <v>0</v>
      </c>
      <c r="N47" s="20" t="n">
        <v>0</v>
      </c>
      <c r="O47" s="18" t="n">
        <v>0</v>
      </c>
      <c r="P47" s="20" t="n">
        <v>0</v>
      </c>
      <c r="Q47" s="18" t="n">
        <v>1.37630388</v>
      </c>
      <c r="R47" s="20" t="n">
        <v>0.46121219</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(10338.0/B49*100)</f>
        <v/>
      </c>
      <c r="D49" s="19" t="n">
        <v>1457</v>
      </c>
      <c r="E49" s="18" t="n">
        <v>11.4996318</v>
      </c>
      <c r="F49" s="20" t="n">
        <v>0.97817607</v>
      </c>
      <c r="G49" s="18" t="n">
        <v>87.54033303999999</v>
      </c>
      <c r="H49" s="20" t="n">
        <v>1.12756051</v>
      </c>
      <c r="I49" s="18" t="n">
        <v>0</v>
      </c>
      <c r="J49" s="20" t="n">
        <v>0</v>
      </c>
      <c r="K49" s="18" t="n">
        <v>0.2932015</v>
      </c>
      <c r="L49" s="20" t="n">
        <v>0.18279006</v>
      </c>
      <c r="M49" s="18" t="n">
        <v>0</v>
      </c>
      <c r="N49" s="20" t="n">
        <v>0</v>
      </c>
      <c r="O49" s="18" t="n">
        <v>0</v>
      </c>
      <c r="P49" s="20" t="n">
        <v>0</v>
      </c>
      <c r="Q49" s="18" t="n">
        <v>0.6668336499999999</v>
      </c>
      <c r="R49" s="20" t="n">
        <v>0.27854001</v>
      </c>
    </row>
    <row r="50" spans="1:18">
      <c r="A50" s="15" t="s">
        <v>473</v>
      </c>
      <c r="B50" s="17" t="n">
        <v>6866</v>
      </c>
      <c r="C50" s="18">
        <f>(6128.0/B50*100)</f>
        <v/>
      </c>
      <c r="D50" s="19" t="n">
        <v>738</v>
      </c>
      <c r="E50" s="18" t="n">
        <v>6.54210044</v>
      </c>
      <c r="F50" s="20" t="n">
        <v>1.0115906</v>
      </c>
      <c r="G50" s="18" t="n">
        <v>92.3110887</v>
      </c>
      <c r="H50" s="20" t="n">
        <v>1.07867727</v>
      </c>
      <c r="I50" s="18" t="n">
        <v>0</v>
      </c>
      <c r="J50" s="20" t="n">
        <v>0</v>
      </c>
      <c r="K50" s="18" t="n">
        <v>0.18291774</v>
      </c>
      <c r="L50" s="20" t="n">
        <v>0.18330507</v>
      </c>
      <c r="M50" s="18" t="n">
        <v>0</v>
      </c>
      <c r="N50" s="20" t="n">
        <v>0</v>
      </c>
      <c r="O50" s="18" t="n">
        <v>0</v>
      </c>
      <c r="P50" s="20" t="n">
        <v>0</v>
      </c>
      <c r="Q50" s="18" t="n">
        <v>0.96389311</v>
      </c>
      <c r="R50" s="20" t="n">
        <v>0.33509229</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(4897.0/B52*100)</f>
        <v/>
      </c>
      <c r="D52" s="19" t="n">
        <v>674</v>
      </c>
      <c r="E52" s="18" t="n">
        <v>14.634381</v>
      </c>
      <c r="F52" s="20" t="n">
        <v>1.25774711</v>
      </c>
      <c r="G52" s="18" t="n">
        <v>84.49986782000001</v>
      </c>
      <c r="H52" s="20" t="n">
        <v>1.33090269</v>
      </c>
      <c r="I52" s="18" t="n">
        <v>0</v>
      </c>
      <c r="J52" s="20" t="n">
        <v>0</v>
      </c>
      <c r="K52" s="18" t="n">
        <v>0.10812633</v>
      </c>
      <c r="L52" s="20" t="n">
        <v>0.10809872</v>
      </c>
      <c r="M52" s="18" t="n">
        <v>0</v>
      </c>
      <c r="N52" s="20" t="n">
        <v>0</v>
      </c>
      <c r="O52" s="18" t="n">
        <v>0</v>
      </c>
      <c r="P52" s="20" t="n">
        <v>0</v>
      </c>
      <c r="Q52" s="18" t="n">
        <v>0.75762486</v>
      </c>
      <c r="R52" s="20" t="n">
        <v>0.36660989</v>
      </c>
    </row>
    <row r="53" spans="1:18">
      <c r="A53" s="15" t="s">
        <v>476</v>
      </c>
      <c r="B53" s="17" t="n">
        <v>4740</v>
      </c>
      <c r="C53" s="18">
        <f>(3930.0/B53*100)</f>
        <v/>
      </c>
      <c r="D53" s="19" t="n">
        <v>810</v>
      </c>
      <c r="E53" s="18" t="n">
        <v>21.12267775</v>
      </c>
      <c r="F53" s="20" t="n">
        <v>1.50853678</v>
      </c>
      <c r="G53" s="18" t="n">
        <v>71.98664994000001</v>
      </c>
      <c r="H53" s="20" t="n">
        <v>1.68049586</v>
      </c>
      <c r="I53" s="18" t="n">
        <v>0</v>
      </c>
      <c r="J53" s="20" t="n">
        <v>0</v>
      </c>
      <c r="K53" s="18" t="n">
        <v>4.21190312</v>
      </c>
      <c r="L53" s="20" t="n">
        <v>0.7062836300000001</v>
      </c>
      <c r="M53" s="18" t="n">
        <v>0</v>
      </c>
      <c r="N53" s="20" t="n">
        <v>0</v>
      </c>
      <c r="O53" s="18" t="n">
        <v>0</v>
      </c>
      <c r="P53" s="20" t="n">
        <v>0</v>
      </c>
      <c r="Q53" s="18" t="n">
        <v>2.6787692</v>
      </c>
      <c r="R53" s="20" t="n">
        <v>0.66951108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(6109.0/B68*100)</f>
        <v/>
      </c>
      <c r="D68" s="19" t="n">
        <v>862</v>
      </c>
      <c r="E68" s="18" t="n">
        <v>17.05421132</v>
      </c>
      <c r="F68" s="20" t="n">
        <v>1.32068543</v>
      </c>
      <c r="G68" s="18" t="n">
        <v>82.45266512000001</v>
      </c>
      <c r="H68" s="20" t="n">
        <v>1.32706533</v>
      </c>
      <c r="I68" s="18" t="n">
        <v>0</v>
      </c>
      <c r="J68" s="20" t="n">
        <v>0</v>
      </c>
      <c r="K68" s="18" t="n">
        <v>0.22318751</v>
      </c>
      <c r="L68" s="20" t="n">
        <v>0.15732425</v>
      </c>
      <c r="M68" s="18" t="n">
        <v>0</v>
      </c>
      <c r="N68" s="20" t="n">
        <v>0</v>
      </c>
      <c r="O68" s="18" t="n">
        <v>0</v>
      </c>
      <c r="P68" s="20" t="n">
        <v>0</v>
      </c>
      <c r="Q68" s="18" t="n">
        <v>0.26993606</v>
      </c>
      <c r="R68" s="20" t="n">
        <v>0.15859559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21.1918816</v>
      </c>
      <c r="F70" s="20" t="n">
        <v>1.02387143</v>
      </c>
      <c r="G70" s="18" t="n">
        <v>76.61717357000001</v>
      </c>
      <c r="H70" s="20" t="n">
        <v>1.05701022</v>
      </c>
      <c r="I70" s="18" t="n">
        <v>0</v>
      </c>
      <c r="J70" s="20" t="n">
        <v>0</v>
      </c>
      <c r="K70" s="18" t="n">
        <v>1.40319474</v>
      </c>
      <c r="L70" s="20" t="n">
        <v>0.24620712</v>
      </c>
      <c r="M70" s="18" t="n">
        <v>0</v>
      </c>
      <c r="N70" s="20" t="n">
        <v>0</v>
      </c>
      <c r="O70" s="18" t="n">
        <v>0</v>
      </c>
      <c r="P70" s="20" t="n">
        <v>0</v>
      </c>
      <c r="Q70" s="18" t="n">
        <v>0.78775008</v>
      </c>
      <c r="R70" s="20" t="n">
        <v>0.19585714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(4760.0/B77*100)</f>
        <v/>
      </c>
      <c r="D77" s="19" t="n">
        <v>615</v>
      </c>
      <c r="E77" s="18" t="n">
        <v>30.73106776</v>
      </c>
      <c r="F77" s="20" t="n">
        <v>1.88822999</v>
      </c>
      <c r="G77" s="18" t="n">
        <v>66.506457</v>
      </c>
      <c r="H77" s="20" t="n">
        <v>2.04534668</v>
      </c>
      <c r="I77" s="18" t="n">
        <v>0</v>
      </c>
      <c r="J77" s="20" t="n">
        <v>0</v>
      </c>
      <c r="K77" s="18" t="n">
        <v>0.81616585</v>
      </c>
      <c r="L77" s="20" t="n">
        <v>0.3450723</v>
      </c>
      <c r="M77" s="18" t="n">
        <v>0</v>
      </c>
      <c r="N77" s="20" t="n">
        <v>0</v>
      </c>
      <c r="O77" s="18" t="n">
        <v>0</v>
      </c>
      <c r="P77" s="20" t="n">
        <v>0</v>
      </c>
      <c r="Q77" s="18" t="n">
        <v>1.94630939</v>
      </c>
      <c r="R77" s="20" t="n">
        <v>0.60784966</v>
      </c>
    </row>
    <row r="78" spans="1:18">
      <c r="A78" s="15" t="s">
        <v>502</v>
      </c>
      <c r="B78" s="17" t="n">
        <v>14167</v>
      </c>
      <c r="C78" s="18">
        <f>(12415.0/B78*100)</f>
        <v/>
      </c>
      <c r="D78" s="19" t="n">
        <v>1752</v>
      </c>
      <c r="E78" s="18" t="n">
        <v>15.27564552</v>
      </c>
      <c r="F78" s="20" t="n">
        <v>1.06934563</v>
      </c>
      <c r="G78" s="18" t="n">
        <v>83.32696581</v>
      </c>
      <c r="H78" s="20" t="n">
        <v>1.10027121</v>
      </c>
      <c r="I78" s="18" t="n">
        <v>0</v>
      </c>
      <c r="J78" s="20" t="n">
        <v>0</v>
      </c>
      <c r="K78" s="18" t="n">
        <v>0.51430847</v>
      </c>
      <c r="L78" s="20" t="n">
        <v>0.16313081</v>
      </c>
      <c r="M78" s="18" t="n">
        <v>0</v>
      </c>
      <c r="N78" s="20" t="n">
        <v>0</v>
      </c>
      <c r="O78" s="18" t="n">
        <v>0</v>
      </c>
      <c r="P78" s="20" t="n">
        <v>0</v>
      </c>
      <c r="Q78" s="18" t="n">
        <v>0.88308021</v>
      </c>
      <c r="R78" s="20" t="n">
        <v>0.32595971</v>
      </c>
    </row>
    <row r="79" spans="1:18">
      <c r="A79" s="15" t="s">
        <v>503</v>
      </c>
      <c r="B79" s="17" t="n">
        <v>6062</v>
      </c>
      <c r="C79" s="18">
        <f>(5353.0/B79*100)</f>
        <v/>
      </c>
      <c r="D79" s="19" t="n">
        <v>709</v>
      </c>
      <c r="E79" s="18" t="n">
        <v>15.10433267</v>
      </c>
      <c r="F79" s="20" t="n">
        <v>1.71805924</v>
      </c>
      <c r="G79" s="18" t="n">
        <v>83.46619594000001</v>
      </c>
      <c r="H79" s="20" t="n">
        <v>1.64931002</v>
      </c>
      <c r="I79" s="18" t="n">
        <v>0</v>
      </c>
      <c r="J79" s="20" t="n">
        <v>0</v>
      </c>
      <c r="K79" s="18" t="n">
        <v>0.27449113</v>
      </c>
      <c r="L79" s="20" t="n">
        <v>0.25663162</v>
      </c>
      <c r="M79" s="18" t="n">
        <v>0</v>
      </c>
      <c r="N79" s="20" t="n">
        <v>0</v>
      </c>
      <c r="O79" s="18" t="n">
        <v>0</v>
      </c>
      <c r="P79" s="20" t="n">
        <v>0</v>
      </c>
      <c r="Q79" s="18" t="n">
        <v>1.15498026</v>
      </c>
      <c r="R79" s="20" t="n">
        <v>0.37038455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(6187.0/B11*100)</f>
        <v/>
      </c>
      <c r="D11" s="19" t="n">
        <v>866</v>
      </c>
      <c r="E11" s="18" t="n">
        <v>27.61362183</v>
      </c>
      <c r="F11" s="20" t="n">
        <v>1.7684233</v>
      </c>
      <c r="G11" s="18" t="n">
        <v>71.19394563</v>
      </c>
      <c r="H11" s="20" t="n">
        <v>1.78030633</v>
      </c>
      <c r="I11" s="18" t="n">
        <v>0</v>
      </c>
      <c r="J11" s="20" t="n">
        <v>0</v>
      </c>
      <c r="K11" s="18" t="n">
        <v>0.4470062</v>
      </c>
      <c r="L11" s="20" t="n">
        <v>0.36016272</v>
      </c>
      <c r="M11" s="18" t="n">
        <v>0</v>
      </c>
      <c r="N11" s="20" t="n">
        <v>0</v>
      </c>
      <c r="O11" s="18" t="n">
        <v>0</v>
      </c>
      <c r="P11" s="20" t="n">
        <v>0</v>
      </c>
      <c r="Q11" s="18" t="n">
        <v>0.74542634</v>
      </c>
      <c r="R11" s="20" t="n">
        <v>0.32398518</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(6690.0/B28*100)</f>
        <v/>
      </c>
      <c r="D28" s="19" t="n">
        <v>878</v>
      </c>
      <c r="E28" s="18" t="n">
        <v>43.14064507</v>
      </c>
      <c r="F28" s="20" t="n">
        <v>1.99745616</v>
      </c>
      <c r="G28" s="18" t="n">
        <v>56.44731443</v>
      </c>
      <c r="H28" s="20" t="n">
        <v>1.9962148</v>
      </c>
      <c r="I28" s="18" t="n">
        <v>0</v>
      </c>
      <c r="J28" s="20" t="n">
        <v>0</v>
      </c>
      <c r="K28" s="18" t="n">
        <v>0.21047135</v>
      </c>
      <c r="L28" s="20" t="n">
        <v>0.21192844</v>
      </c>
      <c r="M28" s="18" t="n">
        <v>0</v>
      </c>
      <c r="N28" s="20" t="n">
        <v>0</v>
      </c>
      <c r="O28" s="18" t="n">
        <v>0</v>
      </c>
      <c r="P28" s="20" t="n">
        <v>0</v>
      </c>
      <c r="Q28" s="18" t="n">
        <v>0.20156916</v>
      </c>
      <c r="R28" s="20" t="n">
        <v>0.15621339</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(20434.0/B46*100)</f>
        <v/>
      </c>
      <c r="D46" s="19" t="n">
        <v>2707</v>
      </c>
      <c r="E46" s="18" t="n">
        <v>44.39304779</v>
      </c>
      <c r="F46" s="20" t="n">
        <v>1.32439463</v>
      </c>
      <c r="G46" s="18" t="n">
        <v>54.38205562</v>
      </c>
      <c r="H46" s="20" t="n">
        <v>1.30009534</v>
      </c>
      <c r="I46" s="18" t="n">
        <v>0</v>
      </c>
      <c r="J46" s="20" t="n">
        <v>0</v>
      </c>
      <c r="K46" s="18" t="n">
        <v>0.25799886</v>
      </c>
      <c r="L46" s="20" t="n">
        <v>0.12610499</v>
      </c>
      <c r="M46" s="18" t="n">
        <v>0</v>
      </c>
      <c r="N46" s="20" t="n">
        <v>0</v>
      </c>
      <c r="O46" s="18" t="n">
        <v>0</v>
      </c>
      <c r="P46" s="20" t="n">
        <v>0</v>
      </c>
      <c r="Q46" s="18" t="n">
        <v>0.96689772</v>
      </c>
      <c r="R46" s="20" t="n">
        <v>0.22241864</v>
      </c>
    </row>
    <row r="47" spans="1:18">
      <c r="A47" s="15" t="s">
        <v>470</v>
      </c>
      <c r="B47" s="17" t="n">
        <v>5928</v>
      </c>
      <c r="C47" s="18">
        <f>(5210.0/B47*100)</f>
        <v/>
      </c>
      <c r="D47" s="19" t="n">
        <v>718</v>
      </c>
      <c r="E47" s="18" t="n">
        <v>32.41168197</v>
      </c>
      <c r="F47" s="20" t="n">
        <v>2.05800725</v>
      </c>
      <c r="G47" s="18" t="n">
        <v>66.51826232000001</v>
      </c>
      <c r="H47" s="20" t="n">
        <v>2.10902392</v>
      </c>
      <c r="I47" s="18" t="n">
        <v>0</v>
      </c>
      <c r="J47" s="20" t="n">
        <v>0</v>
      </c>
      <c r="K47" s="18" t="n">
        <v>0</v>
      </c>
      <c r="L47" s="20" t="n">
        <v>0</v>
      </c>
      <c r="M47" s="18" t="n">
        <v>0</v>
      </c>
      <c r="N47" s="20" t="n">
        <v>0</v>
      </c>
      <c r="O47" s="18" t="n">
        <v>0</v>
      </c>
      <c r="P47" s="20" t="n">
        <v>0</v>
      </c>
      <c r="Q47" s="18" t="n">
        <v>1.0700557</v>
      </c>
      <c r="R47" s="20" t="n">
        <v>0.37931459</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(10339.0/B49*100)</f>
        <v/>
      </c>
      <c r="D49" s="19" t="n">
        <v>1456</v>
      </c>
      <c r="E49" s="18" t="n">
        <v>36.80733025</v>
      </c>
      <c r="F49" s="20" t="n">
        <v>1.78846216</v>
      </c>
      <c r="G49" s="18" t="n">
        <v>61.92163981</v>
      </c>
      <c r="H49" s="20" t="n">
        <v>1.79189565</v>
      </c>
      <c r="I49" s="18" t="n">
        <v>0</v>
      </c>
      <c r="J49" s="20" t="n">
        <v>0</v>
      </c>
      <c r="K49" s="18" t="n">
        <v>0.29349095</v>
      </c>
      <c r="L49" s="20" t="n">
        <v>0.18297418</v>
      </c>
      <c r="M49" s="18" t="n">
        <v>0</v>
      </c>
      <c r="N49" s="20" t="n">
        <v>0</v>
      </c>
      <c r="O49" s="18" t="n">
        <v>0</v>
      </c>
      <c r="P49" s="20" t="n">
        <v>0</v>
      </c>
      <c r="Q49" s="18" t="n">
        <v>0.97753899</v>
      </c>
      <c r="R49" s="20" t="n">
        <v>0.25452132</v>
      </c>
    </row>
    <row r="50" spans="1:18">
      <c r="A50" s="15" t="s">
        <v>473</v>
      </c>
      <c r="B50" s="17" t="n">
        <v>6866</v>
      </c>
      <c r="C50" s="18">
        <f>(6128.0/B50*100)</f>
        <v/>
      </c>
      <c r="D50" s="19" t="n">
        <v>738</v>
      </c>
      <c r="E50" s="18" t="n">
        <v>36.31889573</v>
      </c>
      <c r="F50" s="20" t="n">
        <v>1.87901633</v>
      </c>
      <c r="G50" s="18" t="n">
        <v>62.18511976</v>
      </c>
      <c r="H50" s="20" t="n">
        <v>1.97442168</v>
      </c>
      <c r="I50" s="18" t="n">
        <v>0</v>
      </c>
      <c r="J50" s="20" t="n">
        <v>0</v>
      </c>
      <c r="K50" s="18" t="n">
        <v>0.18291774</v>
      </c>
      <c r="L50" s="20" t="n">
        <v>0.18330507</v>
      </c>
      <c r="M50" s="18" t="n">
        <v>0</v>
      </c>
      <c r="N50" s="20" t="n">
        <v>0</v>
      </c>
      <c r="O50" s="18" t="n">
        <v>0</v>
      </c>
      <c r="P50" s="20" t="n">
        <v>0</v>
      </c>
      <c r="Q50" s="18" t="n">
        <v>1.31306677</v>
      </c>
      <c r="R50" s="20" t="n">
        <v>0.45757419</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(4897.0/B52*100)</f>
        <v/>
      </c>
      <c r="D52" s="19" t="n">
        <v>674</v>
      </c>
      <c r="E52" s="18" t="n">
        <v>36.95843133</v>
      </c>
      <c r="F52" s="20" t="n">
        <v>2.00991411</v>
      </c>
      <c r="G52" s="18" t="n">
        <v>61.77584009</v>
      </c>
      <c r="H52" s="20" t="n">
        <v>2.00044588</v>
      </c>
      <c r="I52" s="18" t="n">
        <v>0</v>
      </c>
      <c r="J52" s="20" t="n">
        <v>0</v>
      </c>
      <c r="K52" s="18" t="n">
        <v>0.10812633</v>
      </c>
      <c r="L52" s="20" t="n">
        <v>0.10809872</v>
      </c>
      <c r="M52" s="18" t="n">
        <v>0</v>
      </c>
      <c r="N52" s="20" t="n">
        <v>0</v>
      </c>
      <c r="O52" s="18" t="n">
        <v>0</v>
      </c>
      <c r="P52" s="20" t="n">
        <v>0</v>
      </c>
      <c r="Q52" s="18" t="n">
        <v>1.15760226</v>
      </c>
      <c r="R52" s="20" t="n">
        <v>0.45804186</v>
      </c>
    </row>
    <row r="53" spans="1:18">
      <c r="A53" s="15" t="s">
        <v>476</v>
      </c>
      <c r="B53" s="17" t="n">
        <v>4740</v>
      </c>
      <c r="C53" s="18">
        <f>(3930.0/B53*100)</f>
        <v/>
      </c>
      <c r="D53" s="19" t="n">
        <v>810</v>
      </c>
      <c r="E53" s="18" t="n">
        <v>46.25335121</v>
      </c>
      <c r="F53" s="20" t="n">
        <v>1.93993792</v>
      </c>
      <c r="G53" s="18" t="n">
        <v>46.97501074</v>
      </c>
      <c r="H53" s="20" t="n">
        <v>1.98134279</v>
      </c>
      <c r="I53" s="18" t="n">
        <v>0</v>
      </c>
      <c r="J53" s="20" t="n">
        <v>0</v>
      </c>
      <c r="K53" s="18" t="n">
        <v>4.47540333</v>
      </c>
      <c r="L53" s="20" t="n">
        <v>0.73025773</v>
      </c>
      <c r="M53" s="18" t="n">
        <v>0</v>
      </c>
      <c r="N53" s="20" t="n">
        <v>0</v>
      </c>
      <c r="O53" s="18" t="n">
        <v>0</v>
      </c>
      <c r="P53" s="20" t="n">
        <v>0</v>
      </c>
      <c r="Q53" s="18" t="n">
        <v>2.29623472</v>
      </c>
      <c r="R53" s="20" t="n">
        <v>0.65521093</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(6114.0/B68*100)</f>
        <v/>
      </c>
      <c r="D68" s="19" t="n">
        <v>857</v>
      </c>
      <c r="E68" s="18" t="n">
        <v>50.218913</v>
      </c>
      <c r="F68" s="20" t="n">
        <v>1.90348625</v>
      </c>
      <c r="G68" s="18" t="n">
        <v>49.02166543</v>
      </c>
      <c r="H68" s="20" t="n">
        <v>1.90256496</v>
      </c>
      <c r="I68" s="18" t="n">
        <v>0</v>
      </c>
      <c r="J68" s="20" t="n">
        <v>0</v>
      </c>
      <c r="K68" s="18" t="n">
        <v>0.22476968</v>
      </c>
      <c r="L68" s="20" t="n">
        <v>0.15844834</v>
      </c>
      <c r="M68" s="18" t="n">
        <v>0</v>
      </c>
      <c r="N68" s="20" t="n">
        <v>0</v>
      </c>
      <c r="O68" s="18" t="n">
        <v>0</v>
      </c>
      <c r="P68" s="20" t="n">
        <v>0</v>
      </c>
      <c r="Q68" s="18" t="n">
        <v>0.53465189</v>
      </c>
      <c r="R68" s="20" t="n">
        <v>0.22887235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45.45085438</v>
      </c>
      <c r="F70" s="20" t="n">
        <v>1.14407278</v>
      </c>
      <c r="G70" s="18" t="n">
        <v>51.86491674</v>
      </c>
      <c r="H70" s="20" t="n">
        <v>1.16604255</v>
      </c>
      <c r="I70" s="18" t="n">
        <v>0</v>
      </c>
      <c r="J70" s="20" t="n">
        <v>0</v>
      </c>
      <c r="K70" s="18" t="n">
        <v>1.40319474</v>
      </c>
      <c r="L70" s="20" t="n">
        <v>0.24620712</v>
      </c>
      <c r="M70" s="18" t="n">
        <v>0</v>
      </c>
      <c r="N70" s="20" t="n">
        <v>0</v>
      </c>
      <c r="O70" s="18" t="n">
        <v>0</v>
      </c>
      <c r="P70" s="20" t="n">
        <v>0</v>
      </c>
      <c r="Q70" s="18" t="n">
        <v>1.28103414</v>
      </c>
      <c r="R70" s="20" t="n">
        <v>0.24030034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(4760.0/B77*100)</f>
        <v/>
      </c>
      <c r="D77" s="19" t="n">
        <v>615</v>
      </c>
      <c r="E77" s="18" t="n">
        <v>50.95157839</v>
      </c>
      <c r="F77" s="20" t="n">
        <v>2.27522472</v>
      </c>
      <c r="G77" s="18" t="n">
        <v>46.25808034</v>
      </c>
      <c r="H77" s="20" t="n">
        <v>2.22058487</v>
      </c>
      <c r="I77" s="18" t="n">
        <v>0</v>
      </c>
      <c r="J77" s="20" t="n">
        <v>0</v>
      </c>
      <c r="K77" s="18" t="n">
        <v>1.06728694</v>
      </c>
      <c r="L77" s="20" t="n">
        <v>0.37691436</v>
      </c>
      <c r="M77" s="18" t="n">
        <v>0</v>
      </c>
      <c r="N77" s="20" t="n">
        <v>0</v>
      </c>
      <c r="O77" s="18" t="n">
        <v>0</v>
      </c>
      <c r="P77" s="20" t="n">
        <v>0</v>
      </c>
      <c r="Q77" s="18" t="n">
        <v>1.72305433</v>
      </c>
      <c r="R77" s="20" t="n">
        <v>0.58013764</v>
      </c>
    </row>
    <row r="78" spans="1:18">
      <c r="A78" s="15" t="s">
        <v>502</v>
      </c>
      <c r="B78" s="17" t="n">
        <v>14167</v>
      </c>
      <c r="C78" s="18">
        <f>(12414.0/B78*100)</f>
        <v/>
      </c>
      <c r="D78" s="19" t="n">
        <v>1753</v>
      </c>
      <c r="E78" s="18" t="n">
        <v>44.92920772</v>
      </c>
      <c r="F78" s="20" t="n">
        <v>1.55215939</v>
      </c>
      <c r="G78" s="18" t="n">
        <v>53.46524158</v>
      </c>
      <c r="H78" s="20" t="n">
        <v>1.6106625</v>
      </c>
      <c r="I78" s="18" t="n">
        <v>0</v>
      </c>
      <c r="J78" s="20" t="n">
        <v>0</v>
      </c>
      <c r="K78" s="18" t="n">
        <v>0.51392358</v>
      </c>
      <c r="L78" s="20" t="n">
        <v>0.16301507</v>
      </c>
      <c r="M78" s="18" t="n">
        <v>0</v>
      </c>
      <c r="N78" s="20" t="n">
        <v>0</v>
      </c>
      <c r="O78" s="18" t="n">
        <v>0</v>
      </c>
      <c r="P78" s="20" t="n">
        <v>0</v>
      </c>
      <c r="Q78" s="18" t="n">
        <v>1.09162712</v>
      </c>
      <c r="R78" s="20" t="n">
        <v>0.35296765</v>
      </c>
    </row>
    <row r="79" spans="1:18">
      <c r="A79" s="15" t="s">
        <v>503</v>
      </c>
      <c r="B79" s="17" t="n">
        <v>6062</v>
      </c>
      <c r="C79" s="18">
        <f>(5354.0/B79*100)</f>
        <v/>
      </c>
      <c r="D79" s="19" t="n">
        <v>708</v>
      </c>
      <c r="E79" s="18" t="n">
        <v>29.33310863</v>
      </c>
      <c r="F79" s="20" t="n">
        <v>1.71389169</v>
      </c>
      <c r="G79" s="18" t="n">
        <v>69.42696158</v>
      </c>
      <c r="H79" s="20" t="n">
        <v>1.82635517</v>
      </c>
      <c r="I79" s="18" t="n">
        <v>0</v>
      </c>
      <c r="J79" s="20" t="n">
        <v>0</v>
      </c>
      <c r="K79" s="18" t="n">
        <v>0.42742525</v>
      </c>
      <c r="L79" s="20" t="n">
        <v>0.2987243</v>
      </c>
      <c r="M79" s="18" t="n">
        <v>0</v>
      </c>
      <c r="N79" s="20" t="n">
        <v>0</v>
      </c>
      <c r="O79" s="18" t="n">
        <v>0</v>
      </c>
      <c r="P79" s="20" t="n">
        <v>0</v>
      </c>
      <c r="Q79" s="18" t="n">
        <v>0.81250453</v>
      </c>
      <c r="R79" s="20" t="n">
        <v>0.35852661</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(6191.0/B11*100)</f>
        <v/>
      </c>
      <c r="D11" s="19" t="n">
        <v>862</v>
      </c>
      <c r="E11" s="18" t="n">
        <v>42.08416477</v>
      </c>
      <c r="F11" s="20" t="n">
        <v>2.04886444</v>
      </c>
      <c r="G11" s="18" t="n">
        <v>48.91830529</v>
      </c>
      <c r="H11" s="20" t="n">
        <v>1.96348987</v>
      </c>
      <c r="I11" s="18" t="n">
        <v>0</v>
      </c>
      <c r="J11" s="20" t="n">
        <v>0</v>
      </c>
      <c r="K11" s="18" t="n">
        <v>0.44912203</v>
      </c>
      <c r="L11" s="20" t="n">
        <v>0.36192218</v>
      </c>
      <c r="M11" s="18" t="n">
        <v>0</v>
      </c>
      <c r="N11" s="20" t="n">
        <v>0</v>
      </c>
      <c r="O11" s="18" t="n">
        <v>0</v>
      </c>
      <c r="P11" s="20" t="n">
        <v>0</v>
      </c>
      <c r="Q11" s="18" t="n">
        <v>8.54840791</v>
      </c>
      <c r="R11" s="20" t="n">
        <v>1.20233132</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(6700.0/B28*100)</f>
        <v/>
      </c>
      <c r="D28" s="19" t="n">
        <v>868</v>
      </c>
      <c r="E28" s="18" t="n">
        <v>60.85665202</v>
      </c>
      <c r="F28" s="20" t="n">
        <v>1.93426893</v>
      </c>
      <c r="G28" s="18" t="n">
        <v>35.68873134</v>
      </c>
      <c r="H28" s="20" t="n">
        <v>1.86081486</v>
      </c>
      <c r="I28" s="18" t="n">
        <v>0</v>
      </c>
      <c r="J28" s="20" t="n">
        <v>0</v>
      </c>
      <c r="K28" s="18" t="n">
        <v>0.21385678</v>
      </c>
      <c r="L28" s="20" t="n">
        <v>0.21536126</v>
      </c>
      <c r="M28" s="18" t="n">
        <v>0.18152478</v>
      </c>
      <c r="N28" s="20" t="n">
        <v>0.18157305</v>
      </c>
      <c r="O28" s="18" t="n">
        <v>0</v>
      </c>
      <c r="P28" s="20" t="n">
        <v>0</v>
      </c>
      <c r="Q28" s="18" t="n">
        <v>3.05923508</v>
      </c>
      <c r="R28" s="20" t="n">
        <v>0.5975455</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(20544.0/B46*100)</f>
        <v/>
      </c>
      <c r="D46" s="19" t="n">
        <v>2597</v>
      </c>
      <c r="E46" s="18" t="n">
        <v>43.75725874</v>
      </c>
      <c r="F46" s="20" t="n">
        <v>1.39708729</v>
      </c>
      <c r="G46" s="18" t="n">
        <v>45.45151427</v>
      </c>
      <c r="H46" s="20" t="n">
        <v>1.38879517</v>
      </c>
      <c r="I46" s="18" t="n">
        <v>0</v>
      </c>
      <c r="J46" s="20" t="n">
        <v>0</v>
      </c>
      <c r="K46" s="18" t="n">
        <v>0.30952366</v>
      </c>
      <c r="L46" s="20" t="n">
        <v>0.13572924</v>
      </c>
      <c r="M46" s="18" t="n">
        <v>0.15215543</v>
      </c>
      <c r="N46" s="20" t="n">
        <v>0.12151212</v>
      </c>
      <c r="O46" s="18" t="n">
        <v>0</v>
      </c>
      <c r="P46" s="20" t="n">
        <v>0</v>
      </c>
      <c r="Q46" s="18" t="n">
        <v>10.3295479</v>
      </c>
      <c r="R46" s="20" t="n">
        <v>0.78889878</v>
      </c>
    </row>
    <row r="47" spans="1:18">
      <c r="A47" s="15" t="s">
        <v>470</v>
      </c>
      <c r="B47" s="17" t="n">
        <v>5928</v>
      </c>
      <c r="C47" s="18">
        <f>(5214.0/B47*100)</f>
        <v/>
      </c>
      <c r="D47" s="19" t="n">
        <v>714</v>
      </c>
      <c r="E47" s="18" t="n">
        <v>40.5068662</v>
      </c>
      <c r="F47" s="20" t="n">
        <v>1.82191208</v>
      </c>
      <c r="G47" s="18" t="n">
        <v>49.01513448</v>
      </c>
      <c r="H47" s="20" t="n">
        <v>2.04473527</v>
      </c>
      <c r="I47" s="18" t="n">
        <v>0</v>
      </c>
      <c r="J47" s="20" t="n">
        <v>0</v>
      </c>
      <c r="K47" s="18" t="n">
        <v>0</v>
      </c>
      <c r="L47" s="20" t="n">
        <v>0</v>
      </c>
      <c r="M47" s="18" t="n">
        <v>0</v>
      </c>
      <c r="N47" s="20" t="n">
        <v>0</v>
      </c>
      <c r="O47" s="18" t="n">
        <v>0</v>
      </c>
      <c r="P47" s="20" t="n">
        <v>0</v>
      </c>
      <c r="Q47" s="18" t="n">
        <v>10.47799932</v>
      </c>
      <c r="R47" s="20" t="n">
        <v>1.19044435</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(10344.0/B49*100)</f>
        <v/>
      </c>
      <c r="D49" s="19" t="n">
        <v>1451</v>
      </c>
      <c r="E49" s="18" t="n">
        <v>52.43577308</v>
      </c>
      <c r="F49" s="20" t="n">
        <v>1.60968171</v>
      </c>
      <c r="G49" s="18" t="n">
        <v>43.58767234</v>
      </c>
      <c r="H49" s="20" t="n">
        <v>1.52313994</v>
      </c>
      <c r="I49" s="18" t="n">
        <v>0</v>
      </c>
      <c r="J49" s="20" t="n">
        <v>0</v>
      </c>
      <c r="K49" s="18" t="n">
        <v>0.58064326</v>
      </c>
      <c r="L49" s="20" t="n">
        <v>0.24645006</v>
      </c>
      <c r="M49" s="18" t="n">
        <v>0.08137535999999999</v>
      </c>
      <c r="N49" s="20" t="n">
        <v>0.07771031</v>
      </c>
      <c r="O49" s="18" t="n">
        <v>0</v>
      </c>
      <c r="P49" s="20" t="n">
        <v>0</v>
      </c>
      <c r="Q49" s="18" t="n">
        <v>3.31453596</v>
      </c>
      <c r="R49" s="20" t="n">
        <v>0.65179868</v>
      </c>
    </row>
    <row r="50" spans="1:18">
      <c r="A50" s="15" t="s">
        <v>473</v>
      </c>
      <c r="B50" s="17" t="n">
        <v>6866</v>
      </c>
      <c r="C50" s="18">
        <f>(6133.0/B50*100)</f>
        <v/>
      </c>
      <c r="D50" s="19" t="n">
        <v>733</v>
      </c>
      <c r="E50" s="18" t="n">
        <v>56.40514088</v>
      </c>
      <c r="F50" s="20" t="n">
        <v>1.95917199</v>
      </c>
      <c r="G50" s="18" t="n">
        <v>41.30614009</v>
      </c>
      <c r="H50" s="20" t="n">
        <v>1.91674549</v>
      </c>
      <c r="I50" s="18" t="n">
        <v>0</v>
      </c>
      <c r="J50" s="20" t="n">
        <v>0</v>
      </c>
      <c r="K50" s="18" t="n">
        <v>0.18433774</v>
      </c>
      <c r="L50" s="20" t="n">
        <v>0.18475126</v>
      </c>
      <c r="M50" s="18" t="n">
        <v>0</v>
      </c>
      <c r="N50" s="20" t="n">
        <v>0</v>
      </c>
      <c r="O50" s="18" t="n">
        <v>0</v>
      </c>
      <c r="P50" s="20" t="n">
        <v>0</v>
      </c>
      <c r="Q50" s="18" t="n">
        <v>2.10438129</v>
      </c>
      <c r="R50" s="20" t="n">
        <v>0.62683427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(4900.0/B52*100)</f>
        <v/>
      </c>
      <c r="D52" s="19" t="n">
        <v>671</v>
      </c>
      <c r="E52" s="18" t="n">
        <v>58.90463717</v>
      </c>
      <c r="F52" s="20" t="n">
        <v>1.89946141</v>
      </c>
      <c r="G52" s="18" t="n">
        <v>34.94493759</v>
      </c>
      <c r="H52" s="20" t="n">
        <v>1.92595914</v>
      </c>
      <c r="I52" s="18" t="n">
        <v>0</v>
      </c>
      <c r="J52" s="20" t="n">
        <v>0</v>
      </c>
      <c r="K52" s="18" t="n">
        <v>0.32469989</v>
      </c>
      <c r="L52" s="20" t="n">
        <v>0.24490541</v>
      </c>
      <c r="M52" s="18" t="n">
        <v>0</v>
      </c>
      <c r="N52" s="20" t="n">
        <v>0</v>
      </c>
      <c r="O52" s="18" t="n">
        <v>0</v>
      </c>
      <c r="P52" s="20" t="n">
        <v>0</v>
      </c>
      <c r="Q52" s="18" t="n">
        <v>5.82572535</v>
      </c>
      <c r="R52" s="20" t="n">
        <v>0.8452385</v>
      </c>
    </row>
    <row r="53" spans="1:18">
      <c r="A53" s="15" t="s">
        <v>476</v>
      </c>
      <c r="B53" s="17" t="n">
        <v>4740</v>
      </c>
      <c r="C53" s="18">
        <f>(3932.0/B53*100)</f>
        <v/>
      </c>
      <c r="D53" s="19" t="n">
        <v>808</v>
      </c>
      <c r="E53" s="18" t="n">
        <v>63.00256881</v>
      </c>
      <c r="F53" s="20" t="n">
        <v>2.18882673</v>
      </c>
      <c r="G53" s="18" t="n">
        <v>20.00620278</v>
      </c>
      <c r="H53" s="20" t="n">
        <v>1.88559528</v>
      </c>
      <c r="I53" s="18" t="n">
        <v>0</v>
      </c>
      <c r="J53" s="20" t="n">
        <v>0</v>
      </c>
      <c r="K53" s="18" t="n">
        <v>5.29840961</v>
      </c>
      <c r="L53" s="20" t="n">
        <v>0.83434499</v>
      </c>
      <c r="M53" s="18" t="n">
        <v>0.77551261</v>
      </c>
      <c r="N53" s="20" t="n">
        <v>0.69945585</v>
      </c>
      <c r="O53" s="18" t="n">
        <v>0</v>
      </c>
      <c r="P53" s="20" t="n">
        <v>0</v>
      </c>
      <c r="Q53" s="18" t="n">
        <v>10.91730618</v>
      </c>
      <c r="R53" s="20" t="n">
        <v>1.37138245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(6135.0/B68*100)</f>
        <v/>
      </c>
      <c r="D68" s="19" t="n">
        <v>836</v>
      </c>
      <c r="E68" s="18" t="n">
        <v>57.81857124</v>
      </c>
      <c r="F68" s="20" t="n">
        <v>1.51524077</v>
      </c>
      <c r="G68" s="18" t="n">
        <v>33.77692779</v>
      </c>
      <c r="H68" s="20" t="n">
        <v>1.55338488</v>
      </c>
      <c r="I68" s="18" t="n">
        <v>0</v>
      </c>
      <c r="J68" s="20" t="n">
        <v>0</v>
      </c>
      <c r="K68" s="18" t="n">
        <v>0.38855687</v>
      </c>
      <c r="L68" s="20" t="n">
        <v>0.22573937</v>
      </c>
      <c r="M68" s="18" t="n">
        <v>0</v>
      </c>
      <c r="N68" s="20" t="n">
        <v>0</v>
      </c>
      <c r="O68" s="18" t="n">
        <v>0</v>
      </c>
      <c r="P68" s="20" t="n">
        <v>0</v>
      </c>
      <c r="Q68" s="18" t="n">
        <v>8.0159441</v>
      </c>
      <c r="R68" s="20" t="n">
        <v>1.0029589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(10060.0/B70*100)</f>
        <v/>
      </c>
      <c r="D70" s="19" t="n">
        <v>2023</v>
      </c>
      <c r="E70" s="18" t="n">
        <v>63.25330519</v>
      </c>
      <c r="F70" s="20" t="n">
        <v>1.27577606</v>
      </c>
      <c r="G70" s="18" t="n">
        <v>28.75911202</v>
      </c>
      <c r="H70" s="20" t="n">
        <v>1.23096104</v>
      </c>
      <c r="I70" s="18" t="n">
        <v>0</v>
      </c>
      <c r="J70" s="20" t="n">
        <v>0</v>
      </c>
      <c r="K70" s="18" t="n">
        <v>1.80579869</v>
      </c>
      <c r="L70" s="20" t="n">
        <v>0.29965695</v>
      </c>
      <c r="M70" s="18" t="n">
        <v>0.09478038</v>
      </c>
      <c r="N70" s="20" t="n">
        <v>0.06735269000000001</v>
      </c>
      <c r="O70" s="18" t="n">
        <v>0</v>
      </c>
      <c r="P70" s="20" t="n">
        <v>0</v>
      </c>
      <c r="Q70" s="18" t="n">
        <v>6.08700372</v>
      </c>
      <c r="R70" s="20" t="n">
        <v>0.52037576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(4765.0/B77*100)</f>
        <v/>
      </c>
      <c r="D77" s="19" t="n">
        <v>610</v>
      </c>
      <c r="E77" s="18" t="n">
        <v>67.20575402999999</v>
      </c>
      <c r="F77" s="20" t="n">
        <v>2.0773722</v>
      </c>
      <c r="G77" s="18" t="n">
        <v>18.8715123</v>
      </c>
      <c r="H77" s="20" t="n">
        <v>1.77789788</v>
      </c>
      <c r="I77" s="18" t="n">
        <v>0</v>
      </c>
      <c r="J77" s="20" t="n">
        <v>0</v>
      </c>
      <c r="K77" s="18" t="n">
        <v>1.24258269</v>
      </c>
      <c r="L77" s="20" t="n">
        <v>0.41386329</v>
      </c>
      <c r="M77" s="18" t="n">
        <v>0.19203868</v>
      </c>
      <c r="N77" s="20" t="n">
        <v>0.19031975</v>
      </c>
      <c r="O77" s="18" t="n">
        <v>0</v>
      </c>
      <c r="P77" s="20" t="n">
        <v>0</v>
      </c>
      <c r="Q77" s="18" t="n">
        <v>12.48811231</v>
      </c>
      <c r="R77" s="20" t="n">
        <v>1.55347863</v>
      </c>
    </row>
    <row r="78" spans="1:18">
      <c r="A78" s="15" t="s">
        <v>502</v>
      </c>
      <c r="B78" s="17" t="n">
        <v>14167</v>
      </c>
      <c r="C78" s="18">
        <f>(12415.0/B78*100)</f>
        <v/>
      </c>
      <c r="D78" s="19" t="n">
        <v>1752</v>
      </c>
      <c r="E78" s="18" t="n">
        <v>55.24047895</v>
      </c>
      <c r="F78" s="20" t="n">
        <v>1.67938569</v>
      </c>
      <c r="G78" s="18" t="n">
        <v>40.02615268</v>
      </c>
      <c r="H78" s="20" t="n">
        <v>1.78957862</v>
      </c>
      <c r="I78" s="18" t="n">
        <v>0</v>
      </c>
      <c r="J78" s="20" t="n">
        <v>0</v>
      </c>
      <c r="K78" s="18" t="n">
        <v>0.54890647</v>
      </c>
      <c r="L78" s="20" t="n">
        <v>0.16688677</v>
      </c>
      <c r="M78" s="18" t="n">
        <v>0.13135525</v>
      </c>
      <c r="N78" s="20" t="n">
        <v>0.08500383</v>
      </c>
      <c r="O78" s="18" t="n">
        <v>0</v>
      </c>
      <c r="P78" s="20" t="n">
        <v>0</v>
      </c>
      <c r="Q78" s="18" t="n">
        <v>4.05310664</v>
      </c>
      <c r="R78" s="20" t="n">
        <v>0.66233609</v>
      </c>
    </row>
    <row r="79" spans="1:18">
      <c r="A79" s="15" t="s">
        <v>503</v>
      </c>
      <c r="B79" s="17" t="n">
        <v>6062</v>
      </c>
      <c r="C79" s="18">
        <f>(5355.0/B79*100)</f>
        <v/>
      </c>
      <c r="D79" s="19" t="n">
        <v>707</v>
      </c>
      <c r="E79" s="18" t="n">
        <v>47.97956926</v>
      </c>
      <c r="F79" s="20" t="n">
        <v>2.03485073</v>
      </c>
      <c r="G79" s="18" t="n">
        <v>41.35281699</v>
      </c>
      <c r="H79" s="20" t="n">
        <v>1.88536695</v>
      </c>
      <c r="I79" s="18" t="n">
        <v>0</v>
      </c>
      <c r="J79" s="20" t="n">
        <v>0</v>
      </c>
      <c r="K79" s="18" t="n">
        <v>0.42807701</v>
      </c>
      <c r="L79" s="20" t="n">
        <v>0.29881198</v>
      </c>
      <c r="M79" s="18" t="n">
        <v>0.12885518</v>
      </c>
      <c r="N79" s="20" t="n">
        <v>0.13262287</v>
      </c>
      <c r="O79" s="18" t="n">
        <v>0</v>
      </c>
      <c r="P79" s="20" t="n">
        <v>0</v>
      </c>
      <c r="Q79" s="18" t="n">
        <v>10.11068156</v>
      </c>
      <c r="R79" s="20" t="n">
        <v>1.26086814</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(6191.0/B11*100)</f>
        <v/>
      </c>
      <c r="D11" s="19" t="n">
        <v>862</v>
      </c>
      <c r="E11" s="18" t="n">
        <v>54.09504527</v>
      </c>
      <c r="F11" s="20" t="n">
        <v>1.85586882</v>
      </c>
      <c r="G11" s="18" t="n">
        <v>35.45849768</v>
      </c>
      <c r="H11" s="20" t="n">
        <v>1.90779629</v>
      </c>
      <c r="I11" s="18" t="n">
        <v>0</v>
      </c>
      <c r="J11" s="20" t="n">
        <v>0</v>
      </c>
      <c r="K11" s="18" t="n">
        <v>0.59779187</v>
      </c>
      <c r="L11" s="20" t="n">
        <v>0.38994121</v>
      </c>
      <c r="M11" s="18" t="n">
        <v>0</v>
      </c>
      <c r="N11" s="20" t="n">
        <v>0</v>
      </c>
      <c r="O11" s="18" t="n">
        <v>0</v>
      </c>
      <c r="P11" s="20" t="n">
        <v>0</v>
      </c>
      <c r="Q11" s="18" t="n">
        <v>9.848665179999999</v>
      </c>
      <c r="R11" s="20" t="n">
        <v>1.43046081</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(6700.0/B28*100)</f>
        <v/>
      </c>
      <c r="D28" s="19" t="n">
        <v>868</v>
      </c>
      <c r="E28" s="18" t="n">
        <v>66.33747228</v>
      </c>
      <c r="F28" s="20" t="n">
        <v>1.66334696</v>
      </c>
      <c r="G28" s="18" t="n">
        <v>32.80205675</v>
      </c>
      <c r="H28" s="20" t="n">
        <v>1.61868534</v>
      </c>
      <c r="I28" s="18" t="n">
        <v>0</v>
      </c>
      <c r="J28" s="20" t="n">
        <v>0</v>
      </c>
      <c r="K28" s="18" t="n">
        <v>0.21385678</v>
      </c>
      <c r="L28" s="20" t="n">
        <v>0.21536126</v>
      </c>
      <c r="M28" s="18" t="n">
        <v>0.18152478</v>
      </c>
      <c r="N28" s="20" t="n">
        <v>0.18157305</v>
      </c>
      <c r="O28" s="18" t="n">
        <v>0</v>
      </c>
      <c r="P28" s="20" t="n">
        <v>0</v>
      </c>
      <c r="Q28" s="18" t="n">
        <v>0.46508941</v>
      </c>
      <c r="R28" s="20" t="n">
        <v>0.28472681</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(20542.0/B46*100)</f>
        <v/>
      </c>
      <c r="D46" s="19" t="n">
        <v>2599</v>
      </c>
      <c r="E46" s="18" t="n">
        <v>58.93126108</v>
      </c>
      <c r="F46" s="20" t="n">
        <v>1.39882638</v>
      </c>
      <c r="G46" s="18" t="n">
        <v>24.68580677</v>
      </c>
      <c r="H46" s="20" t="n">
        <v>1.34541735</v>
      </c>
      <c r="I46" s="18" t="n">
        <v>0</v>
      </c>
      <c r="J46" s="20" t="n">
        <v>0</v>
      </c>
      <c r="K46" s="18" t="n">
        <v>0.44732625</v>
      </c>
      <c r="L46" s="20" t="n">
        <v>0.15165178</v>
      </c>
      <c r="M46" s="18" t="n">
        <v>0.15204691</v>
      </c>
      <c r="N46" s="20" t="n">
        <v>0.12142916</v>
      </c>
      <c r="O46" s="18" t="n">
        <v>0</v>
      </c>
      <c r="P46" s="20" t="n">
        <v>0</v>
      </c>
      <c r="Q46" s="18" t="n">
        <v>15.78355898</v>
      </c>
      <c r="R46" s="20" t="n">
        <v>0.86648406</v>
      </c>
    </row>
    <row r="47" spans="1:18">
      <c r="A47" s="15" t="s">
        <v>470</v>
      </c>
      <c r="B47" s="17" t="n">
        <v>5928</v>
      </c>
      <c r="C47" s="18">
        <f>(5213.0/B47*100)</f>
        <v/>
      </c>
      <c r="D47" s="19" t="n">
        <v>715</v>
      </c>
      <c r="E47" s="18" t="n">
        <v>41.34428335</v>
      </c>
      <c r="F47" s="20" t="n">
        <v>2.2265213</v>
      </c>
      <c r="G47" s="18" t="n">
        <v>51.14165835</v>
      </c>
      <c r="H47" s="20" t="n">
        <v>2.25500827</v>
      </c>
      <c r="I47" s="18" t="n">
        <v>0</v>
      </c>
      <c r="J47" s="20" t="n">
        <v>0</v>
      </c>
      <c r="K47" s="18" t="n">
        <v>0</v>
      </c>
      <c r="L47" s="20" t="n">
        <v>0</v>
      </c>
      <c r="M47" s="18" t="n">
        <v>0</v>
      </c>
      <c r="N47" s="20" t="n">
        <v>0</v>
      </c>
      <c r="O47" s="18" t="n">
        <v>0</v>
      </c>
      <c r="P47" s="20" t="n">
        <v>0</v>
      </c>
      <c r="Q47" s="18" t="n">
        <v>7.5140583</v>
      </c>
      <c r="R47" s="20" t="n">
        <v>0.9340660200000001</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(10344.0/B49*100)</f>
        <v/>
      </c>
      <c r="D49" s="19" t="n">
        <v>1451</v>
      </c>
      <c r="E49" s="18" t="n">
        <v>58.91173517</v>
      </c>
      <c r="F49" s="20" t="n">
        <v>1.72706863</v>
      </c>
      <c r="G49" s="18" t="n">
        <v>39.34469103</v>
      </c>
      <c r="H49" s="20" t="n">
        <v>1.74664729</v>
      </c>
      <c r="I49" s="18" t="n">
        <v>0</v>
      </c>
      <c r="J49" s="20" t="n">
        <v>0</v>
      </c>
      <c r="K49" s="18" t="n">
        <v>0.59810409</v>
      </c>
      <c r="L49" s="20" t="n">
        <v>0.24689789</v>
      </c>
      <c r="M49" s="18" t="n">
        <v>0.08137535999999999</v>
      </c>
      <c r="N49" s="20" t="n">
        <v>0.07771031</v>
      </c>
      <c r="O49" s="18" t="n">
        <v>0</v>
      </c>
      <c r="P49" s="20" t="n">
        <v>0</v>
      </c>
      <c r="Q49" s="18" t="n">
        <v>1.06409434</v>
      </c>
      <c r="R49" s="20" t="n">
        <v>0.35302153</v>
      </c>
    </row>
    <row r="50" spans="1:18">
      <c r="A50" s="15" t="s">
        <v>473</v>
      </c>
      <c r="B50" s="17" t="n">
        <v>6866</v>
      </c>
      <c r="C50" s="18">
        <f>(6132.0/B50*100)</f>
        <v/>
      </c>
      <c r="D50" s="19" t="n">
        <v>734</v>
      </c>
      <c r="E50" s="18" t="n">
        <v>45.9691444</v>
      </c>
      <c r="F50" s="20" t="n">
        <v>1.87972661</v>
      </c>
      <c r="G50" s="18" t="n">
        <v>37.99872854</v>
      </c>
      <c r="H50" s="20" t="n">
        <v>1.77286776</v>
      </c>
      <c r="I50" s="18" t="n">
        <v>0</v>
      </c>
      <c r="J50" s="20" t="n">
        <v>0</v>
      </c>
      <c r="K50" s="18" t="n">
        <v>0.38524072</v>
      </c>
      <c r="L50" s="20" t="n">
        <v>0.25797969</v>
      </c>
      <c r="M50" s="18" t="n">
        <v>0.17602605</v>
      </c>
      <c r="N50" s="20" t="n">
        <v>0.16084399</v>
      </c>
      <c r="O50" s="18" t="n">
        <v>0</v>
      </c>
      <c r="P50" s="20" t="n">
        <v>0</v>
      </c>
      <c r="Q50" s="18" t="n">
        <v>15.47086029</v>
      </c>
      <c r="R50" s="20" t="n">
        <v>1.60029091</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(4900.0/B52*100)</f>
        <v/>
      </c>
      <c r="D52" s="19" t="n">
        <v>671</v>
      </c>
      <c r="E52" s="18" t="n">
        <v>55.30449402</v>
      </c>
      <c r="F52" s="20" t="n">
        <v>1.77605076</v>
      </c>
      <c r="G52" s="18" t="n">
        <v>43.01001115</v>
      </c>
      <c r="H52" s="20" t="n">
        <v>1.88874888</v>
      </c>
      <c r="I52" s="18" t="n">
        <v>0</v>
      </c>
      <c r="J52" s="20" t="n">
        <v>0</v>
      </c>
      <c r="K52" s="18" t="n">
        <v>0.32469989</v>
      </c>
      <c r="L52" s="20" t="n">
        <v>0.24490541</v>
      </c>
      <c r="M52" s="18" t="n">
        <v>0</v>
      </c>
      <c r="N52" s="20" t="n">
        <v>0</v>
      </c>
      <c r="O52" s="18" t="n">
        <v>0</v>
      </c>
      <c r="P52" s="20" t="n">
        <v>0</v>
      </c>
      <c r="Q52" s="18" t="n">
        <v>1.36079494</v>
      </c>
      <c r="R52" s="20" t="n">
        <v>0.51552332</v>
      </c>
    </row>
    <row r="53" spans="1:18">
      <c r="A53" s="15" t="s">
        <v>476</v>
      </c>
      <c r="B53" s="17" t="n">
        <v>4740</v>
      </c>
      <c r="C53" s="18">
        <f>(3932.0/B53*100)</f>
        <v/>
      </c>
      <c r="D53" s="19" t="n">
        <v>808</v>
      </c>
      <c r="E53" s="18" t="n">
        <v>56.98218411</v>
      </c>
      <c r="F53" s="20" t="n">
        <v>2.31359624</v>
      </c>
      <c r="G53" s="18" t="n">
        <v>34.17620004</v>
      </c>
      <c r="H53" s="20" t="n">
        <v>2.13240722</v>
      </c>
      <c r="I53" s="18" t="n">
        <v>0</v>
      </c>
      <c r="J53" s="20" t="n">
        <v>0</v>
      </c>
      <c r="K53" s="18" t="n">
        <v>5.61598097</v>
      </c>
      <c r="L53" s="20" t="n">
        <v>0.86266918</v>
      </c>
      <c r="M53" s="18" t="n">
        <v>0.77551261</v>
      </c>
      <c r="N53" s="20" t="n">
        <v>0.69945585</v>
      </c>
      <c r="O53" s="18" t="n">
        <v>0</v>
      </c>
      <c r="P53" s="20" t="n">
        <v>0</v>
      </c>
      <c r="Q53" s="18" t="n">
        <v>2.45012226</v>
      </c>
      <c r="R53" s="20" t="n">
        <v>0.52732128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(6135.0/B68*100)</f>
        <v/>
      </c>
      <c r="D68" s="19" t="n">
        <v>836</v>
      </c>
      <c r="E68" s="18" t="n">
        <v>73.89907922</v>
      </c>
      <c r="F68" s="20" t="n">
        <v>1.92767647</v>
      </c>
      <c r="G68" s="18" t="n">
        <v>24.63148318</v>
      </c>
      <c r="H68" s="20" t="n">
        <v>1.89294565</v>
      </c>
      <c r="I68" s="18" t="n">
        <v>0</v>
      </c>
      <c r="J68" s="20" t="n">
        <v>0</v>
      </c>
      <c r="K68" s="18" t="n">
        <v>0.38855687</v>
      </c>
      <c r="L68" s="20" t="n">
        <v>0.22573937</v>
      </c>
      <c r="M68" s="18" t="n">
        <v>0</v>
      </c>
      <c r="N68" s="20" t="n">
        <v>0</v>
      </c>
      <c r="O68" s="18" t="n">
        <v>0</v>
      </c>
      <c r="P68" s="20" t="n">
        <v>0</v>
      </c>
      <c r="Q68" s="18" t="n">
        <v>1.08088072</v>
      </c>
      <c r="R68" s="20" t="n">
        <v>0.361943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(10060.0/B70*100)</f>
        <v/>
      </c>
      <c r="D70" s="19" t="n">
        <v>2023</v>
      </c>
      <c r="E70" s="18" t="n">
        <v>64.12437346</v>
      </c>
      <c r="F70" s="20" t="n">
        <v>1.08839815</v>
      </c>
      <c r="G70" s="18" t="n">
        <v>31.86077036</v>
      </c>
      <c r="H70" s="20" t="n">
        <v>1.08286795</v>
      </c>
      <c r="I70" s="18" t="n">
        <v>0</v>
      </c>
      <c r="J70" s="20" t="n">
        <v>0</v>
      </c>
      <c r="K70" s="18" t="n">
        <v>1.80579869</v>
      </c>
      <c r="L70" s="20" t="n">
        <v>0.29965695</v>
      </c>
      <c r="M70" s="18" t="n">
        <v>0.09478038</v>
      </c>
      <c r="N70" s="20" t="n">
        <v>0.06735269000000001</v>
      </c>
      <c r="O70" s="18" t="n">
        <v>0</v>
      </c>
      <c r="P70" s="20" t="n">
        <v>0</v>
      </c>
      <c r="Q70" s="18" t="n">
        <v>2.11427711</v>
      </c>
      <c r="R70" s="20" t="n">
        <v>0.30287159</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(4767.0/B77*100)</f>
        <v/>
      </c>
      <c r="D77" s="19" t="n">
        <v>608</v>
      </c>
      <c r="E77" s="18" t="n">
        <v>82.94897935</v>
      </c>
      <c r="F77" s="20" t="n">
        <v>1.56371334</v>
      </c>
      <c r="G77" s="18" t="n">
        <v>12.49826061</v>
      </c>
      <c r="H77" s="20" t="n">
        <v>1.35480528</v>
      </c>
      <c r="I77" s="18" t="n">
        <v>0</v>
      </c>
      <c r="J77" s="20" t="n">
        <v>0</v>
      </c>
      <c r="K77" s="18" t="n">
        <v>1.40075348</v>
      </c>
      <c r="L77" s="20" t="n">
        <v>0.44477046</v>
      </c>
      <c r="M77" s="18" t="n">
        <v>0.27886344</v>
      </c>
      <c r="N77" s="20" t="n">
        <v>0.20851934</v>
      </c>
      <c r="O77" s="18" t="n">
        <v>0</v>
      </c>
      <c r="P77" s="20" t="n">
        <v>0</v>
      </c>
      <c r="Q77" s="18" t="n">
        <v>2.87314311</v>
      </c>
      <c r="R77" s="20" t="n">
        <v>0.72177881</v>
      </c>
    </row>
    <row r="78" spans="1:18">
      <c r="A78" s="15" t="s">
        <v>502</v>
      </c>
      <c r="B78" s="17" t="n">
        <v>14167</v>
      </c>
      <c r="C78" s="18">
        <f>(12415.0/B78*100)</f>
        <v/>
      </c>
      <c r="D78" s="19" t="n">
        <v>1752</v>
      </c>
      <c r="E78" s="18" t="n">
        <v>46.69179122</v>
      </c>
      <c r="F78" s="20" t="n">
        <v>1.79818596</v>
      </c>
      <c r="G78" s="18" t="n">
        <v>51.145627</v>
      </c>
      <c r="H78" s="20" t="n">
        <v>1.81047733</v>
      </c>
      <c r="I78" s="18" t="n">
        <v>0</v>
      </c>
      <c r="J78" s="20" t="n">
        <v>0</v>
      </c>
      <c r="K78" s="18" t="n">
        <v>0.63242392</v>
      </c>
      <c r="L78" s="20" t="n">
        <v>0.18782599</v>
      </c>
      <c r="M78" s="18" t="n">
        <v>0.13127849</v>
      </c>
      <c r="N78" s="20" t="n">
        <v>0.08494544</v>
      </c>
      <c r="O78" s="18" t="n">
        <v>0</v>
      </c>
      <c r="P78" s="20" t="n">
        <v>0</v>
      </c>
      <c r="Q78" s="18" t="n">
        <v>1.39887938</v>
      </c>
      <c r="R78" s="20" t="n">
        <v>0.44286338</v>
      </c>
    </row>
    <row r="79" spans="1:18">
      <c r="A79" s="15" t="s">
        <v>503</v>
      </c>
      <c r="B79" s="17" t="n">
        <v>6062</v>
      </c>
      <c r="C79" s="18">
        <f>(5355.0/B79*100)</f>
        <v/>
      </c>
      <c r="D79" s="19" t="n">
        <v>707</v>
      </c>
      <c r="E79" s="18" t="n">
        <v>42.48077123</v>
      </c>
      <c r="F79" s="20" t="n">
        <v>2.17915976</v>
      </c>
      <c r="G79" s="18" t="n">
        <v>53.47461321</v>
      </c>
      <c r="H79" s="20" t="n">
        <v>2.09951561</v>
      </c>
      <c r="I79" s="18" t="n">
        <v>0</v>
      </c>
      <c r="J79" s="20" t="n">
        <v>0</v>
      </c>
      <c r="K79" s="18" t="n">
        <v>0.42807701</v>
      </c>
      <c r="L79" s="20" t="n">
        <v>0.29881198</v>
      </c>
      <c r="M79" s="18" t="n">
        <v>0.12885518</v>
      </c>
      <c r="N79" s="20" t="n">
        <v>0.13262287</v>
      </c>
      <c r="O79" s="18" t="n">
        <v>0</v>
      </c>
      <c r="P79" s="20" t="n">
        <v>0</v>
      </c>
      <c r="Q79" s="18" t="n">
        <v>3.48768337</v>
      </c>
      <c r="R79" s="20" t="n">
        <v>0.75926517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(6192.0/B11*100)</f>
        <v/>
      </c>
      <c r="D11" s="19" t="n">
        <v>861</v>
      </c>
      <c r="E11" s="18" t="n">
        <v>26.1227304</v>
      </c>
      <c r="F11" s="20" t="n">
        <v>1.56477617</v>
      </c>
      <c r="G11" s="18" t="n">
        <v>72.29664954</v>
      </c>
      <c r="H11" s="20" t="n">
        <v>1.64172745</v>
      </c>
      <c r="I11" s="18" t="n">
        <v>0</v>
      </c>
      <c r="J11" s="20" t="n">
        <v>0</v>
      </c>
      <c r="K11" s="18" t="n">
        <v>0.59870235</v>
      </c>
      <c r="L11" s="20" t="n">
        <v>0.39054893</v>
      </c>
      <c r="M11" s="18" t="n">
        <v>0</v>
      </c>
      <c r="N11" s="20" t="n">
        <v>0</v>
      </c>
      <c r="O11" s="18" t="n">
        <v>0</v>
      </c>
      <c r="P11" s="20" t="n">
        <v>0</v>
      </c>
      <c r="Q11" s="18" t="n">
        <v>0.9819177</v>
      </c>
      <c r="R11" s="20" t="n">
        <v>0.38208396</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(6700.0/B28*100)</f>
        <v/>
      </c>
      <c r="D28" s="19" t="n">
        <v>868</v>
      </c>
      <c r="E28" s="18" t="n">
        <v>31.91666099</v>
      </c>
      <c r="F28" s="20" t="n">
        <v>1.67966769</v>
      </c>
      <c r="G28" s="18" t="n">
        <v>67.86948223</v>
      </c>
      <c r="H28" s="20" t="n">
        <v>1.69920884</v>
      </c>
      <c r="I28" s="18" t="n">
        <v>0</v>
      </c>
      <c r="J28" s="20" t="n">
        <v>0</v>
      </c>
      <c r="K28" s="18" t="n">
        <v>0.21385678</v>
      </c>
      <c r="L28" s="20" t="n">
        <v>0.21536126</v>
      </c>
      <c r="M28" s="18" t="n">
        <v>0</v>
      </c>
      <c r="N28" s="20" t="n">
        <v>0</v>
      </c>
      <c r="O28" s="18" t="n">
        <v>0</v>
      </c>
      <c r="P28" s="20" t="n">
        <v>0</v>
      </c>
      <c r="Q28" s="18" t="n">
        <v>0</v>
      </c>
      <c r="R28" s="20" t="n">
        <v>0</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(20542.0/B46*100)</f>
        <v/>
      </c>
      <c r="D46" s="19" t="n">
        <v>2599</v>
      </c>
      <c r="E46" s="18" t="n">
        <v>29.53914044</v>
      </c>
      <c r="F46" s="20" t="n">
        <v>1.14642272</v>
      </c>
      <c r="G46" s="18" t="n">
        <v>69.09178387999999</v>
      </c>
      <c r="H46" s="20" t="n">
        <v>1.23864674</v>
      </c>
      <c r="I46" s="18" t="n">
        <v>0</v>
      </c>
      <c r="J46" s="20" t="n">
        <v>0</v>
      </c>
      <c r="K46" s="18" t="n">
        <v>0.5891909</v>
      </c>
      <c r="L46" s="20" t="n">
        <v>0.17876071</v>
      </c>
      <c r="M46" s="18" t="n">
        <v>0</v>
      </c>
      <c r="N46" s="20" t="n">
        <v>0</v>
      </c>
      <c r="O46" s="18" t="n">
        <v>0</v>
      </c>
      <c r="P46" s="20" t="n">
        <v>0</v>
      </c>
      <c r="Q46" s="18" t="n">
        <v>0.7798847800000001</v>
      </c>
      <c r="R46" s="20" t="n">
        <v>0.22639138</v>
      </c>
    </row>
    <row r="47" spans="1:18">
      <c r="A47" s="15" t="s">
        <v>470</v>
      </c>
      <c r="B47" s="17" t="n">
        <v>5928</v>
      </c>
      <c r="C47" s="18">
        <f>(5213.0/B47*100)</f>
        <v/>
      </c>
      <c r="D47" s="19" t="n">
        <v>715</v>
      </c>
      <c r="E47" s="18" t="n">
        <v>27.78800274</v>
      </c>
      <c r="F47" s="20" t="n">
        <v>2.02027228</v>
      </c>
      <c r="G47" s="18" t="n">
        <v>71.23130838</v>
      </c>
      <c r="H47" s="20" t="n">
        <v>2.00050153</v>
      </c>
      <c r="I47" s="18" t="n">
        <v>0</v>
      </c>
      <c r="J47" s="20" t="n">
        <v>0</v>
      </c>
      <c r="K47" s="18" t="n">
        <v>0</v>
      </c>
      <c r="L47" s="20" t="n">
        <v>0</v>
      </c>
      <c r="M47" s="18" t="n">
        <v>0</v>
      </c>
      <c r="N47" s="20" t="n">
        <v>0</v>
      </c>
      <c r="O47" s="18" t="n">
        <v>0</v>
      </c>
      <c r="P47" s="20" t="n">
        <v>0</v>
      </c>
      <c r="Q47" s="18" t="n">
        <v>0.98068888</v>
      </c>
      <c r="R47" s="20" t="n">
        <v>0.44153612</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(10344.0/B49*100)</f>
        <v/>
      </c>
      <c r="D49" s="19" t="n">
        <v>1451</v>
      </c>
      <c r="E49" s="18" t="n">
        <v>30.94764763</v>
      </c>
      <c r="F49" s="20" t="n">
        <v>1.59421023</v>
      </c>
      <c r="G49" s="18" t="n">
        <v>67.29271471</v>
      </c>
      <c r="H49" s="20" t="n">
        <v>1.61012085</v>
      </c>
      <c r="I49" s="18" t="n">
        <v>0</v>
      </c>
      <c r="J49" s="20" t="n">
        <v>0</v>
      </c>
      <c r="K49" s="18" t="n">
        <v>0.68214853</v>
      </c>
      <c r="L49" s="20" t="n">
        <v>0.25876324</v>
      </c>
      <c r="M49" s="18" t="n">
        <v>0</v>
      </c>
      <c r="N49" s="20" t="n">
        <v>0</v>
      </c>
      <c r="O49" s="18" t="n">
        <v>0</v>
      </c>
      <c r="P49" s="20" t="n">
        <v>0</v>
      </c>
      <c r="Q49" s="18" t="n">
        <v>1.07748913</v>
      </c>
      <c r="R49" s="20" t="n">
        <v>0.28763266</v>
      </c>
    </row>
    <row r="50" spans="1:18">
      <c r="A50" s="15" t="s">
        <v>473</v>
      </c>
      <c r="B50" s="17" t="n">
        <v>6866</v>
      </c>
      <c r="C50" s="18">
        <f>(6132.0/B50*100)</f>
        <v/>
      </c>
      <c r="D50" s="19" t="n">
        <v>734</v>
      </c>
      <c r="E50" s="18" t="n">
        <v>30.13238757</v>
      </c>
      <c r="F50" s="20" t="n">
        <v>1.67978236</v>
      </c>
      <c r="G50" s="18" t="n">
        <v>68.90509974</v>
      </c>
      <c r="H50" s="20" t="n">
        <v>1.68884355</v>
      </c>
      <c r="I50" s="18" t="n">
        <v>0</v>
      </c>
      <c r="J50" s="20" t="n">
        <v>0</v>
      </c>
      <c r="K50" s="18" t="n">
        <v>0.38524072</v>
      </c>
      <c r="L50" s="20" t="n">
        <v>0.25797969</v>
      </c>
      <c r="M50" s="18" t="n">
        <v>0</v>
      </c>
      <c r="N50" s="20" t="n">
        <v>0</v>
      </c>
      <c r="O50" s="18" t="n">
        <v>0</v>
      </c>
      <c r="P50" s="20" t="n">
        <v>0</v>
      </c>
      <c r="Q50" s="18" t="n">
        <v>0.57727197</v>
      </c>
      <c r="R50" s="20" t="n">
        <v>0.26612375</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(4900.0/B52*100)</f>
        <v/>
      </c>
      <c r="D52" s="19" t="n">
        <v>671</v>
      </c>
      <c r="E52" s="18" t="n">
        <v>25.88622287</v>
      </c>
      <c r="F52" s="20" t="n">
        <v>1.67078095</v>
      </c>
      <c r="G52" s="18" t="n">
        <v>72.64737135</v>
      </c>
      <c r="H52" s="20" t="n">
        <v>1.7430163</v>
      </c>
      <c r="I52" s="18" t="n">
        <v>0</v>
      </c>
      <c r="J52" s="20" t="n">
        <v>0</v>
      </c>
      <c r="K52" s="18" t="n">
        <v>0.32469989</v>
      </c>
      <c r="L52" s="20" t="n">
        <v>0.24490541</v>
      </c>
      <c r="M52" s="18" t="n">
        <v>0</v>
      </c>
      <c r="N52" s="20" t="n">
        <v>0</v>
      </c>
      <c r="O52" s="18" t="n">
        <v>0</v>
      </c>
      <c r="P52" s="20" t="n">
        <v>0</v>
      </c>
      <c r="Q52" s="18" t="n">
        <v>1.14170589</v>
      </c>
      <c r="R52" s="20" t="n">
        <v>0.45752976</v>
      </c>
    </row>
    <row r="53" spans="1:18">
      <c r="A53" s="15" t="s">
        <v>476</v>
      </c>
      <c r="B53" s="17" t="n">
        <v>4740</v>
      </c>
      <c r="C53" s="18">
        <f>(3932.0/B53*100)</f>
        <v/>
      </c>
      <c r="D53" s="19" t="n">
        <v>808</v>
      </c>
      <c r="E53" s="18" t="n">
        <v>52.99015093</v>
      </c>
      <c r="F53" s="20" t="n">
        <v>1.90085084</v>
      </c>
      <c r="G53" s="18" t="n">
        <v>37.77375669</v>
      </c>
      <c r="H53" s="20" t="n">
        <v>1.90201207</v>
      </c>
      <c r="I53" s="18" t="n">
        <v>0</v>
      </c>
      <c r="J53" s="20" t="n">
        <v>0</v>
      </c>
      <c r="K53" s="18" t="n">
        <v>6.38285856</v>
      </c>
      <c r="L53" s="20" t="n">
        <v>0.95262864</v>
      </c>
      <c r="M53" s="18" t="n">
        <v>0</v>
      </c>
      <c r="N53" s="20" t="n">
        <v>0</v>
      </c>
      <c r="O53" s="18" t="n">
        <v>0</v>
      </c>
      <c r="P53" s="20" t="n">
        <v>0</v>
      </c>
      <c r="Q53" s="18" t="n">
        <v>2.85323382</v>
      </c>
      <c r="R53" s="20" t="n">
        <v>0.59974905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(6135.0/B68*100)</f>
        <v/>
      </c>
      <c r="D68" s="19" t="n">
        <v>836</v>
      </c>
      <c r="E68" s="18" t="n">
        <v>36.12621353</v>
      </c>
      <c r="F68" s="20" t="n">
        <v>1.90117227</v>
      </c>
      <c r="G68" s="18" t="n">
        <v>63.06495195</v>
      </c>
      <c r="H68" s="20" t="n">
        <v>1.93844325</v>
      </c>
      <c r="I68" s="18" t="n">
        <v>0</v>
      </c>
      <c r="J68" s="20" t="n">
        <v>0</v>
      </c>
      <c r="K68" s="18" t="n">
        <v>0.38855687</v>
      </c>
      <c r="L68" s="20" t="n">
        <v>0.22573937</v>
      </c>
      <c r="M68" s="18" t="n">
        <v>0</v>
      </c>
      <c r="N68" s="20" t="n">
        <v>0</v>
      </c>
      <c r="O68" s="18" t="n">
        <v>0</v>
      </c>
      <c r="P68" s="20" t="n">
        <v>0</v>
      </c>
      <c r="Q68" s="18" t="n">
        <v>0.42027765</v>
      </c>
      <c r="R68" s="20" t="n">
        <v>0.21567565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32.6450426</v>
      </c>
      <c r="F70" s="20" t="n">
        <v>0.9712088</v>
      </c>
      <c r="G70" s="18" t="n">
        <v>63.97848702</v>
      </c>
      <c r="H70" s="20" t="n">
        <v>0.96871672</v>
      </c>
      <c r="I70" s="18" t="n">
        <v>0</v>
      </c>
      <c r="J70" s="20" t="n">
        <v>0</v>
      </c>
      <c r="K70" s="18" t="n">
        <v>1.9552881</v>
      </c>
      <c r="L70" s="20" t="n">
        <v>0.31071774</v>
      </c>
      <c r="M70" s="18" t="n">
        <v>0</v>
      </c>
      <c r="N70" s="20" t="n">
        <v>0</v>
      </c>
      <c r="O70" s="18" t="n">
        <v>0</v>
      </c>
      <c r="P70" s="20" t="n">
        <v>0</v>
      </c>
      <c r="Q70" s="18" t="n">
        <v>1.42118228</v>
      </c>
      <c r="R70" s="20" t="n">
        <v>0.24845174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(4766.0/B77*100)</f>
        <v/>
      </c>
      <c r="D77" s="19" t="n">
        <v>609</v>
      </c>
      <c r="E77" s="18" t="n">
        <v>49.92636048</v>
      </c>
      <c r="F77" s="20" t="n">
        <v>2.31048989</v>
      </c>
      <c r="G77" s="18" t="n">
        <v>46.74791581</v>
      </c>
      <c r="H77" s="20" t="n">
        <v>2.31904726</v>
      </c>
      <c r="I77" s="18" t="n">
        <v>0</v>
      </c>
      <c r="J77" s="20" t="n">
        <v>0</v>
      </c>
      <c r="K77" s="18" t="n">
        <v>1.58203859</v>
      </c>
      <c r="L77" s="20" t="n">
        <v>0.48152426</v>
      </c>
      <c r="M77" s="18" t="n">
        <v>0</v>
      </c>
      <c r="N77" s="20" t="n">
        <v>0</v>
      </c>
      <c r="O77" s="18" t="n">
        <v>0</v>
      </c>
      <c r="P77" s="20" t="n">
        <v>0</v>
      </c>
      <c r="Q77" s="18" t="n">
        <v>1.74368511</v>
      </c>
      <c r="R77" s="20" t="n">
        <v>0.59601815</v>
      </c>
    </row>
    <row r="78" spans="1:18">
      <c r="A78" s="15" t="s">
        <v>502</v>
      </c>
      <c r="B78" s="17" t="n">
        <v>14167</v>
      </c>
      <c r="C78" s="18">
        <f>(12415.0/B78*100)</f>
        <v/>
      </c>
      <c r="D78" s="19" t="n">
        <v>1752</v>
      </c>
      <c r="E78" s="18" t="n">
        <v>34.29631598</v>
      </c>
      <c r="F78" s="20" t="n">
        <v>1.36435666</v>
      </c>
      <c r="G78" s="18" t="n">
        <v>64.16326701</v>
      </c>
      <c r="H78" s="20" t="n">
        <v>1.32209343</v>
      </c>
      <c r="I78" s="18" t="n">
        <v>0</v>
      </c>
      <c r="J78" s="20" t="n">
        <v>0</v>
      </c>
      <c r="K78" s="18" t="n">
        <v>0.65309111</v>
      </c>
      <c r="L78" s="20" t="n">
        <v>0.18886896</v>
      </c>
      <c r="M78" s="18" t="n">
        <v>0</v>
      </c>
      <c r="N78" s="20" t="n">
        <v>0</v>
      </c>
      <c r="O78" s="18" t="n">
        <v>0</v>
      </c>
      <c r="P78" s="20" t="n">
        <v>0</v>
      </c>
      <c r="Q78" s="18" t="n">
        <v>0.8873259</v>
      </c>
      <c r="R78" s="20" t="n">
        <v>0.28769636</v>
      </c>
    </row>
    <row r="79" spans="1:18">
      <c r="A79" s="15" t="s">
        <v>503</v>
      </c>
      <c r="B79" s="17" t="n">
        <v>6062</v>
      </c>
      <c r="C79" s="18">
        <f>(5356.0/B79*100)</f>
        <v/>
      </c>
      <c r="D79" s="19" t="n">
        <v>706</v>
      </c>
      <c r="E79" s="18" t="n">
        <v>29.02930921</v>
      </c>
      <c r="F79" s="20" t="n">
        <v>1.80457556</v>
      </c>
      <c r="G79" s="18" t="n">
        <v>68.34162556</v>
      </c>
      <c r="H79" s="20" t="n">
        <v>1.81538629</v>
      </c>
      <c r="I79" s="18" t="n">
        <v>0</v>
      </c>
      <c r="J79" s="20" t="n">
        <v>0</v>
      </c>
      <c r="K79" s="18" t="n">
        <v>0.42874535</v>
      </c>
      <c r="L79" s="20" t="n">
        <v>0.29927807</v>
      </c>
      <c r="M79" s="18" t="n">
        <v>0</v>
      </c>
      <c r="N79" s="20" t="n">
        <v>0</v>
      </c>
      <c r="O79" s="18" t="n">
        <v>0</v>
      </c>
      <c r="P79" s="20" t="n">
        <v>0</v>
      </c>
      <c r="Q79" s="18" t="n">
        <v>2.20031987</v>
      </c>
      <c r="R79" s="20" t="n">
        <v>0.58116672</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(6192.0/B11*100)</f>
        <v/>
      </c>
      <c r="D11" s="19" t="n">
        <v>861</v>
      </c>
      <c r="E11" s="18" t="n">
        <v>3.70668239</v>
      </c>
      <c r="F11" s="20" t="n">
        <v>0.73407119</v>
      </c>
      <c r="G11" s="18" t="n">
        <v>91.50104163</v>
      </c>
      <c r="H11" s="20" t="n">
        <v>1.16835394</v>
      </c>
      <c r="I11" s="18" t="n">
        <v>0</v>
      </c>
      <c r="J11" s="20" t="n">
        <v>0</v>
      </c>
      <c r="K11" s="18" t="n">
        <v>0.59875282</v>
      </c>
      <c r="L11" s="20" t="n">
        <v>0.39055836</v>
      </c>
      <c r="M11" s="18" t="n">
        <v>0</v>
      </c>
      <c r="N11" s="20" t="n">
        <v>0</v>
      </c>
      <c r="O11" s="18" t="n">
        <v>0</v>
      </c>
      <c r="P11" s="20" t="n">
        <v>0</v>
      </c>
      <c r="Q11" s="18" t="n">
        <v>4.19352316</v>
      </c>
      <c r="R11" s="20" t="n">
        <v>0.87858094</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(6703.0/B28*100)</f>
        <v/>
      </c>
      <c r="D28" s="19" t="n">
        <v>865</v>
      </c>
      <c r="E28" s="18" t="n">
        <v>8.138118860000001</v>
      </c>
      <c r="F28" s="20" t="n">
        <v>1.13852397</v>
      </c>
      <c r="G28" s="18" t="n">
        <v>90.69972267999999</v>
      </c>
      <c r="H28" s="20" t="n">
        <v>1.2310663</v>
      </c>
      <c r="I28" s="18" t="n">
        <v>0</v>
      </c>
      <c r="J28" s="20" t="n">
        <v>0</v>
      </c>
      <c r="K28" s="18" t="n">
        <v>0.21449723</v>
      </c>
      <c r="L28" s="20" t="n">
        <v>0.21601818</v>
      </c>
      <c r="M28" s="18" t="n">
        <v>0</v>
      </c>
      <c r="N28" s="20" t="n">
        <v>0</v>
      </c>
      <c r="O28" s="18" t="n">
        <v>0</v>
      </c>
      <c r="P28" s="20" t="n">
        <v>0</v>
      </c>
      <c r="Q28" s="18" t="n">
        <v>0.94766123</v>
      </c>
      <c r="R28" s="20" t="n">
        <v>0.47768426</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(20599.0/B46*100)</f>
        <v/>
      </c>
      <c r="D46" s="19" t="n">
        <v>2542</v>
      </c>
      <c r="E46" s="18" t="n">
        <v>10.49612388</v>
      </c>
      <c r="F46" s="20" t="n">
        <v>0.95270838</v>
      </c>
      <c r="G46" s="18" t="n">
        <v>82.30546835</v>
      </c>
      <c r="H46" s="20" t="n">
        <v>1.17077967</v>
      </c>
      <c r="I46" s="18" t="n">
        <v>0</v>
      </c>
      <c r="J46" s="20" t="n">
        <v>0</v>
      </c>
      <c r="K46" s="18" t="n">
        <v>0.86905135</v>
      </c>
      <c r="L46" s="20" t="n">
        <v>0.22978144</v>
      </c>
      <c r="M46" s="18" t="n">
        <v>0</v>
      </c>
      <c r="N46" s="20" t="n">
        <v>0</v>
      </c>
      <c r="O46" s="18" t="n">
        <v>0</v>
      </c>
      <c r="P46" s="20" t="n">
        <v>0</v>
      </c>
      <c r="Q46" s="18" t="n">
        <v>6.32935642</v>
      </c>
      <c r="R46" s="20" t="n">
        <v>0.60906636</v>
      </c>
    </row>
    <row r="47" spans="1:18">
      <c r="A47" s="15" t="s">
        <v>470</v>
      </c>
      <c r="B47" s="17" t="n">
        <v>5928</v>
      </c>
      <c r="C47" s="18">
        <f>(5216.0/B47*100)</f>
        <v/>
      </c>
      <c r="D47" s="19" t="n">
        <v>712</v>
      </c>
      <c r="E47" s="18" t="n">
        <v>8.17356768</v>
      </c>
      <c r="F47" s="20" t="n">
        <v>1.14870751</v>
      </c>
      <c r="G47" s="18" t="n">
        <v>86.97411852</v>
      </c>
      <c r="H47" s="20" t="n">
        <v>1.51114075</v>
      </c>
      <c r="I47" s="18" t="n">
        <v>0</v>
      </c>
      <c r="J47" s="20" t="n">
        <v>0</v>
      </c>
      <c r="K47" s="18" t="n">
        <v>0</v>
      </c>
      <c r="L47" s="20" t="n">
        <v>0</v>
      </c>
      <c r="M47" s="18" t="n">
        <v>0</v>
      </c>
      <c r="N47" s="20" t="n">
        <v>0</v>
      </c>
      <c r="O47" s="18" t="n">
        <v>0</v>
      </c>
      <c r="P47" s="20" t="n">
        <v>0</v>
      </c>
      <c r="Q47" s="18" t="n">
        <v>4.8523138</v>
      </c>
      <c r="R47" s="20" t="n">
        <v>0.83463155</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(10348.0/B49*100)</f>
        <v/>
      </c>
      <c r="D49" s="19" t="n">
        <v>1447</v>
      </c>
      <c r="E49" s="18" t="n">
        <v>11.56894722</v>
      </c>
      <c r="F49" s="20" t="n">
        <v>1.17087077</v>
      </c>
      <c r="G49" s="18" t="n">
        <v>85.03155658999999</v>
      </c>
      <c r="H49" s="20" t="n">
        <v>1.29242778</v>
      </c>
      <c r="I49" s="18" t="n">
        <v>0</v>
      </c>
      <c r="J49" s="20" t="n">
        <v>0</v>
      </c>
      <c r="K49" s="18" t="n">
        <v>0.74480463</v>
      </c>
      <c r="L49" s="20" t="n">
        <v>0.24623589</v>
      </c>
      <c r="M49" s="18" t="n">
        <v>0</v>
      </c>
      <c r="N49" s="20" t="n">
        <v>0</v>
      </c>
      <c r="O49" s="18" t="n">
        <v>0</v>
      </c>
      <c r="P49" s="20" t="n">
        <v>0</v>
      </c>
      <c r="Q49" s="18" t="n">
        <v>2.65469156</v>
      </c>
      <c r="R49" s="20" t="n">
        <v>0.50126938</v>
      </c>
    </row>
    <row r="50" spans="1:18">
      <c r="A50" s="15" t="s">
        <v>473</v>
      </c>
      <c r="B50" s="17" t="n">
        <v>6866</v>
      </c>
      <c r="C50" s="18">
        <f>(6135.0/B50*100)</f>
        <v/>
      </c>
      <c r="D50" s="19" t="n">
        <v>731</v>
      </c>
      <c r="E50" s="18" t="n">
        <v>4.25919573</v>
      </c>
      <c r="F50" s="20" t="n">
        <v>0.76434084</v>
      </c>
      <c r="G50" s="18" t="n">
        <v>93.31247055999999</v>
      </c>
      <c r="H50" s="20" t="n">
        <v>0.99203827</v>
      </c>
      <c r="I50" s="18" t="n">
        <v>0</v>
      </c>
      <c r="J50" s="20" t="n">
        <v>0</v>
      </c>
      <c r="K50" s="18" t="n">
        <v>0.38652581</v>
      </c>
      <c r="L50" s="20" t="n">
        <v>0.25884297</v>
      </c>
      <c r="M50" s="18" t="n">
        <v>0</v>
      </c>
      <c r="N50" s="20" t="n">
        <v>0</v>
      </c>
      <c r="O50" s="18" t="n">
        <v>0</v>
      </c>
      <c r="P50" s="20" t="n">
        <v>0</v>
      </c>
      <c r="Q50" s="18" t="n">
        <v>2.0418079</v>
      </c>
      <c r="R50" s="20" t="n">
        <v>0.61977869</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(4901.0/B52*100)</f>
        <v/>
      </c>
      <c r="D52" s="19" t="n">
        <v>670</v>
      </c>
      <c r="E52" s="18" t="n">
        <v>9.872675989999999</v>
      </c>
      <c r="F52" s="20" t="n">
        <v>1.22553355</v>
      </c>
      <c r="G52" s="18" t="n">
        <v>83.00103398</v>
      </c>
      <c r="H52" s="20" t="n">
        <v>1.60221842</v>
      </c>
      <c r="I52" s="18" t="n">
        <v>0</v>
      </c>
      <c r="J52" s="20" t="n">
        <v>0</v>
      </c>
      <c r="K52" s="18" t="n">
        <v>0.32485075</v>
      </c>
      <c r="L52" s="20" t="n">
        <v>0.2450309</v>
      </c>
      <c r="M52" s="18" t="n">
        <v>0</v>
      </c>
      <c r="N52" s="20" t="n">
        <v>0</v>
      </c>
      <c r="O52" s="18" t="n">
        <v>0</v>
      </c>
      <c r="P52" s="20" t="n">
        <v>0</v>
      </c>
      <c r="Q52" s="18" t="n">
        <v>6.80143928</v>
      </c>
      <c r="R52" s="20" t="n">
        <v>0.83991965</v>
      </c>
    </row>
    <row r="53" spans="1:18">
      <c r="A53" s="15" t="s">
        <v>476</v>
      </c>
      <c r="B53" s="17" t="n">
        <v>4740</v>
      </c>
      <c r="C53" s="18">
        <f>(3933.0/B53*100)</f>
        <v/>
      </c>
      <c r="D53" s="19" t="n">
        <v>807</v>
      </c>
      <c r="E53" s="18" t="n">
        <v>11.40843613</v>
      </c>
      <c r="F53" s="20" t="n">
        <v>1.28297229</v>
      </c>
      <c r="G53" s="18" t="n">
        <v>72.28738359</v>
      </c>
      <c r="H53" s="20" t="n">
        <v>2.15450377</v>
      </c>
      <c r="I53" s="18" t="n">
        <v>0</v>
      </c>
      <c r="J53" s="20" t="n">
        <v>0</v>
      </c>
      <c r="K53" s="18" t="n">
        <v>7.00148433</v>
      </c>
      <c r="L53" s="20" t="n">
        <v>1.04527438</v>
      </c>
      <c r="M53" s="18" t="n">
        <v>0</v>
      </c>
      <c r="N53" s="20" t="n">
        <v>0</v>
      </c>
      <c r="O53" s="18" t="n">
        <v>0</v>
      </c>
      <c r="P53" s="20" t="n">
        <v>0</v>
      </c>
      <c r="Q53" s="18" t="n">
        <v>9.30269595</v>
      </c>
      <c r="R53" s="20" t="n">
        <v>1.23577886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(6147.0/B68*100)</f>
        <v/>
      </c>
      <c r="D68" s="19" t="n">
        <v>824</v>
      </c>
      <c r="E68" s="18" t="n">
        <v>9.693285980000001</v>
      </c>
      <c r="F68" s="20" t="n">
        <v>1.10857034</v>
      </c>
      <c r="G68" s="18" t="n">
        <v>87.59205319</v>
      </c>
      <c r="H68" s="20" t="n">
        <v>1.23261674</v>
      </c>
      <c r="I68" s="18" t="n">
        <v>0</v>
      </c>
      <c r="J68" s="20" t="n">
        <v>0</v>
      </c>
      <c r="K68" s="18" t="n">
        <v>0.50063266</v>
      </c>
      <c r="L68" s="20" t="n">
        <v>0.25384197</v>
      </c>
      <c r="M68" s="18" t="n">
        <v>0</v>
      </c>
      <c r="N68" s="20" t="n">
        <v>0</v>
      </c>
      <c r="O68" s="18" t="n">
        <v>0</v>
      </c>
      <c r="P68" s="20" t="n">
        <v>0</v>
      </c>
      <c r="Q68" s="18" t="n">
        <v>2.21402818</v>
      </c>
      <c r="R68" s="20" t="n">
        <v>0.54651505</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(10062.0/B70*100)</f>
        <v/>
      </c>
      <c r="D70" s="19" t="n">
        <v>2021</v>
      </c>
      <c r="E70" s="18" t="n">
        <v>27.45640705</v>
      </c>
      <c r="F70" s="20" t="n">
        <v>0.98436462</v>
      </c>
      <c r="G70" s="18" t="n">
        <v>63.79736346</v>
      </c>
      <c r="H70" s="20" t="n">
        <v>1.041323</v>
      </c>
      <c r="I70" s="18" t="n">
        <v>0</v>
      </c>
      <c r="J70" s="20" t="n">
        <v>0</v>
      </c>
      <c r="K70" s="18" t="n">
        <v>2.05856126</v>
      </c>
      <c r="L70" s="20" t="n">
        <v>0.31960726</v>
      </c>
      <c r="M70" s="18" t="n">
        <v>0</v>
      </c>
      <c r="N70" s="20" t="n">
        <v>0</v>
      </c>
      <c r="O70" s="18" t="n">
        <v>0</v>
      </c>
      <c r="P70" s="20" t="n">
        <v>0</v>
      </c>
      <c r="Q70" s="18" t="n">
        <v>6.68766823</v>
      </c>
      <c r="R70" s="20" t="n">
        <v>0.54359174</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(4767.0/B77*100)</f>
        <v/>
      </c>
      <c r="D77" s="19" t="n">
        <v>608</v>
      </c>
      <c r="E77" s="18" t="n">
        <v>23.20103886</v>
      </c>
      <c r="F77" s="20" t="n">
        <v>1.77879589</v>
      </c>
      <c r="G77" s="18" t="n">
        <v>66.24940119999999</v>
      </c>
      <c r="H77" s="20" t="n">
        <v>2.0044858</v>
      </c>
      <c r="I77" s="18" t="n">
        <v>0</v>
      </c>
      <c r="J77" s="20" t="n">
        <v>0</v>
      </c>
      <c r="K77" s="18" t="n">
        <v>2.26019887</v>
      </c>
      <c r="L77" s="20" t="n">
        <v>0.57769919</v>
      </c>
      <c r="M77" s="18" t="n">
        <v>0</v>
      </c>
      <c r="N77" s="20" t="n">
        <v>0</v>
      </c>
      <c r="O77" s="18" t="n">
        <v>0</v>
      </c>
      <c r="P77" s="20" t="n">
        <v>0</v>
      </c>
      <c r="Q77" s="18" t="n">
        <v>8.28936107</v>
      </c>
      <c r="R77" s="20" t="n">
        <v>1.35224383</v>
      </c>
    </row>
    <row r="78" spans="1:18">
      <c r="A78" s="15" t="s">
        <v>502</v>
      </c>
      <c r="B78" s="17" t="n">
        <v>14167</v>
      </c>
      <c r="C78" s="18">
        <f>(12416.0/B78*100)</f>
        <v/>
      </c>
      <c r="D78" s="19" t="n">
        <v>1751</v>
      </c>
      <c r="E78" s="18" t="n">
        <v>22.3502802</v>
      </c>
      <c r="F78" s="20" t="n">
        <v>1.10758472</v>
      </c>
      <c r="G78" s="18" t="n">
        <v>74.16209524</v>
      </c>
      <c r="H78" s="20" t="n">
        <v>1.15472404</v>
      </c>
      <c r="I78" s="18" t="n">
        <v>0</v>
      </c>
      <c r="J78" s="20" t="n">
        <v>0</v>
      </c>
      <c r="K78" s="18" t="n">
        <v>0.65395497</v>
      </c>
      <c r="L78" s="20" t="n">
        <v>0.18920787</v>
      </c>
      <c r="M78" s="18" t="n">
        <v>0</v>
      </c>
      <c r="N78" s="20" t="n">
        <v>0</v>
      </c>
      <c r="O78" s="18" t="n">
        <v>0</v>
      </c>
      <c r="P78" s="20" t="n">
        <v>0</v>
      </c>
      <c r="Q78" s="18" t="n">
        <v>2.83366959</v>
      </c>
      <c r="R78" s="20" t="n">
        <v>0.48012652</v>
      </c>
    </row>
    <row r="79" spans="1:18">
      <c r="A79" s="15" t="s">
        <v>503</v>
      </c>
      <c r="B79" s="17" t="n">
        <v>6062</v>
      </c>
      <c r="C79" s="18">
        <f>(5359.0/B79*100)</f>
        <v/>
      </c>
      <c r="D79" s="19" t="n">
        <v>703</v>
      </c>
      <c r="E79" s="18" t="n">
        <v>6.04796089</v>
      </c>
      <c r="F79" s="20" t="n">
        <v>0.95967956</v>
      </c>
      <c r="G79" s="18" t="n">
        <v>88.54818777</v>
      </c>
      <c r="H79" s="20" t="n">
        <v>1.28516292</v>
      </c>
      <c r="I79" s="18" t="n">
        <v>0</v>
      </c>
      <c r="J79" s="20" t="n">
        <v>0</v>
      </c>
      <c r="K79" s="18" t="n">
        <v>0.69994629</v>
      </c>
      <c r="L79" s="20" t="n">
        <v>0.35340614</v>
      </c>
      <c r="M79" s="18" t="n">
        <v>0</v>
      </c>
      <c r="N79" s="20" t="n">
        <v>0</v>
      </c>
      <c r="O79" s="18" t="n">
        <v>0</v>
      </c>
      <c r="P79" s="20" t="n">
        <v>0</v>
      </c>
      <c r="Q79" s="18" t="n">
        <v>4.70390505</v>
      </c>
      <c r="R79" s="20" t="n">
        <v>0.77935843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619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(6192.0/B11*100)</f>
        <v/>
      </c>
      <c r="D11" s="19" t="n">
        <v>861</v>
      </c>
      <c r="E11" s="18" t="n">
        <v>25.74526716</v>
      </c>
      <c r="F11" s="20" t="n">
        <v>2.10261406</v>
      </c>
      <c r="G11" s="18" t="n">
        <v>73.48456043</v>
      </c>
      <c r="H11" s="20" t="n">
        <v>2.12740111</v>
      </c>
      <c r="I11" s="18" t="n">
        <v>0</v>
      </c>
      <c r="J11" s="20" t="n">
        <v>0</v>
      </c>
      <c r="K11" s="18" t="n">
        <v>0.59875282</v>
      </c>
      <c r="L11" s="20" t="n">
        <v>0.39055836</v>
      </c>
      <c r="M11" s="18" t="n">
        <v>0</v>
      </c>
      <c r="N11" s="20" t="n">
        <v>0</v>
      </c>
      <c r="O11" s="18" t="n">
        <v>0</v>
      </c>
      <c r="P11" s="20" t="n">
        <v>0</v>
      </c>
      <c r="Q11" s="18" t="n">
        <v>0.17141959</v>
      </c>
      <c r="R11" s="20" t="n">
        <v>0.17093356</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(6707.0/B28*100)</f>
        <v/>
      </c>
      <c r="D28" s="19" t="n">
        <v>861</v>
      </c>
      <c r="E28" s="18" t="n">
        <v>38.02812507</v>
      </c>
      <c r="F28" s="20" t="n">
        <v>1.96458669</v>
      </c>
      <c r="G28" s="18" t="n">
        <v>61.54211061</v>
      </c>
      <c r="H28" s="20" t="n">
        <v>1.93859121</v>
      </c>
      <c r="I28" s="18" t="n">
        <v>0</v>
      </c>
      <c r="J28" s="20" t="n">
        <v>0</v>
      </c>
      <c r="K28" s="18" t="n">
        <v>0.21538228</v>
      </c>
      <c r="L28" s="20" t="n">
        <v>0.216914</v>
      </c>
      <c r="M28" s="18" t="n">
        <v>0</v>
      </c>
      <c r="N28" s="20" t="n">
        <v>0</v>
      </c>
      <c r="O28" s="18" t="n">
        <v>0</v>
      </c>
      <c r="P28" s="20" t="n">
        <v>0</v>
      </c>
      <c r="Q28" s="18" t="n">
        <v>0.21438204</v>
      </c>
      <c r="R28" s="20" t="n">
        <v>0.1505333</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(20631.0/B46*100)</f>
        <v/>
      </c>
      <c r="D46" s="19" t="n">
        <v>2510</v>
      </c>
      <c r="E46" s="18" t="n">
        <v>45.10630169</v>
      </c>
      <c r="F46" s="20" t="n">
        <v>1.22666482</v>
      </c>
      <c r="G46" s="18" t="n">
        <v>52.49438087</v>
      </c>
      <c r="H46" s="20" t="n">
        <v>1.27359368</v>
      </c>
      <c r="I46" s="18" t="n">
        <v>0</v>
      </c>
      <c r="J46" s="20" t="n">
        <v>0</v>
      </c>
      <c r="K46" s="18" t="n">
        <v>1.0378347</v>
      </c>
      <c r="L46" s="20" t="n">
        <v>0.25862499</v>
      </c>
      <c r="M46" s="18" t="n">
        <v>0</v>
      </c>
      <c r="N46" s="20" t="n">
        <v>0</v>
      </c>
      <c r="O46" s="18" t="n">
        <v>0</v>
      </c>
      <c r="P46" s="20" t="n">
        <v>0</v>
      </c>
      <c r="Q46" s="18" t="n">
        <v>1.36148274</v>
      </c>
      <c r="R46" s="20" t="n">
        <v>0.33305929</v>
      </c>
    </row>
    <row r="47" spans="1:18">
      <c r="A47" s="15" t="s">
        <v>470</v>
      </c>
      <c r="B47" s="17" t="n">
        <v>5928</v>
      </c>
      <c r="C47" s="18">
        <f>(5217.0/B47*100)</f>
        <v/>
      </c>
      <c r="D47" s="19" t="n">
        <v>711</v>
      </c>
      <c r="E47" s="18" t="n">
        <v>33.0399214</v>
      </c>
      <c r="F47" s="20" t="n">
        <v>2.0087166</v>
      </c>
      <c r="G47" s="18" t="n">
        <v>66.00015025</v>
      </c>
      <c r="H47" s="20" t="n">
        <v>1.99147044</v>
      </c>
      <c r="I47" s="18" t="n">
        <v>0</v>
      </c>
      <c r="J47" s="20" t="n">
        <v>0</v>
      </c>
      <c r="K47" s="18" t="n">
        <v>0</v>
      </c>
      <c r="L47" s="20" t="n">
        <v>0</v>
      </c>
      <c r="M47" s="18" t="n">
        <v>0</v>
      </c>
      <c r="N47" s="20" t="n">
        <v>0</v>
      </c>
      <c r="O47" s="18" t="n">
        <v>0</v>
      </c>
      <c r="P47" s="20" t="n">
        <v>0</v>
      </c>
      <c r="Q47" s="18" t="n">
        <v>0.95992835</v>
      </c>
      <c r="R47" s="20" t="n">
        <v>0.33919337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(10350.0/B49*100)</f>
        <v/>
      </c>
      <c r="D49" s="19" t="n">
        <v>1445</v>
      </c>
      <c r="E49" s="18" t="n">
        <v>36.06529011</v>
      </c>
      <c r="F49" s="20" t="n">
        <v>1.83864976</v>
      </c>
      <c r="G49" s="18" t="n">
        <v>62.45380039</v>
      </c>
      <c r="H49" s="20" t="n">
        <v>1.84731875</v>
      </c>
      <c r="I49" s="18" t="n">
        <v>0</v>
      </c>
      <c r="J49" s="20" t="n">
        <v>0</v>
      </c>
      <c r="K49" s="18" t="n">
        <v>0.74522596</v>
      </c>
      <c r="L49" s="20" t="n">
        <v>0.2463745</v>
      </c>
      <c r="M49" s="18" t="n">
        <v>0</v>
      </c>
      <c r="N49" s="20" t="n">
        <v>0</v>
      </c>
      <c r="O49" s="18" t="n">
        <v>0</v>
      </c>
      <c r="P49" s="20" t="n">
        <v>0</v>
      </c>
      <c r="Q49" s="18" t="n">
        <v>0.73568355</v>
      </c>
      <c r="R49" s="20" t="n">
        <v>0.27228615</v>
      </c>
    </row>
    <row r="50" spans="1:18">
      <c r="A50" s="15" t="s">
        <v>473</v>
      </c>
      <c r="B50" s="17" t="n">
        <v>6866</v>
      </c>
      <c r="C50" s="18">
        <f>(6135.0/B50*100)</f>
        <v/>
      </c>
      <c r="D50" s="19" t="n">
        <v>731</v>
      </c>
      <c r="E50" s="18" t="n">
        <v>37.56634863</v>
      </c>
      <c r="F50" s="20" t="n">
        <v>1.86539452</v>
      </c>
      <c r="G50" s="18" t="n">
        <v>61.38826649</v>
      </c>
      <c r="H50" s="20" t="n">
        <v>1.87592648</v>
      </c>
      <c r="I50" s="18" t="n">
        <v>0</v>
      </c>
      <c r="J50" s="20" t="n">
        <v>0</v>
      </c>
      <c r="K50" s="18" t="n">
        <v>0.58640226</v>
      </c>
      <c r="L50" s="20" t="n">
        <v>0.30066337</v>
      </c>
      <c r="M50" s="18" t="n">
        <v>0</v>
      </c>
      <c r="N50" s="20" t="n">
        <v>0</v>
      </c>
      <c r="O50" s="18" t="n">
        <v>0</v>
      </c>
      <c r="P50" s="20" t="n">
        <v>0</v>
      </c>
      <c r="Q50" s="18" t="n">
        <v>0.45898262</v>
      </c>
      <c r="R50" s="20" t="n">
        <v>0.26054438</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(4901.0/B52*100)</f>
        <v/>
      </c>
      <c r="D52" s="19" t="n">
        <v>670</v>
      </c>
      <c r="E52" s="18" t="n">
        <v>23.80494271</v>
      </c>
      <c r="F52" s="20" t="n">
        <v>1.67138027</v>
      </c>
      <c r="G52" s="18" t="n">
        <v>75.27152175000001</v>
      </c>
      <c r="H52" s="20" t="n">
        <v>1.73705456</v>
      </c>
      <c r="I52" s="18" t="n">
        <v>0</v>
      </c>
      <c r="J52" s="20" t="n">
        <v>0</v>
      </c>
      <c r="K52" s="18" t="n">
        <v>0.32485075</v>
      </c>
      <c r="L52" s="20" t="n">
        <v>0.2450309</v>
      </c>
      <c r="M52" s="18" t="n">
        <v>0</v>
      </c>
      <c r="N52" s="20" t="n">
        <v>0</v>
      </c>
      <c r="O52" s="18" t="n">
        <v>0</v>
      </c>
      <c r="P52" s="20" t="n">
        <v>0</v>
      </c>
      <c r="Q52" s="18" t="n">
        <v>0.5986848</v>
      </c>
      <c r="R52" s="20" t="n">
        <v>0.26588976</v>
      </c>
    </row>
    <row r="53" spans="1:18">
      <c r="A53" s="15" t="s">
        <v>476</v>
      </c>
      <c r="B53" s="17" t="n">
        <v>4740</v>
      </c>
      <c r="C53" s="18">
        <f>(3933.0/B53*100)</f>
        <v/>
      </c>
      <c r="D53" s="19" t="n">
        <v>807</v>
      </c>
      <c r="E53" s="18" t="n">
        <v>37.39325862</v>
      </c>
      <c r="F53" s="20" t="n">
        <v>1.94897535</v>
      </c>
      <c r="G53" s="18" t="n">
        <v>53.75888117</v>
      </c>
      <c r="H53" s="20" t="n">
        <v>1.91750171</v>
      </c>
      <c r="I53" s="18" t="n">
        <v>0</v>
      </c>
      <c r="J53" s="20" t="n">
        <v>0</v>
      </c>
      <c r="K53" s="18" t="n">
        <v>7.39759364</v>
      </c>
      <c r="L53" s="20" t="n">
        <v>1.07069583</v>
      </c>
      <c r="M53" s="18" t="n">
        <v>0</v>
      </c>
      <c r="N53" s="20" t="n">
        <v>0</v>
      </c>
      <c r="O53" s="18" t="n">
        <v>0</v>
      </c>
      <c r="P53" s="20" t="n">
        <v>0</v>
      </c>
      <c r="Q53" s="18" t="n">
        <v>1.45026657</v>
      </c>
      <c r="R53" s="20" t="n">
        <v>0.47626745</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(6155.0/B68*100)</f>
        <v/>
      </c>
      <c r="D68" s="19" t="n">
        <v>816</v>
      </c>
      <c r="E68" s="18" t="n">
        <v>22.85714863</v>
      </c>
      <c r="F68" s="20" t="n">
        <v>1.44153758</v>
      </c>
      <c r="G68" s="18" t="n">
        <v>76.2284076</v>
      </c>
      <c r="H68" s="20" t="n">
        <v>1.5121198</v>
      </c>
      <c r="I68" s="18" t="n">
        <v>0</v>
      </c>
      <c r="J68" s="20" t="n">
        <v>0</v>
      </c>
      <c r="K68" s="18" t="n">
        <v>0.50585437</v>
      </c>
      <c r="L68" s="20" t="n">
        <v>0.25645862</v>
      </c>
      <c r="M68" s="18" t="n">
        <v>0</v>
      </c>
      <c r="N68" s="20" t="n">
        <v>0</v>
      </c>
      <c r="O68" s="18" t="n">
        <v>0</v>
      </c>
      <c r="P68" s="20" t="n">
        <v>0</v>
      </c>
      <c r="Q68" s="18" t="n">
        <v>0.40858941</v>
      </c>
      <c r="R68" s="20" t="n">
        <v>0.24961021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39.38130417</v>
      </c>
      <c r="F70" s="20" t="n">
        <v>1.22030992</v>
      </c>
      <c r="G70" s="18" t="n">
        <v>57.28193636</v>
      </c>
      <c r="H70" s="20" t="n">
        <v>1.26061386</v>
      </c>
      <c r="I70" s="18" t="n">
        <v>0</v>
      </c>
      <c r="J70" s="20" t="n">
        <v>0</v>
      </c>
      <c r="K70" s="18" t="n">
        <v>2.20909771</v>
      </c>
      <c r="L70" s="20" t="n">
        <v>0.33977416</v>
      </c>
      <c r="M70" s="18" t="n">
        <v>0</v>
      </c>
      <c r="N70" s="20" t="n">
        <v>0</v>
      </c>
      <c r="O70" s="18" t="n">
        <v>0</v>
      </c>
      <c r="P70" s="20" t="n">
        <v>0</v>
      </c>
      <c r="Q70" s="18" t="n">
        <v>1.12766176</v>
      </c>
      <c r="R70" s="20" t="n">
        <v>0.23028835</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(4768.0/B77*100)</f>
        <v/>
      </c>
      <c r="D77" s="19" t="n">
        <v>607</v>
      </c>
      <c r="E77" s="18" t="n">
        <v>30.40196935</v>
      </c>
      <c r="F77" s="20" t="n">
        <v>1.87302511</v>
      </c>
      <c r="G77" s="18" t="n">
        <v>64.28963064</v>
      </c>
      <c r="H77" s="20" t="n">
        <v>1.9062432</v>
      </c>
      <c r="I77" s="18" t="n">
        <v>0</v>
      </c>
      <c r="J77" s="20" t="n">
        <v>0</v>
      </c>
      <c r="K77" s="18" t="n">
        <v>3.27912006</v>
      </c>
      <c r="L77" s="20" t="n">
        <v>0.94415964</v>
      </c>
      <c r="M77" s="18" t="n">
        <v>0</v>
      </c>
      <c r="N77" s="20" t="n">
        <v>0</v>
      </c>
      <c r="O77" s="18" t="n">
        <v>0</v>
      </c>
      <c r="P77" s="20" t="n">
        <v>0</v>
      </c>
      <c r="Q77" s="18" t="n">
        <v>2.02927995</v>
      </c>
      <c r="R77" s="20" t="n">
        <v>0.64860591</v>
      </c>
    </row>
    <row r="78" spans="1:18">
      <c r="A78" s="15" t="s">
        <v>502</v>
      </c>
      <c r="B78" s="17" t="n">
        <v>14167</v>
      </c>
      <c r="C78" s="18">
        <f>(12415.0/B78*100)</f>
        <v/>
      </c>
      <c r="D78" s="19" t="n">
        <v>1752</v>
      </c>
      <c r="E78" s="18" t="n">
        <v>38.48139226</v>
      </c>
      <c r="F78" s="20" t="n">
        <v>1.73473413</v>
      </c>
      <c r="G78" s="18" t="n">
        <v>60.18958914</v>
      </c>
      <c r="H78" s="20" t="n">
        <v>1.73123273</v>
      </c>
      <c r="I78" s="18" t="n">
        <v>0</v>
      </c>
      <c r="J78" s="20" t="n">
        <v>0</v>
      </c>
      <c r="K78" s="18" t="n">
        <v>0.65336984</v>
      </c>
      <c r="L78" s="20" t="n">
        <v>0.18902857</v>
      </c>
      <c r="M78" s="18" t="n">
        <v>0</v>
      </c>
      <c r="N78" s="20" t="n">
        <v>0</v>
      </c>
      <c r="O78" s="18" t="n">
        <v>0</v>
      </c>
      <c r="P78" s="20" t="n">
        <v>0</v>
      </c>
      <c r="Q78" s="18" t="n">
        <v>0.67564877</v>
      </c>
      <c r="R78" s="20" t="n">
        <v>0.2155277</v>
      </c>
    </row>
    <row r="79" spans="1:18">
      <c r="A79" s="15" t="s">
        <v>503</v>
      </c>
      <c r="B79" s="17" t="n">
        <v>6062</v>
      </c>
      <c r="C79" s="18">
        <f>(5359.0/B79*100)</f>
        <v/>
      </c>
      <c r="D79" s="19" t="n">
        <v>703</v>
      </c>
      <c r="E79" s="18" t="n">
        <v>21.50356541</v>
      </c>
      <c r="F79" s="20" t="n">
        <v>1.85836832</v>
      </c>
      <c r="G79" s="18" t="n">
        <v>76.49359870000001</v>
      </c>
      <c r="H79" s="20" t="n">
        <v>1.88523005</v>
      </c>
      <c r="I79" s="18" t="n">
        <v>0</v>
      </c>
      <c r="J79" s="20" t="n">
        <v>0</v>
      </c>
      <c r="K79" s="18" t="n">
        <v>0.69996381</v>
      </c>
      <c r="L79" s="20" t="n">
        <v>0.35319951</v>
      </c>
      <c r="M79" s="18" t="n">
        <v>0</v>
      </c>
      <c r="N79" s="20" t="n">
        <v>0</v>
      </c>
      <c r="O79" s="18" t="n">
        <v>0</v>
      </c>
      <c r="P79" s="20" t="n">
        <v>0</v>
      </c>
      <c r="Q79" s="18" t="n">
        <v>1.30287209</v>
      </c>
      <c r="R79" s="20" t="n">
        <v>0.33561873</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(6195.0/B11*100)</f>
        <v/>
      </c>
      <c r="D11" s="19" t="n">
        <v>858</v>
      </c>
      <c r="E11" s="18" t="n">
        <v>28.83155778</v>
      </c>
      <c r="F11" s="20" t="n">
        <v>1.79770906</v>
      </c>
      <c r="G11" s="18" t="n">
        <v>63.1404221</v>
      </c>
      <c r="H11" s="20" t="n">
        <v>2.01226149</v>
      </c>
      <c r="I11" s="18" t="n">
        <v>0</v>
      </c>
      <c r="J11" s="20" t="n">
        <v>0</v>
      </c>
      <c r="K11" s="18" t="n">
        <v>0.60158298</v>
      </c>
      <c r="L11" s="20" t="n">
        <v>0.39211146</v>
      </c>
      <c r="M11" s="18" t="n">
        <v>0</v>
      </c>
      <c r="N11" s="20" t="n">
        <v>0</v>
      </c>
      <c r="O11" s="18" t="n">
        <v>0</v>
      </c>
      <c r="P11" s="20" t="n">
        <v>0</v>
      </c>
      <c r="Q11" s="18" t="n">
        <v>7.42643714</v>
      </c>
      <c r="R11" s="20" t="n">
        <v>1.31021384</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(6716.0/B28*100)</f>
        <v/>
      </c>
      <c r="D28" s="19" t="n">
        <v>852</v>
      </c>
      <c r="E28" s="18" t="n">
        <v>32.00517862</v>
      </c>
      <c r="F28" s="20" t="n">
        <v>1.88362498</v>
      </c>
      <c r="G28" s="18" t="n">
        <v>67.48948124</v>
      </c>
      <c r="H28" s="20" t="n">
        <v>1.81377938</v>
      </c>
      <c r="I28" s="18" t="n">
        <v>0</v>
      </c>
      <c r="J28" s="20" t="n">
        <v>0</v>
      </c>
      <c r="K28" s="18" t="n">
        <v>0.21718377</v>
      </c>
      <c r="L28" s="20" t="n">
        <v>0.21851526</v>
      </c>
      <c r="M28" s="18" t="n">
        <v>0.18434877</v>
      </c>
      <c r="N28" s="20" t="n">
        <v>0.18475132</v>
      </c>
      <c r="O28" s="18" t="n">
        <v>0</v>
      </c>
      <c r="P28" s="20" t="n">
        <v>0</v>
      </c>
      <c r="Q28" s="18" t="n">
        <v>0.10380759</v>
      </c>
      <c r="R28" s="20" t="n">
        <v>0.1038997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(20700.0/B46*100)</f>
        <v/>
      </c>
      <c r="D46" s="19" t="n">
        <v>2441</v>
      </c>
      <c r="E46" s="18" t="n">
        <v>37.55978933</v>
      </c>
      <c r="F46" s="20" t="n">
        <v>1.19770289</v>
      </c>
      <c r="G46" s="18" t="n">
        <v>47.28021627</v>
      </c>
      <c r="H46" s="20" t="n">
        <v>1.18300454</v>
      </c>
      <c r="I46" s="18" t="n">
        <v>0</v>
      </c>
      <c r="J46" s="20" t="n">
        <v>0</v>
      </c>
      <c r="K46" s="18" t="n">
        <v>1.30942772</v>
      </c>
      <c r="L46" s="20" t="n">
        <v>0.29044732</v>
      </c>
      <c r="M46" s="18" t="n">
        <v>0.17186502</v>
      </c>
      <c r="N46" s="20" t="n">
        <v>0.12937723</v>
      </c>
      <c r="O46" s="18" t="n">
        <v>0</v>
      </c>
      <c r="P46" s="20" t="n">
        <v>0</v>
      </c>
      <c r="Q46" s="18" t="n">
        <v>13.67870165</v>
      </c>
      <c r="R46" s="20" t="n">
        <v>1.04700188</v>
      </c>
    </row>
    <row r="47" spans="1:18">
      <c r="A47" s="15" t="s">
        <v>470</v>
      </c>
      <c r="B47" s="17" t="n">
        <v>5928</v>
      </c>
      <c r="C47" s="18">
        <f>(5219.0/B47*100)</f>
        <v/>
      </c>
      <c r="D47" s="19" t="n">
        <v>709</v>
      </c>
      <c r="E47" s="18" t="n">
        <v>37.75026512</v>
      </c>
      <c r="F47" s="20" t="n">
        <v>1.92184481</v>
      </c>
      <c r="G47" s="18" t="n">
        <v>55.53023737</v>
      </c>
      <c r="H47" s="20" t="n">
        <v>2.12494802</v>
      </c>
      <c r="I47" s="18" t="n">
        <v>0</v>
      </c>
      <c r="J47" s="20" t="n">
        <v>0</v>
      </c>
      <c r="K47" s="18" t="n">
        <v>0</v>
      </c>
      <c r="L47" s="20" t="n">
        <v>0</v>
      </c>
      <c r="M47" s="18" t="n">
        <v>0</v>
      </c>
      <c r="N47" s="20" t="n">
        <v>0</v>
      </c>
      <c r="O47" s="18" t="n">
        <v>0</v>
      </c>
      <c r="P47" s="20" t="n">
        <v>0</v>
      </c>
      <c r="Q47" s="18" t="n">
        <v>6.71949751</v>
      </c>
      <c r="R47" s="20" t="n">
        <v>0.93846358</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(10357.0/B49*100)</f>
        <v/>
      </c>
      <c r="D49" s="19" t="n">
        <v>1438</v>
      </c>
      <c r="E49" s="18" t="n">
        <v>28.29874469</v>
      </c>
      <c r="F49" s="20" t="n">
        <v>1.79755403</v>
      </c>
      <c r="G49" s="18" t="n">
        <v>69.82439406</v>
      </c>
      <c r="H49" s="20" t="n">
        <v>1.76879915</v>
      </c>
      <c r="I49" s="18" t="n">
        <v>0</v>
      </c>
      <c r="J49" s="20" t="n">
        <v>0</v>
      </c>
      <c r="K49" s="18" t="n">
        <v>0.85674781</v>
      </c>
      <c r="L49" s="20" t="n">
        <v>0.2595727</v>
      </c>
      <c r="M49" s="18" t="n">
        <v>0.0822484</v>
      </c>
      <c r="N49" s="20" t="n">
        <v>0.07854272</v>
      </c>
      <c r="O49" s="18" t="n">
        <v>0</v>
      </c>
      <c r="P49" s="20" t="n">
        <v>0</v>
      </c>
      <c r="Q49" s="18" t="n">
        <v>0.93786504</v>
      </c>
      <c r="R49" s="20" t="n">
        <v>0.31397722</v>
      </c>
    </row>
    <row r="50" spans="1:18">
      <c r="A50" s="15" t="s">
        <v>473</v>
      </c>
      <c r="B50" s="17" t="n">
        <v>6866</v>
      </c>
      <c r="C50" s="18">
        <f>(6142.0/B50*100)</f>
        <v/>
      </c>
      <c r="D50" s="19" t="n">
        <v>724</v>
      </c>
      <c r="E50" s="18" t="n">
        <v>22.44686794</v>
      </c>
      <c r="F50" s="20" t="n">
        <v>1.55448906</v>
      </c>
      <c r="G50" s="18" t="n">
        <v>66.50959064</v>
      </c>
      <c r="H50" s="20" t="n">
        <v>2.02166971</v>
      </c>
      <c r="I50" s="18" t="n">
        <v>0</v>
      </c>
      <c r="J50" s="20" t="n">
        <v>0</v>
      </c>
      <c r="K50" s="18" t="n">
        <v>0.59286589</v>
      </c>
      <c r="L50" s="20" t="n">
        <v>0.30407834</v>
      </c>
      <c r="M50" s="18" t="n">
        <v>0</v>
      </c>
      <c r="N50" s="20" t="n">
        <v>0</v>
      </c>
      <c r="O50" s="18" t="n">
        <v>0</v>
      </c>
      <c r="P50" s="20" t="n">
        <v>0</v>
      </c>
      <c r="Q50" s="18" t="n">
        <v>10.45067553</v>
      </c>
      <c r="R50" s="20" t="n">
        <v>1.0850972</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(4903.0/B52*100)</f>
        <v/>
      </c>
      <c r="D52" s="19" t="n">
        <v>668</v>
      </c>
      <c r="E52" s="18" t="n">
        <v>43.18487894</v>
      </c>
      <c r="F52" s="20" t="n">
        <v>2.01414445</v>
      </c>
      <c r="G52" s="18" t="n">
        <v>55.45169434</v>
      </c>
      <c r="H52" s="20" t="n">
        <v>2.02420284</v>
      </c>
      <c r="I52" s="18" t="n">
        <v>0</v>
      </c>
      <c r="J52" s="20" t="n">
        <v>0</v>
      </c>
      <c r="K52" s="18" t="n">
        <v>0.32588851</v>
      </c>
      <c r="L52" s="20" t="n">
        <v>0.24581839</v>
      </c>
      <c r="M52" s="18" t="n">
        <v>0</v>
      </c>
      <c r="N52" s="20" t="n">
        <v>0</v>
      </c>
      <c r="O52" s="18" t="n">
        <v>0</v>
      </c>
      <c r="P52" s="20" t="n">
        <v>0</v>
      </c>
      <c r="Q52" s="18" t="n">
        <v>1.03753822</v>
      </c>
      <c r="R52" s="20" t="n">
        <v>0.43948669</v>
      </c>
    </row>
    <row r="53" spans="1:18">
      <c r="A53" s="15" t="s">
        <v>476</v>
      </c>
      <c r="B53" s="17" t="n">
        <v>4740</v>
      </c>
      <c r="C53" s="18">
        <f>(3933.0/B53*100)</f>
        <v/>
      </c>
      <c r="D53" s="19" t="n">
        <v>807</v>
      </c>
      <c r="E53" s="18" t="n">
        <v>39.11039894</v>
      </c>
      <c r="F53" s="20" t="n">
        <v>2.25482998</v>
      </c>
      <c r="G53" s="18" t="n">
        <v>51.00421864</v>
      </c>
      <c r="H53" s="20" t="n">
        <v>2.05257722</v>
      </c>
      <c r="I53" s="18" t="n">
        <v>0</v>
      </c>
      <c r="J53" s="20" t="n">
        <v>0</v>
      </c>
      <c r="K53" s="18" t="n">
        <v>7.56094056</v>
      </c>
      <c r="L53" s="20" t="n">
        <v>1.09894533</v>
      </c>
      <c r="M53" s="18" t="n">
        <v>0.7772455700000001</v>
      </c>
      <c r="N53" s="20" t="n">
        <v>0.7010722</v>
      </c>
      <c r="O53" s="18" t="n">
        <v>0</v>
      </c>
      <c r="P53" s="20" t="n">
        <v>0</v>
      </c>
      <c r="Q53" s="18" t="n">
        <v>1.54719629</v>
      </c>
      <c r="R53" s="20" t="n">
        <v>0.45017408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(6175.0/B68*100)</f>
        <v/>
      </c>
      <c r="D68" s="19" t="n">
        <v>796</v>
      </c>
      <c r="E68" s="18" t="n">
        <v>41.42195106</v>
      </c>
      <c r="F68" s="20" t="n">
        <v>1.69906147</v>
      </c>
      <c r="G68" s="18" t="n">
        <v>57.02879042</v>
      </c>
      <c r="H68" s="20" t="n">
        <v>1.71245102</v>
      </c>
      <c r="I68" s="18" t="n">
        <v>0</v>
      </c>
      <c r="J68" s="20" t="n">
        <v>0</v>
      </c>
      <c r="K68" s="18" t="n">
        <v>0.51909999</v>
      </c>
      <c r="L68" s="20" t="n">
        <v>0.26268406</v>
      </c>
      <c r="M68" s="18" t="n">
        <v>0.14862017</v>
      </c>
      <c r="N68" s="20" t="n">
        <v>0.14799428</v>
      </c>
      <c r="O68" s="18" t="n">
        <v>0</v>
      </c>
      <c r="P68" s="20" t="n">
        <v>0</v>
      </c>
      <c r="Q68" s="18" t="n">
        <v>0.88153836</v>
      </c>
      <c r="R68" s="20" t="n">
        <v>0.34289039</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(10061.0/B70*100)</f>
        <v/>
      </c>
      <c r="D70" s="19" t="n">
        <v>2022</v>
      </c>
      <c r="E70" s="18" t="n">
        <v>41.23764537</v>
      </c>
      <c r="F70" s="20" t="n">
        <v>1.07239826</v>
      </c>
      <c r="G70" s="18" t="n">
        <v>54.83734657</v>
      </c>
      <c r="H70" s="20" t="n">
        <v>1.01962734</v>
      </c>
      <c r="I70" s="18" t="n">
        <v>0</v>
      </c>
      <c r="J70" s="20" t="n">
        <v>0</v>
      </c>
      <c r="K70" s="18" t="n">
        <v>2.35147574</v>
      </c>
      <c r="L70" s="20" t="n">
        <v>0.34398048</v>
      </c>
      <c r="M70" s="18" t="n">
        <v>0.0486938</v>
      </c>
      <c r="N70" s="20" t="n">
        <v>0.04889622</v>
      </c>
      <c r="O70" s="18" t="n">
        <v>0</v>
      </c>
      <c r="P70" s="20" t="n">
        <v>0</v>
      </c>
      <c r="Q70" s="18" t="n">
        <v>1.52483852</v>
      </c>
      <c r="R70" s="20" t="n">
        <v>0.29145578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(4772.0/B77*100)</f>
        <v/>
      </c>
      <c r="D77" s="19" t="n">
        <v>603</v>
      </c>
      <c r="E77" s="18" t="n">
        <v>37.7355231</v>
      </c>
      <c r="F77" s="20" t="n">
        <v>2.25145111</v>
      </c>
      <c r="G77" s="18" t="n">
        <v>56.6385094</v>
      </c>
      <c r="H77" s="20" t="n">
        <v>2.40593839</v>
      </c>
      <c r="I77" s="18" t="n">
        <v>0</v>
      </c>
      <c r="J77" s="20" t="n">
        <v>0</v>
      </c>
      <c r="K77" s="18" t="n">
        <v>3.4464439</v>
      </c>
      <c r="L77" s="20" t="n">
        <v>0.93440726</v>
      </c>
      <c r="M77" s="18" t="n">
        <v>0.19427503</v>
      </c>
      <c r="N77" s="20" t="n">
        <v>0.19254498</v>
      </c>
      <c r="O77" s="18" t="n">
        <v>0</v>
      </c>
      <c r="P77" s="20" t="n">
        <v>0</v>
      </c>
      <c r="Q77" s="18" t="n">
        <v>1.98524857</v>
      </c>
      <c r="R77" s="20" t="n">
        <v>0.63874197</v>
      </c>
    </row>
    <row r="78" spans="1:18">
      <c r="A78" s="15" t="s">
        <v>502</v>
      </c>
      <c r="B78" s="17" t="n">
        <v>14167</v>
      </c>
      <c r="C78" s="18">
        <f>(12414.0/B78*100)</f>
        <v/>
      </c>
      <c r="D78" s="19" t="n">
        <v>1753</v>
      </c>
      <c r="E78" s="18" t="n">
        <v>31.06928035</v>
      </c>
      <c r="F78" s="20" t="n">
        <v>1.32496564</v>
      </c>
      <c r="G78" s="18" t="n">
        <v>66.77578702</v>
      </c>
      <c r="H78" s="20" t="n">
        <v>1.39007845</v>
      </c>
      <c r="I78" s="18" t="n">
        <v>0</v>
      </c>
      <c r="J78" s="20" t="n">
        <v>0</v>
      </c>
      <c r="K78" s="18" t="n">
        <v>0.90076821</v>
      </c>
      <c r="L78" s="20" t="n">
        <v>0.24279898</v>
      </c>
      <c r="M78" s="18" t="n">
        <v>0.13122341</v>
      </c>
      <c r="N78" s="20" t="n">
        <v>0.08491102</v>
      </c>
      <c r="O78" s="18" t="n">
        <v>0</v>
      </c>
      <c r="P78" s="20" t="n">
        <v>0</v>
      </c>
      <c r="Q78" s="18" t="n">
        <v>1.12294101</v>
      </c>
      <c r="R78" s="20" t="n">
        <v>0.40052815</v>
      </c>
    </row>
    <row r="79" spans="1:18">
      <c r="A79" s="15" t="s">
        <v>503</v>
      </c>
      <c r="B79" s="17" t="n">
        <v>6062</v>
      </c>
      <c r="C79" s="18">
        <f>(5363.0/B79*100)</f>
        <v/>
      </c>
      <c r="D79" s="19" t="n">
        <v>699</v>
      </c>
      <c r="E79" s="18" t="n">
        <v>35.69706182</v>
      </c>
      <c r="F79" s="20" t="n">
        <v>2.16059837</v>
      </c>
      <c r="G79" s="18" t="n">
        <v>61.05782324</v>
      </c>
      <c r="H79" s="20" t="n">
        <v>2.07237918</v>
      </c>
      <c r="I79" s="18" t="n">
        <v>0</v>
      </c>
      <c r="J79" s="20" t="n">
        <v>0</v>
      </c>
      <c r="K79" s="18" t="n">
        <v>0.96041086</v>
      </c>
      <c r="L79" s="20" t="n">
        <v>0.3932168</v>
      </c>
      <c r="M79" s="18" t="n">
        <v>0.13031851</v>
      </c>
      <c r="N79" s="20" t="n">
        <v>0.13417012</v>
      </c>
      <c r="O79" s="18" t="n">
        <v>0</v>
      </c>
      <c r="P79" s="20" t="n">
        <v>0</v>
      </c>
      <c r="Q79" s="18" t="n">
        <v>2.15438557</v>
      </c>
      <c r="R79" s="20" t="n">
        <v>0.51661869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(6195.0/B11*100)</f>
        <v/>
      </c>
      <c r="D11" s="19" t="n">
        <v>858</v>
      </c>
      <c r="E11" s="18" t="n">
        <v>42.9763955</v>
      </c>
      <c r="F11" s="20" t="n">
        <v>2.04025338</v>
      </c>
      <c r="G11" s="18" t="n">
        <v>55.49487365</v>
      </c>
      <c r="H11" s="20" t="n">
        <v>2.00829345</v>
      </c>
      <c r="I11" s="18" t="n">
        <v>0</v>
      </c>
      <c r="J11" s="20" t="n">
        <v>0</v>
      </c>
      <c r="K11" s="18" t="n">
        <v>0.60158298</v>
      </c>
      <c r="L11" s="20" t="n">
        <v>0.39211146</v>
      </c>
      <c r="M11" s="18" t="n">
        <v>0</v>
      </c>
      <c r="N11" s="20" t="n">
        <v>0</v>
      </c>
      <c r="O11" s="18" t="n">
        <v>0</v>
      </c>
      <c r="P11" s="20" t="n">
        <v>0</v>
      </c>
      <c r="Q11" s="18" t="n">
        <v>0.92714787</v>
      </c>
      <c r="R11" s="20" t="n">
        <v>0.46728448</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(6716.0/B28*100)</f>
        <v/>
      </c>
      <c r="D28" s="19" t="n">
        <v>852</v>
      </c>
      <c r="E28" s="18" t="n">
        <v>44.17396619</v>
      </c>
      <c r="F28" s="20" t="n">
        <v>1.93161852</v>
      </c>
      <c r="G28" s="18" t="n">
        <v>55.26906234</v>
      </c>
      <c r="H28" s="20" t="n">
        <v>1.97042439</v>
      </c>
      <c r="I28" s="18" t="n">
        <v>0</v>
      </c>
      <c r="J28" s="20" t="n">
        <v>0</v>
      </c>
      <c r="K28" s="18" t="n">
        <v>0.21718377</v>
      </c>
      <c r="L28" s="20" t="n">
        <v>0.21851526</v>
      </c>
      <c r="M28" s="18" t="n">
        <v>0</v>
      </c>
      <c r="N28" s="20" t="n">
        <v>0</v>
      </c>
      <c r="O28" s="18" t="n">
        <v>0</v>
      </c>
      <c r="P28" s="20" t="n">
        <v>0</v>
      </c>
      <c r="Q28" s="18" t="n">
        <v>0.33978769</v>
      </c>
      <c r="R28" s="20" t="n">
        <v>0.25131589</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(20697.0/B46*100)</f>
        <v/>
      </c>
      <c r="D46" s="19" t="n">
        <v>2444</v>
      </c>
      <c r="E46" s="18" t="n">
        <v>50.99580041</v>
      </c>
      <c r="F46" s="20" t="n">
        <v>1.35741443</v>
      </c>
      <c r="G46" s="18" t="n">
        <v>46.65077612</v>
      </c>
      <c r="H46" s="20" t="n">
        <v>1.38088782</v>
      </c>
      <c r="I46" s="18" t="n">
        <v>0</v>
      </c>
      <c r="J46" s="20" t="n">
        <v>0</v>
      </c>
      <c r="K46" s="18" t="n">
        <v>1.39648193</v>
      </c>
      <c r="L46" s="20" t="n">
        <v>0.29719618</v>
      </c>
      <c r="M46" s="18" t="n">
        <v>0</v>
      </c>
      <c r="N46" s="20" t="n">
        <v>0</v>
      </c>
      <c r="O46" s="18" t="n">
        <v>0</v>
      </c>
      <c r="P46" s="20" t="n">
        <v>0</v>
      </c>
      <c r="Q46" s="18" t="n">
        <v>0.95694154</v>
      </c>
      <c r="R46" s="20" t="n">
        <v>0.26009594</v>
      </c>
    </row>
    <row r="47" spans="1:18">
      <c r="A47" s="15" t="s">
        <v>470</v>
      </c>
      <c r="B47" s="17" t="n">
        <v>5928</v>
      </c>
      <c r="C47" s="18">
        <f>(5219.0/B47*100)</f>
        <v/>
      </c>
      <c r="D47" s="19" t="n">
        <v>709</v>
      </c>
      <c r="E47" s="18" t="n">
        <v>41.30146071</v>
      </c>
      <c r="F47" s="20" t="n">
        <v>1.99633394</v>
      </c>
      <c r="G47" s="18" t="n">
        <v>57.97955688</v>
      </c>
      <c r="H47" s="20" t="n">
        <v>2.01344012</v>
      </c>
      <c r="I47" s="18" t="n">
        <v>0</v>
      </c>
      <c r="J47" s="20" t="n">
        <v>0</v>
      </c>
      <c r="K47" s="18" t="n">
        <v>0.42593668</v>
      </c>
      <c r="L47" s="20" t="n">
        <v>0.1948914</v>
      </c>
      <c r="M47" s="18" t="n">
        <v>0</v>
      </c>
      <c r="N47" s="20" t="n">
        <v>0</v>
      </c>
      <c r="O47" s="18" t="n">
        <v>0</v>
      </c>
      <c r="P47" s="20" t="n">
        <v>0</v>
      </c>
      <c r="Q47" s="18" t="n">
        <v>0.29304572</v>
      </c>
      <c r="R47" s="20" t="n">
        <v>0.19491625</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(10356.0/B49*100)</f>
        <v/>
      </c>
      <c r="D49" s="19" t="n">
        <v>1439</v>
      </c>
      <c r="E49" s="18" t="n">
        <v>69.33367383</v>
      </c>
      <c r="F49" s="20" t="n">
        <v>1.73937877</v>
      </c>
      <c r="G49" s="18" t="n">
        <v>29.3203509</v>
      </c>
      <c r="H49" s="20" t="n">
        <v>1.69373471</v>
      </c>
      <c r="I49" s="18" t="n">
        <v>0</v>
      </c>
      <c r="J49" s="20" t="n">
        <v>0</v>
      </c>
      <c r="K49" s="18" t="n">
        <v>0.86127195</v>
      </c>
      <c r="L49" s="20" t="n">
        <v>0.2624236</v>
      </c>
      <c r="M49" s="18" t="n">
        <v>0</v>
      </c>
      <c r="N49" s="20" t="n">
        <v>0</v>
      </c>
      <c r="O49" s="18" t="n">
        <v>0</v>
      </c>
      <c r="P49" s="20" t="n">
        <v>0</v>
      </c>
      <c r="Q49" s="18" t="n">
        <v>0.48470331</v>
      </c>
      <c r="R49" s="20" t="n">
        <v>0.20381227</v>
      </c>
    </row>
    <row r="50" spans="1:18">
      <c r="A50" s="15" t="s">
        <v>473</v>
      </c>
      <c r="B50" s="17" t="n">
        <v>6866</v>
      </c>
      <c r="C50" s="18">
        <f>(6142.0/B50*100)</f>
        <v/>
      </c>
      <c r="D50" s="19" t="n">
        <v>724</v>
      </c>
      <c r="E50" s="18" t="n">
        <v>56.00134826</v>
      </c>
      <c r="F50" s="20" t="n">
        <v>2.04835768</v>
      </c>
      <c r="G50" s="18" t="n">
        <v>42.90970758</v>
      </c>
      <c r="H50" s="20" t="n">
        <v>2.03442557</v>
      </c>
      <c r="I50" s="18" t="n">
        <v>0</v>
      </c>
      <c r="J50" s="20" t="n">
        <v>0</v>
      </c>
      <c r="K50" s="18" t="n">
        <v>0.59286589</v>
      </c>
      <c r="L50" s="20" t="n">
        <v>0.30407834</v>
      </c>
      <c r="M50" s="18" t="n">
        <v>0</v>
      </c>
      <c r="N50" s="20" t="n">
        <v>0</v>
      </c>
      <c r="O50" s="18" t="n">
        <v>0</v>
      </c>
      <c r="P50" s="20" t="n">
        <v>0</v>
      </c>
      <c r="Q50" s="18" t="n">
        <v>0.49607826</v>
      </c>
      <c r="R50" s="20" t="n">
        <v>0.25722331</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(4903.0/B52*100)</f>
        <v/>
      </c>
      <c r="D52" s="19" t="n">
        <v>668</v>
      </c>
      <c r="E52" s="18" t="n">
        <v>28.61505724</v>
      </c>
      <c r="F52" s="20" t="n">
        <v>1.87515955</v>
      </c>
      <c r="G52" s="18" t="n">
        <v>70.55902573</v>
      </c>
      <c r="H52" s="20" t="n">
        <v>1.81813185</v>
      </c>
      <c r="I52" s="18" t="n">
        <v>0</v>
      </c>
      <c r="J52" s="20" t="n">
        <v>0</v>
      </c>
      <c r="K52" s="18" t="n">
        <v>0.32588851</v>
      </c>
      <c r="L52" s="20" t="n">
        <v>0.24581839</v>
      </c>
      <c r="M52" s="18" t="n">
        <v>0</v>
      </c>
      <c r="N52" s="20" t="n">
        <v>0</v>
      </c>
      <c r="O52" s="18" t="n">
        <v>0</v>
      </c>
      <c r="P52" s="20" t="n">
        <v>0</v>
      </c>
      <c r="Q52" s="18" t="n">
        <v>0.50002852</v>
      </c>
      <c r="R52" s="20" t="n">
        <v>0.31933941</v>
      </c>
    </row>
    <row r="53" spans="1:18">
      <c r="A53" s="15" t="s">
        <v>476</v>
      </c>
      <c r="B53" s="17" t="n">
        <v>4740</v>
      </c>
      <c r="C53" s="18">
        <f>(3933.0/B53*100)</f>
        <v/>
      </c>
      <c r="D53" s="19" t="n">
        <v>807</v>
      </c>
      <c r="E53" s="18" t="n">
        <v>57.65371976</v>
      </c>
      <c r="F53" s="20" t="n">
        <v>1.85583579</v>
      </c>
      <c r="G53" s="18" t="n">
        <v>32.54894793</v>
      </c>
      <c r="H53" s="20" t="n">
        <v>1.91417186</v>
      </c>
      <c r="I53" s="18" t="n">
        <v>0</v>
      </c>
      <c r="J53" s="20" t="n">
        <v>0</v>
      </c>
      <c r="K53" s="18" t="n">
        <v>8.82984956</v>
      </c>
      <c r="L53" s="20" t="n">
        <v>1.12901387</v>
      </c>
      <c r="M53" s="18" t="n">
        <v>0</v>
      </c>
      <c r="N53" s="20" t="n">
        <v>0</v>
      </c>
      <c r="O53" s="18" t="n">
        <v>0</v>
      </c>
      <c r="P53" s="20" t="n">
        <v>0</v>
      </c>
      <c r="Q53" s="18" t="n">
        <v>0.9674827499999999</v>
      </c>
      <c r="R53" s="20" t="n">
        <v>0.3039576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(6175.0/B68*100)</f>
        <v/>
      </c>
      <c r="D68" s="19" t="n">
        <v>796</v>
      </c>
      <c r="E68" s="18" t="n">
        <v>62.36644695</v>
      </c>
      <c r="F68" s="20" t="n">
        <v>1.66382521</v>
      </c>
      <c r="G68" s="18" t="n">
        <v>36.44987343</v>
      </c>
      <c r="H68" s="20" t="n">
        <v>1.68052394</v>
      </c>
      <c r="I68" s="18" t="n">
        <v>0</v>
      </c>
      <c r="J68" s="20" t="n">
        <v>0</v>
      </c>
      <c r="K68" s="18" t="n">
        <v>0.64272688</v>
      </c>
      <c r="L68" s="20" t="n">
        <v>0.28886571</v>
      </c>
      <c r="M68" s="18" t="n">
        <v>0</v>
      </c>
      <c r="N68" s="20" t="n">
        <v>0</v>
      </c>
      <c r="O68" s="18" t="n">
        <v>0</v>
      </c>
      <c r="P68" s="20" t="n">
        <v>0</v>
      </c>
      <c r="Q68" s="18" t="n">
        <v>0.54095274</v>
      </c>
      <c r="R68" s="20" t="n">
        <v>0.28554333</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(10062.0/B70*100)</f>
        <v/>
      </c>
      <c r="D70" s="19" t="n">
        <v>2021</v>
      </c>
      <c r="E70" s="18" t="n">
        <v>49.08854128</v>
      </c>
      <c r="F70" s="20" t="n">
        <v>1.27789358</v>
      </c>
      <c r="G70" s="18" t="n">
        <v>47.57307283</v>
      </c>
      <c r="H70" s="20" t="n">
        <v>1.27803174</v>
      </c>
      <c r="I70" s="18" t="n">
        <v>0</v>
      </c>
      <c r="J70" s="20" t="n">
        <v>0</v>
      </c>
      <c r="K70" s="18" t="n">
        <v>2.49651102</v>
      </c>
      <c r="L70" s="20" t="n">
        <v>0.3541544</v>
      </c>
      <c r="M70" s="18" t="n">
        <v>0</v>
      </c>
      <c r="N70" s="20" t="n">
        <v>0</v>
      </c>
      <c r="O70" s="18" t="n">
        <v>0</v>
      </c>
      <c r="P70" s="20" t="n">
        <v>0</v>
      </c>
      <c r="Q70" s="18" t="n">
        <v>0.8418748700000001</v>
      </c>
      <c r="R70" s="20" t="n">
        <v>0.19532783</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(4772.0/B77*100)</f>
        <v/>
      </c>
      <c r="D77" s="19" t="n">
        <v>603</v>
      </c>
      <c r="E77" s="18" t="n">
        <v>23.36926774</v>
      </c>
      <c r="F77" s="20" t="n">
        <v>1.77283235</v>
      </c>
      <c r="G77" s="18" t="n">
        <v>71.11987841</v>
      </c>
      <c r="H77" s="20" t="n">
        <v>1.94058726</v>
      </c>
      <c r="I77" s="18" t="n">
        <v>0</v>
      </c>
      <c r="J77" s="20" t="n">
        <v>0</v>
      </c>
      <c r="K77" s="18" t="n">
        <v>4.42428607</v>
      </c>
      <c r="L77" s="20" t="n">
        <v>1.027826</v>
      </c>
      <c r="M77" s="18" t="n">
        <v>0</v>
      </c>
      <c r="N77" s="20" t="n">
        <v>0</v>
      </c>
      <c r="O77" s="18" t="n">
        <v>0</v>
      </c>
      <c r="P77" s="20" t="n">
        <v>0</v>
      </c>
      <c r="Q77" s="18" t="n">
        <v>1.08656778</v>
      </c>
      <c r="R77" s="20" t="n">
        <v>0.52146185</v>
      </c>
    </row>
    <row r="78" spans="1:18">
      <c r="A78" s="15" t="s">
        <v>502</v>
      </c>
      <c r="B78" s="17" t="n">
        <v>14167</v>
      </c>
      <c r="C78" s="18">
        <f>(12416.0/B78*100)</f>
        <v/>
      </c>
      <c r="D78" s="19" t="n">
        <v>1751</v>
      </c>
      <c r="E78" s="18" t="n">
        <v>48.63378946</v>
      </c>
      <c r="F78" s="20" t="n">
        <v>1.48870743</v>
      </c>
      <c r="G78" s="18" t="n">
        <v>49.91357795</v>
      </c>
      <c r="H78" s="20" t="n">
        <v>1.48016324</v>
      </c>
      <c r="I78" s="18" t="n">
        <v>0</v>
      </c>
      <c r="J78" s="20" t="n">
        <v>0</v>
      </c>
      <c r="K78" s="18" t="n">
        <v>1.00089396</v>
      </c>
      <c r="L78" s="20" t="n">
        <v>0.26049287</v>
      </c>
      <c r="M78" s="18" t="n">
        <v>0</v>
      </c>
      <c r="N78" s="20" t="n">
        <v>0</v>
      </c>
      <c r="O78" s="18" t="n">
        <v>0</v>
      </c>
      <c r="P78" s="20" t="n">
        <v>0</v>
      </c>
      <c r="Q78" s="18" t="n">
        <v>0.45173863</v>
      </c>
      <c r="R78" s="20" t="n">
        <v>0.17672448</v>
      </c>
    </row>
    <row r="79" spans="1:18">
      <c r="A79" s="15" t="s">
        <v>503</v>
      </c>
      <c r="B79" s="17" t="n">
        <v>6062</v>
      </c>
      <c r="C79" s="18">
        <f>(5365.0/B79*100)</f>
        <v/>
      </c>
      <c r="D79" s="19" t="n">
        <v>697</v>
      </c>
      <c r="E79" s="18" t="n">
        <v>30.1953147</v>
      </c>
      <c r="F79" s="20" t="n">
        <v>1.94715418</v>
      </c>
      <c r="G79" s="18" t="n">
        <v>67.44765352</v>
      </c>
      <c r="H79" s="20" t="n">
        <v>2.11699768</v>
      </c>
      <c r="I79" s="18" t="n">
        <v>0</v>
      </c>
      <c r="J79" s="20" t="n">
        <v>0</v>
      </c>
      <c r="K79" s="18" t="n">
        <v>1.42398595</v>
      </c>
      <c r="L79" s="20" t="n">
        <v>0.48136955</v>
      </c>
      <c r="M79" s="18" t="n">
        <v>0</v>
      </c>
      <c r="N79" s="20" t="n">
        <v>0</v>
      </c>
      <c r="O79" s="18" t="n">
        <v>0</v>
      </c>
      <c r="P79" s="20" t="n">
        <v>0</v>
      </c>
      <c r="Q79" s="18" t="n">
        <v>0.93304583</v>
      </c>
      <c r="R79" s="20" t="n">
        <v>0.3915779</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(6198.0/B11*100)</f>
        <v/>
      </c>
      <c r="D11" s="19" t="n">
        <v>855</v>
      </c>
      <c r="E11" s="18" t="n">
        <v>4.60109452</v>
      </c>
      <c r="F11" s="20" t="n">
        <v>1.12782954</v>
      </c>
      <c r="G11" s="18" t="n">
        <v>94.04162162999999</v>
      </c>
      <c r="H11" s="20" t="n">
        <v>1.38089976</v>
      </c>
      <c r="I11" s="18" t="n">
        <v>0</v>
      </c>
      <c r="J11" s="20" t="n">
        <v>0</v>
      </c>
      <c r="K11" s="18" t="n">
        <v>0.94544772</v>
      </c>
      <c r="L11" s="20" t="n">
        <v>0.45746125</v>
      </c>
      <c r="M11" s="18" t="n">
        <v>0</v>
      </c>
      <c r="N11" s="20" t="n">
        <v>0</v>
      </c>
      <c r="O11" s="18" t="n">
        <v>0</v>
      </c>
      <c r="P11" s="20" t="n">
        <v>0</v>
      </c>
      <c r="Q11" s="18" t="n">
        <v>0.41183613</v>
      </c>
      <c r="R11" s="20" t="n">
        <v>0.29334829</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(6742.0/B28*100)</f>
        <v/>
      </c>
      <c r="D28" s="19" t="n">
        <v>826</v>
      </c>
      <c r="E28" s="18" t="n">
        <v>4.06361538</v>
      </c>
      <c r="F28" s="20" t="n">
        <v>0.84924919</v>
      </c>
      <c r="G28" s="18" t="n">
        <v>95.46813972</v>
      </c>
      <c r="H28" s="20" t="n">
        <v>0.90459173</v>
      </c>
      <c r="I28" s="18" t="n">
        <v>0</v>
      </c>
      <c r="J28" s="20" t="n">
        <v>0</v>
      </c>
      <c r="K28" s="18" t="n">
        <v>0.27736384</v>
      </c>
      <c r="L28" s="20" t="n">
        <v>0.23302069</v>
      </c>
      <c r="M28" s="18" t="n">
        <v>0.19088106</v>
      </c>
      <c r="N28" s="20" t="n">
        <v>0.19093349</v>
      </c>
      <c r="O28" s="18" t="n">
        <v>0</v>
      </c>
      <c r="P28" s="20" t="n">
        <v>0</v>
      </c>
      <c r="Q28" s="18" t="n">
        <v>0</v>
      </c>
      <c r="R28" s="20" t="n">
        <v>0</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(20880.0/B46*100)</f>
        <v/>
      </c>
      <c r="D46" s="19" t="n">
        <v>2261</v>
      </c>
      <c r="E46" s="18" t="n">
        <v>7.88222488</v>
      </c>
      <c r="F46" s="20" t="n">
        <v>0.69963314</v>
      </c>
      <c r="G46" s="18" t="n">
        <v>87.90331736</v>
      </c>
      <c r="H46" s="20" t="n">
        <v>0.90694443</v>
      </c>
      <c r="I46" s="18" t="n">
        <v>0</v>
      </c>
      <c r="J46" s="20" t="n">
        <v>0</v>
      </c>
      <c r="K46" s="18" t="n">
        <v>2.76499449</v>
      </c>
      <c r="L46" s="20" t="n">
        <v>0.44284947</v>
      </c>
      <c r="M46" s="18" t="n">
        <v>0.05967397</v>
      </c>
      <c r="N46" s="20" t="n">
        <v>0.03456777</v>
      </c>
      <c r="O46" s="18" t="n">
        <v>0</v>
      </c>
      <c r="P46" s="20" t="n">
        <v>0</v>
      </c>
      <c r="Q46" s="18" t="n">
        <v>1.38978931</v>
      </c>
      <c r="R46" s="20" t="n">
        <v>0.32346599</v>
      </c>
    </row>
    <row r="47" spans="1:18">
      <c r="A47" s="15" t="s">
        <v>470</v>
      </c>
      <c r="B47" s="17" t="n">
        <v>5928</v>
      </c>
      <c r="C47" s="18">
        <f>(5228.0/B47*100)</f>
        <v/>
      </c>
      <c r="D47" s="19" t="n">
        <v>700</v>
      </c>
      <c r="E47" s="18" t="n">
        <v>14.54714812</v>
      </c>
      <c r="F47" s="20" t="n">
        <v>1.25959677</v>
      </c>
      <c r="G47" s="18" t="n">
        <v>80.65345249000001</v>
      </c>
      <c r="H47" s="20" t="n">
        <v>1.81702664</v>
      </c>
      <c r="I47" s="18" t="n">
        <v>0</v>
      </c>
      <c r="J47" s="20" t="n">
        <v>0</v>
      </c>
      <c r="K47" s="18" t="n">
        <v>3.35063101</v>
      </c>
      <c r="L47" s="20" t="n">
        <v>0.71991088</v>
      </c>
      <c r="M47" s="18" t="n">
        <v>0</v>
      </c>
      <c r="N47" s="20" t="n">
        <v>0</v>
      </c>
      <c r="O47" s="18" t="n">
        <v>0</v>
      </c>
      <c r="P47" s="20" t="n">
        <v>0</v>
      </c>
      <c r="Q47" s="18" t="n">
        <v>1.44876838</v>
      </c>
      <c r="R47" s="20" t="n">
        <v>0.48471131</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(10367.0/B49*100)</f>
        <v/>
      </c>
      <c r="D49" s="19" t="n">
        <v>1428</v>
      </c>
      <c r="E49" s="18" t="n">
        <v>5.51610281</v>
      </c>
      <c r="F49" s="20" t="n">
        <v>0.94915873</v>
      </c>
      <c r="G49" s="18" t="n">
        <v>92.60271299</v>
      </c>
      <c r="H49" s="20" t="n">
        <v>1.0852322</v>
      </c>
      <c r="I49" s="18" t="n">
        <v>0</v>
      </c>
      <c r="J49" s="20" t="n">
        <v>0</v>
      </c>
      <c r="K49" s="18" t="n">
        <v>1.45946479</v>
      </c>
      <c r="L49" s="20" t="n">
        <v>0.37468668</v>
      </c>
      <c r="M49" s="18" t="n">
        <v>0.07934331999999999</v>
      </c>
      <c r="N49" s="20" t="n">
        <v>0.07924244</v>
      </c>
      <c r="O49" s="18" t="n">
        <v>0</v>
      </c>
      <c r="P49" s="20" t="n">
        <v>0</v>
      </c>
      <c r="Q49" s="18" t="n">
        <v>0.34237609</v>
      </c>
      <c r="R49" s="20" t="n">
        <v>0.18920216</v>
      </c>
    </row>
    <row r="50" spans="1:18">
      <c r="A50" s="15" t="s">
        <v>473</v>
      </c>
      <c r="B50" s="17" t="n">
        <v>6866</v>
      </c>
      <c r="C50" s="18">
        <f>(6154.0/B50*100)</f>
        <v/>
      </c>
      <c r="D50" s="19" t="n">
        <v>712</v>
      </c>
      <c r="E50" s="18" t="n">
        <v>2.34005218</v>
      </c>
      <c r="F50" s="20" t="n">
        <v>0.57691458</v>
      </c>
      <c r="G50" s="18" t="n">
        <v>96.98986114</v>
      </c>
      <c r="H50" s="20" t="n">
        <v>0.66301943</v>
      </c>
      <c r="I50" s="18" t="n">
        <v>0</v>
      </c>
      <c r="J50" s="20" t="n">
        <v>0</v>
      </c>
      <c r="K50" s="18" t="n">
        <v>0.67008669</v>
      </c>
      <c r="L50" s="20" t="n">
        <v>0.31810027</v>
      </c>
      <c r="M50" s="18" t="n">
        <v>0</v>
      </c>
      <c r="N50" s="20" t="n">
        <v>0</v>
      </c>
      <c r="O50" s="18" t="n">
        <v>0</v>
      </c>
      <c r="P50" s="20" t="n">
        <v>0</v>
      </c>
      <c r="Q50" s="18" t="n">
        <v>0</v>
      </c>
      <c r="R50" s="20" t="n">
        <v>0</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(4907.0/B52*100)</f>
        <v/>
      </c>
      <c r="D52" s="19" t="n">
        <v>664</v>
      </c>
      <c r="E52" s="18" t="n">
        <v>6.15404764</v>
      </c>
      <c r="F52" s="20" t="n">
        <v>0.9384236500000001</v>
      </c>
      <c r="G52" s="18" t="n">
        <v>90.70304296</v>
      </c>
      <c r="H52" s="20" t="n">
        <v>1.17440266</v>
      </c>
      <c r="I52" s="18" t="n">
        <v>0</v>
      </c>
      <c r="J52" s="20" t="n">
        <v>0</v>
      </c>
      <c r="K52" s="18" t="n">
        <v>2.60586211</v>
      </c>
      <c r="L52" s="20" t="n">
        <v>0.63346391</v>
      </c>
      <c r="M52" s="18" t="n">
        <v>0</v>
      </c>
      <c r="N52" s="20" t="n">
        <v>0</v>
      </c>
      <c r="O52" s="18" t="n">
        <v>0</v>
      </c>
      <c r="P52" s="20" t="n">
        <v>0</v>
      </c>
      <c r="Q52" s="18" t="n">
        <v>0.5370473</v>
      </c>
      <c r="R52" s="20" t="n">
        <v>0.28671266</v>
      </c>
    </row>
    <row r="53" spans="1:18">
      <c r="A53" s="15" t="s">
        <v>476</v>
      </c>
      <c r="B53" s="17" t="n">
        <v>4740</v>
      </c>
      <c r="C53" s="18">
        <f>(3941.0/B53*100)</f>
        <v/>
      </c>
      <c r="D53" s="19" t="n">
        <v>799</v>
      </c>
      <c r="E53" s="18" t="n">
        <v>17.08043795</v>
      </c>
      <c r="F53" s="20" t="n">
        <v>1.41762788</v>
      </c>
      <c r="G53" s="18" t="n">
        <v>70.02886968</v>
      </c>
      <c r="H53" s="20" t="n">
        <v>1.82631078</v>
      </c>
      <c r="I53" s="18" t="n">
        <v>0</v>
      </c>
      <c r="J53" s="20" t="n">
        <v>0</v>
      </c>
      <c r="K53" s="18" t="n">
        <v>11.25752368</v>
      </c>
      <c r="L53" s="20" t="n">
        <v>1.30983842</v>
      </c>
      <c r="M53" s="18" t="n">
        <v>0.78201561</v>
      </c>
      <c r="N53" s="20" t="n">
        <v>0.70442044</v>
      </c>
      <c r="O53" s="18" t="n">
        <v>0</v>
      </c>
      <c r="P53" s="20" t="n">
        <v>0</v>
      </c>
      <c r="Q53" s="18" t="n">
        <v>0.85115308</v>
      </c>
      <c r="R53" s="20" t="n">
        <v>0.32497768</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(6220.0/B68*100)</f>
        <v/>
      </c>
      <c r="D68" s="19" t="n">
        <v>751</v>
      </c>
      <c r="E68" s="18" t="n">
        <v>7.78405457</v>
      </c>
      <c r="F68" s="20" t="n">
        <v>0.93146577</v>
      </c>
      <c r="G68" s="18" t="n">
        <v>90.39775988</v>
      </c>
      <c r="H68" s="20" t="n">
        <v>1.09627236</v>
      </c>
      <c r="I68" s="18" t="n">
        <v>0</v>
      </c>
      <c r="J68" s="20" t="n">
        <v>0</v>
      </c>
      <c r="K68" s="18" t="n">
        <v>1.2271018</v>
      </c>
      <c r="L68" s="20" t="n">
        <v>0.37206281</v>
      </c>
      <c r="M68" s="18" t="n">
        <v>0</v>
      </c>
      <c r="N68" s="20" t="n">
        <v>0</v>
      </c>
      <c r="O68" s="18" t="n">
        <v>0</v>
      </c>
      <c r="P68" s="20" t="n">
        <v>0</v>
      </c>
      <c r="Q68" s="18" t="n">
        <v>0.59108375</v>
      </c>
      <c r="R68" s="20" t="n">
        <v>0.29511151</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(10064.0/B70*100)</f>
        <v/>
      </c>
      <c r="D70" s="19" t="n">
        <v>2019</v>
      </c>
      <c r="E70" s="18" t="n">
        <v>20.66088008</v>
      </c>
      <c r="F70" s="20" t="n">
        <v>0.70913447</v>
      </c>
      <c r="G70" s="18" t="n">
        <v>69.61127353000001</v>
      </c>
      <c r="H70" s="20" t="n">
        <v>0.92170679</v>
      </c>
      <c r="I70" s="18" t="n">
        <v>0</v>
      </c>
      <c r="J70" s="20" t="n">
        <v>0</v>
      </c>
      <c r="K70" s="18" t="n">
        <v>7.25626309</v>
      </c>
      <c r="L70" s="20" t="n">
        <v>0.55263848</v>
      </c>
      <c r="M70" s="18" t="n">
        <v>0</v>
      </c>
      <c r="N70" s="20" t="n">
        <v>0</v>
      </c>
      <c r="O70" s="18" t="n">
        <v>0</v>
      </c>
      <c r="P70" s="20" t="n">
        <v>0</v>
      </c>
      <c r="Q70" s="18" t="n">
        <v>2.47158329</v>
      </c>
      <c r="R70" s="20" t="n">
        <v>0.36740021</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(4790.0/B77*100)</f>
        <v/>
      </c>
      <c r="D77" s="19" t="n">
        <v>585</v>
      </c>
      <c r="E77" s="18" t="n">
        <v>18.43059057</v>
      </c>
      <c r="F77" s="20" t="n">
        <v>1.65393468</v>
      </c>
      <c r="G77" s="18" t="n">
        <v>63.65897152</v>
      </c>
      <c r="H77" s="20" t="n">
        <v>2.12310162</v>
      </c>
      <c r="I77" s="18" t="n">
        <v>0</v>
      </c>
      <c r="J77" s="20" t="n">
        <v>0</v>
      </c>
      <c r="K77" s="18" t="n">
        <v>9.836820530000001</v>
      </c>
      <c r="L77" s="20" t="n">
        <v>1.55372835</v>
      </c>
      <c r="M77" s="18" t="n">
        <v>0.20044691</v>
      </c>
      <c r="N77" s="20" t="n">
        <v>0.19858993</v>
      </c>
      <c r="O77" s="18" t="n">
        <v>0</v>
      </c>
      <c r="P77" s="20" t="n">
        <v>0</v>
      </c>
      <c r="Q77" s="18" t="n">
        <v>7.87317046</v>
      </c>
      <c r="R77" s="20" t="n">
        <v>1.24537859</v>
      </c>
    </row>
    <row r="78" spans="1:18">
      <c r="A78" s="15" t="s">
        <v>502</v>
      </c>
      <c r="B78" s="17" t="n">
        <v>14167</v>
      </c>
      <c r="C78" s="18">
        <f>(12417.0/B78*100)</f>
        <v/>
      </c>
      <c r="D78" s="19" t="n">
        <v>1750</v>
      </c>
      <c r="E78" s="18" t="n">
        <v>15.95342587</v>
      </c>
      <c r="F78" s="20" t="n">
        <v>1.1930581</v>
      </c>
      <c r="G78" s="18" t="n">
        <v>80.00977002</v>
      </c>
      <c r="H78" s="20" t="n">
        <v>1.39260577</v>
      </c>
      <c r="I78" s="18" t="n">
        <v>0</v>
      </c>
      <c r="J78" s="20" t="n">
        <v>0</v>
      </c>
      <c r="K78" s="18" t="n">
        <v>2.58728704</v>
      </c>
      <c r="L78" s="20" t="n">
        <v>0.5456503700000001</v>
      </c>
      <c r="M78" s="18" t="n">
        <v>0.13142017</v>
      </c>
      <c r="N78" s="20" t="n">
        <v>0.08503905</v>
      </c>
      <c r="O78" s="18" t="n">
        <v>0</v>
      </c>
      <c r="P78" s="20" t="n">
        <v>0</v>
      </c>
      <c r="Q78" s="18" t="n">
        <v>1.3180969</v>
      </c>
      <c r="R78" s="20" t="n">
        <v>0.38472504</v>
      </c>
    </row>
    <row r="79" spans="1:18">
      <c r="A79" s="15" t="s">
        <v>503</v>
      </c>
      <c r="B79" s="17" t="n">
        <v>6062</v>
      </c>
      <c r="C79" s="18">
        <f>(5372.0/B79*100)</f>
        <v/>
      </c>
      <c r="D79" s="19" t="n">
        <v>690</v>
      </c>
      <c r="E79" s="18" t="n">
        <v>7.55145591</v>
      </c>
      <c r="F79" s="20" t="n">
        <v>1.09467227</v>
      </c>
      <c r="G79" s="18" t="n">
        <v>87.56589595</v>
      </c>
      <c r="H79" s="20" t="n">
        <v>1.51109877</v>
      </c>
      <c r="I79" s="18" t="n">
        <v>0</v>
      </c>
      <c r="J79" s="20" t="n">
        <v>0</v>
      </c>
      <c r="K79" s="18" t="n">
        <v>2.52018352</v>
      </c>
      <c r="L79" s="20" t="n">
        <v>0.66573972</v>
      </c>
      <c r="M79" s="18" t="n">
        <v>0.13237302</v>
      </c>
      <c r="N79" s="20" t="n">
        <v>0.13634321</v>
      </c>
      <c r="O79" s="18" t="n">
        <v>0</v>
      </c>
      <c r="P79" s="20" t="n">
        <v>0</v>
      </c>
      <c r="Q79" s="18" t="n">
        <v>2.2300916</v>
      </c>
      <c r="R79" s="20" t="n">
        <v>0.58357485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(6198.0/B11*100)</f>
        <v/>
      </c>
      <c r="D11" s="19" t="n">
        <v>855</v>
      </c>
      <c r="E11" s="18" t="n">
        <v>27.00619977</v>
      </c>
      <c r="F11" s="20" t="n">
        <v>1.96083901</v>
      </c>
      <c r="G11" s="18" t="n">
        <v>66.60785497000001</v>
      </c>
      <c r="H11" s="20" t="n">
        <v>2.26434061</v>
      </c>
      <c r="I11" s="18" t="n">
        <v>0</v>
      </c>
      <c r="J11" s="20" t="n">
        <v>0</v>
      </c>
      <c r="K11" s="18" t="n">
        <v>1.39540305</v>
      </c>
      <c r="L11" s="20" t="n">
        <v>0.46046009</v>
      </c>
      <c r="M11" s="18" t="n">
        <v>0</v>
      </c>
      <c r="N11" s="20" t="n">
        <v>0</v>
      </c>
      <c r="O11" s="18" t="n">
        <v>0</v>
      </c>
      <c r="P11" s="20" t="n">
        <v>0</v>
      </c>
      <c r="Q11" s="18" t="n">
        <v>4.99054222</v>
      </c>
      <c r="R11" s="20" t="n">
        <v>1.07569754</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(6743.0/B28*100)</f>
        <v/>
      </c>
      <c r="D28" s="19" t="n">
        <v>825</v>
      </c>
      <c r="E28" s="18" t="n">
        <v>45.4120119</v>
      </c>
      <c r="F28" s="20" t="n">
        <v>2.07945639</v>
      </c>
      <c r="G28" s="18" t="n">
        <v>52.80587874</v>
      </c>
      <c r="H28" s="20" t="n">
        <v>2.15920453</v>
      </c>
      <c r="I28" s="18" t="n">
        <v>0</v>
      </c>
      <c r="J28" s="20" t="n">
        <v>0</v>
      </c>
      <c r="K28" s="18" t="n">
        <v>0.27790369</v>
      </c>
      <c r="L28" s="20" t="n">
        <v>0.23349457</v>
      </c>
      <c r="M28" s="18" t="n">
        <v>0.19125259</v>
      </c>
      <c r="N28" s="20" t="n">
        <v>0.1913032</v>
      </c>
      <c r="O28" s="18" t="n">
        <v>0</v>
      </c>
      <c r="P28" s="20" t="n">
        <v>0</v>
      </c>
      <c r="Q28" s="18" t="n">
        <v>1.31295308</v>
      </c>
      <c r="R28" s="20" t="n">
        <v>0.45490049</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(20878.0/B46*100)</f>
        <v/>
      </c>
      <c r="D46" s="19" t="n">
        <v>2263</v>
      </c>
      <c r="E46" s="18" t="n">
        <v>44.61295327</v>
      </c>
      <c r="F46" s="20" t="n">
        <v>1.46244349</v>
      </c>
      <c r="G46" s="18" t="n">
        <v>42.04981827</v>
      </c>
      <c r="H46" s="20" t="n">
        <v>1.56968862</v>
      </c>
      <c r="I46" s="18" t="n">
        <v>0</v>
      </c>
      <c r="J46" s="20" t="n">
        <v>0</v>
      </c>
      <c r="K46" s="18" t="n">
        <v>4.73877129</v>
      </c>
      <c r="L46" s="20" t="n">
        <v>0.57285523</v>
      </c>
      <c r="M46" s="18" t="n">
        <v>0.0596549</v>
      </c>
      <c r="N46" s="20" t="n">
        <v>0.03455692</v>
      </c>
      <c r="O46" s="18" t="n">
        <v>0</v>
      </c>
      <c r="P46" s="20" t="n">
        <v>0</v>
      </c>
      <c r="Q46" s="18" t="n">
        <v>8.538802280000001</v>
      </c>
      <c r="R46" s="20" t="n">
        <v>0.7941655399999999</v>
      </c>
    </row>
    <row r="47" spans="1:18">
      <c r="A47" s="15" t="s">
        <v>470</v>
      </c>
      <c r="B47" s="17" t="n">
        <v>5928</v>
      </c>
      <c r="C47" s="18">
        <f>(5228.0/B47*100)</f>
        <v/>
      </c>
      <c r="D47" s="19" t="n">
        <v>700</v>
      </c>
      <c r="E47" s="18" t="n">
        <v>24.69316627</v>
      </c>
      <c r="F47" s="20" t="n">
        <v>1.860558</v>
      </c>
      <c r="G47" s="18" t="n">
        <v>66.60024125</v>
      </c>
      <c r="H47" s="20" t="n">
        <v>2.17960795</v>
      </c>
      <c r="I47" s="18" t="n">
        <v>0</v>
      </c>
      <c r="J47" s="20" t="n">
        <v>0</v>
      </c>
      <c r="K47" s="18" t="n">
        <v>4.77179088</v>
      </c>
      <c r="L47" s="20" t="n">
        <v>0.78403849</v>
      </c>
      <c r="M47" s="18" t="n">
        <v>0</v>
      </c>
      <c r="N47" s="20" t="n">
        <v>0</v>
      </c>
      <c r="O47" s="18" t="n">
        <v>0</v>
      </c>
      <c r="P47" s="20" t="n">
        <v>0</v>
      </c>
      <c r="Q47" s="18" t="n">
        <v>3.9348016</v>
      </c>
      <c r="R47" s="20" t="n">
        <v>0.6876247599999999</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(10366.0/B49*100)</f>
        <v/>
      </c>
      <c r="D49" s="19" t="n">
        <v>1429</v>
      </c>
      <c r="E49" s="18" t="n">
        <v>44.4906665</v>
      </c>
      <c r="F49" s="20" t="n">
        <v>2.07834106</v>
      </c>
      <c r="G49" s="18" t="n">
        <v>50.87817083</v>
      </c>
      <c r="H49" s="20" t="n">
        <v>2.01717903</v>
      </c>
      <c r="I49" s="18" t="n">
        <v>0</v>
      </c>
      <c r="J49" s="20" t="n">
        <v>0</v>
      </c>
      <c r="K49" s="18" t="n">
        <v>2.09599895</v>
      </c>
      <c r="L49" s="20" t="n">
        <v>0.43983739</v>
      </c>
      <c r="M49" s="18" t="n">
        <v>0.07923601</v>
      </c>
      <c r="N49" s="20" t="n">
        <v>0.07913531</v>
      </c>
      <c r="O49" s="18" t="n">
        <v>0</v>
      </c>
      <c r="P49" s="20" t="n">
        <v>0</v>
      </c>
      <c r="Q49" s="18" t="n">
        <v>2.45592771</v>
      </c>
      <c r="R49" s="20" t="n">
        <v>0.5411414</v>
      </c>
    </row>
    <row r="50" spans="1:18">
      <c r="A50" s="15" t="s">
        <v>473</v>
      </c>
      <c r="B50" s="17" t="n">
        <v>6866</v>
      </c>
      <c r="C50" s="18">
        <f>(6153.0/B50*100)</f>
        <v/>
      </c>
      <c r="D50" s="19" t="n">
        <v>713</v>
      </c>
      <c r="E50" s="18" t="n">
        <v>51.07532932</v>
      </c>
      <c r="F50" s="20" t="n">
        <v>2.11661249</v>
      </c>
      <c r="G50" s="18" t="n">
        <v>44.49446623</v>
      </c>
      <c r="H50" s="20" t="n">
        <v>2.10653706</v>
      </c>
      <c r="I50" s="18" t="n">
        <v>0</v>
      </c>
      <c r="J50" s="20" t="n">
        <v>0</v>
      </c>
      <c r="K50" s="18" t="n">
        <v>1.0269035</v>
      </c>
      <c r="L50" s="20" t="n">
        <v>0.47729564</v>
      </c>
      <c r="M50" s="18" t="n">
        <v>0</v>
      </c>
      <c r="N50" s="20" t="n">
        <v>0</v>
      </c>
      <c r="O50" s="18" t="n">
        <v>0</v>
      </c>
      <c r="P50" s="20" t="n">
        <v>0</v>
      </c>
      <c r="Q50" s="18" t="n">
        <v>3.40330096</v>
      </c>
      <c r="R50" s="20" t="n">
        <v>0.6965183700000001</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(4907.0/B52*100)</f>
        <v/>
      </c>
      <c r="D52" s="19" t="n">
        <v>664</v>
      </c>
      <c r="E52" s="18" t="n">
        <v>25.10095667</v>
      </c>
      <c r="F52" s="20" t="n">
        <v>1.94840195</v>
      </c>
      <c r="G52" s="18" t="n">
        <v>67.23669346</v>
      </c>
      <c r="H52" s="20" t="n">
        <v>2.04072548</v>
      </c>
      <c r="I52" s="18" t="n">
        <v>0</v>
      </c>
      <c r="J52" s="20" t="n">
        <v>0</v>
      </c>
      <c r="K52" s="18" t="n">
        <v>2.90107526</v>
      </c>
      <c r="L52" s="20" t="n">
        <v>0.66343671</v>
      </c>
      <c r="M52" s="18" t="n">
        <v>0</v>
      </c>
      <c r="N52" s="20" t="n">
        <v>0</v>
      </c>
      <c r="O52" s="18" t="n">
        <v>0</v>
      </c>
      <c r="P52" s="20" t="n">
        <v>0</v>
      </c>
      <c r="Q52" s="18" t="n">
        <v>4.76127461</v>
      </c>
      <c r="R52" s="20" t="n">
        <v>0.8973694</v>
      </c>
    </row>
    <row r="53" spans="1:18">
      <c r="A53" s="15" t="s">
        <v>476</v>
      </c>
      <c r="B53" s="17" t="n">
        <v>4740</v>
      </c>
      <c r="C53" s="18">
        <f>(3940.0/B53*100)</f>
        <v/>
      </c>
      <c r="D53" s="19" t="n">
        <v>800</v>
      </c>
      <c r="E53" s="18" t="n">
        <v>61.27632165</v>
      </c>
      <c r="F53" s="20" t="n">
        <v>2.22503104</v>
      </c>
      <c r="G53" s="18" t="n">
        <v>16.75019595</v>
      </c>
      <c r="H53" s="20" t="n">
        <v>1.61254037</v>
      </c>
      <c r="I53" s="18" t="n">
        <v>0</v>
      </c>
      <c r="J53" s="20" t="n">
        <v>0</v>
      </c>
      <c r="K53" s="18" t="n">
        <v>13.79554494</v>
      </c>
      <c r="L53" s="20" t="n">
        <v>1.33058514</v>
      </c>
      <c r="M53" s="18" t="n">
        <v>0.78119778</v>
      </c>
      <c r="N53" s="20" t="n">
        <v>0.70368054</v>
      </c>
      <c r="O53" s="18" t="n">
        <v>0</v>
      </c>
      <c r="P53" s="20" t="n">
        <v>0</v>
      </c>
      <c r="Q53" s="18" t="n">
        <v>7.39673968</v>
      </c>
      <c r="R53" s="20" t="n">
        <v>0.89641576</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(6220.0/B68*100)</f>
        <v/>
      </c>
      <c r="D68" s="19" t="n">
        <v>751</v>
      </c>
      <c r="E68" s="18" t="n">
        <v>52.5566385</v>
      </c>
      <c r="F68" s="20" t="n">
        <v>1.64640925</v>
      </c>
      <c r="G68" s="18" t="n">
        <v>42.13910458</v>
      </c>
      <c r="H68" s="20" t="n">
        <v>1.58988449</v>
      </c>
      <c r="I68" s="18" t="n">
        <v>0</v>
      </c>
      <c r="J68" s="20" t="n">
        <v>0</v>
      </c>
      <c r="K68" s="18" t="n">
        <v>1.47456014</v>
      </c>
      <c r="L68" s="20" t="n">
        <v>0.41188739</v>
      </c>
      <c r="M68" s="18" t="n">
        <v>0</v>
      </c>
      <c r="N68" s="20" t="n">
        <v>0</v>
      </c>
      <c r="O68" s="18" t="n">
        <v>0</v>
      </c>
      <c r="P68" s="20" t="n">
        <v>0</v>
      </c>
      <c r="Q68" s="18" t="n">
        <v>3.82969678</v>
      </c>
      <c r="R68" s="20" t="n">
        <v>0.6778317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(10065.0/B70*100)</f>
        <v/>
      </c>
      <c r="D70" s="19" t="n">
        <v>2018</v>
      </c>
      <c r="E70" s="18" t="n">
        <v>56.3990943</v>
      </c>
      <c r="F70" s="20" t="n">
        <v>1.08453315</v>
      </c>
      <c r="G70" s="18" t="n">
        <v>28.72803329</v>
      </c>
      <c r="H70" s="20" t="n">
        <v>1.08747495</v>
      </c>
      <c r="I70" s="18" t="n">
        <v>0</v>
      </c>
      <c r="J70" s="20" t="n">
        <v>0</v>
      </c>
      <c r="K70" s="18" t="n">
        <v>9.09850756</v>
      </c>
      <c r="L70" s="20" t="n">
        <v>0.64396404</v>
      </c>
      <c r="M70" s="18" t="n">
        <v>0</v>
      </c>
      <c r="N70" s="20" t="n">
        <v>0</v>
      </c>
      <c r="O70" s="18" t="n">
        <v>0</v>
      </c>
      <c r="P70" s="20" t="n">
        <v>0</v>
      </c>
      <c r="Q70" s="18" t="n">
        <v>5.77436485</v>
      </c>
      <c r="R70" s="20" t="n">
        <v>0.5325328</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(4789.0/B77*100)</f>
        <v/>
      </c>
      <c r="D77" s="19" t="n">
        <v>586</v>
      </c>
      <c r="E77" s="18" t="n">
        <v>39.4539169</v>
      </c>
      <c r="F77" s="20" t="n">
        <v>2.35128392</v>
      </c>
      <c r="G77" s="18" t="n">
        <v>41.67937388</v>
      </c>
      <c r="H77" s="20" t="n">
        <v>2.25452286</v>
      </c>
      <c r="I77" s="18" t="n">
        <v>0</v>
      </c>
      <c r="J77" s="20" t="n">
        <v>0</v>
      </c>
      <c r="K77" s="18" t="n">
        <v>11.58915923</v>
      </c>
      <c r="L77" s="20" t="n">
        <v>1.63858585</v>
      </c>
      <c r="M77" s="18" t="n">
        <v>0.20000241</v>
      </c>
      <c r="N77" s="20" t="n">
        <v>0.19815764</v>
      </c>
      <c r="O77" s="18" t="n">
        <v>0</v>
      </c>
      <c r="P77" s="20" t="n">
        <v>0</v>
      </c>
      <c r="Q77" s="18" t="n">
        <v>7.07754759</v>
      </c>
      <c r="R77" s="20" t="n">
        <v>0.95338946</v>
      </c>
    </row>
    <row r="78" spans="1:18">
      <c r="A78" s="15" t="s">
        <v>502</v>
      </c>
      <c r="B78" s="17" t="n">
        <v>14167</v>
      </c>
      <c r="C78" s="18">
        <f>(12416.0/B78*100)</f>
        <v/>
      </c>
      <c r="D78" s="19" t="n">
        <v>1751</v>
      </c>
      <c r="E78" s="18" t="n">
        <v>61.45953866</v>
      </c>
      <c r="F78" s="20" t="n">
        <v>1.33612692</v>
      </c>
      <c r="G78" s="18" t="n">
        <v>32.544903</v>
      </c>
      <c r="H78" s="20" t="n">
        <v>1.19786416</v>
      </c>
      <c r="I78" s="18" t="n">
        <v>0</v>
      </c>
      <c r="J78" s="20" t="n">
        <v>0</v>
      </c>
      <c r="K78" s="18" t="n">
        <v>3.72083391</v>
      </c>
      <c r="L78" s="20" t="n">
        <v>0.64231333</v>
      </c>
      <c r="M78" s="18" t="n">
        <v>0.1313026</v>
      </c>
      <c r="N78" s="20" t="n">
        <v>0.08496147</v>
      </c>
      <c r="O78" s="18" t="n">
        <v>0</v>
      </c>
      <c r="P78" s="20" t="n">
        <v>0</v>
      </c>
      <c r="Q78" s="18" t="n">
        <v>2.14342183</v>
      </c>
      <c r="R78" s="20" t="n">
        <v>0.3339632</v>
      </c>
    </row>
    <row r="79" spans="1:18">
      <c r="A79" s="15" t="s">
        <v>503</v>
      </c>
      <c r="B79" s="17" t="n">
        <v>6062</v>
      </c>
      <c r="C79" s="18">
        <f>(5372.0/B79*100)</f>
        <v/>
      </c>
      <c r="D79" s="19" t="n">
        <v>690</v>
      </c>
      <c r="E79" s="18" t="n">
        <v>38.14723398</v>
      </c>
      <c r="F79" s="20" t="n">
        <v>2.09655275</v>
      </c>
      <c r="G79" s="18" t="n">
        <v>50.40566384</v>
      </c>
      <c r="H79" s="20" t="n">
        <v>2.23821494</v>
      </c>
      <c r="I79" s="18" t="n">
        <v>0</v>
      </c>
      <c r="J79" s="20" t="n">
        <v>0</v>
      </c>
      <c r="K79" s="18" t="n">
        <v>4.15397077</v>
      </c>
      <c r="L79" s="20" t="n">
        <v>0.7667662</v>
      </c>
      <c r="M79" s="18" t="n">
        <v>0.13237302</v>
      </c>
      <c r="N79" s="20" t="n">
        <v>0.13634321</v>
      </c>
      <c r="O79" s="18" t="n">
        <v>0</v>
      </c>
      <c r="P79" s="20" t="n">
        <v>0</v>
      </c>
      <c r="Q79" s="18" t="n">
        <v>7.16075838</v>
      </c>
      <c r="R79" s="20" t="n">
        <v>0.95698602</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(6199.0/B11*100)</f>
        <v/>
      </c>
      <c r="D11" s="19" t="n">
        <v>854</v>
      </c>
      <c r="E11" s="18" t="n">
        <v>23.79138463</v>
      </c>
      <c r="F11" s="20" t="n">
        <v>1.63151376</v>
      </c>
      <c r="G11" s="18" t="n">
        <v>70.6686464</v>
      </c>
      <c r="H11" s="20" t="n">
        <v>1.90081147</v>
      </c>
      <c r="I11" s="18" t="n">
        <v>0</v>
      </c>
      <c r="J11" s="20" t="n">
        <v>0</v>
      </c>
      <c r="K11" s="18" t="n">
        <v>1.8483771</v>
      </c>
      <c r="L11" s="20" t="n">
        <v>0.52464648</v>
      </c>
      <c r="M11" s="18" t="n">
        <v>0</v>
      </c>
      <c r="N11" s="20" t="n">
        <v>0</v>
      </c>
      <c r="O11" s="18" t="n">
        <v>0</v>
      </c>
      <c r="P11" s="20" t="n">
        <v>0</v>
      </c>
      <c r="Q11" s="18" t="n">
        <v>3.69159187</v>
      </c>
      <c r="R11" s="20" t="n">
        <v>0.70360036</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(6742.0/B28*100)</f>
        <v/>
      </c>
      <c r="D28" s="19" t="n">
        <v>826</v>
      </c>
      <c r="E28" s="18" t="n">
        <v>33.07214102</v>
      </c>
      <c r="F28" s="20" t="n">
        <v>2.06980527</v>
      </c>
      <c r="G28" s="18" t="n">
        <v>65.34045712</v>
      </c>
      <c r="H28" s="20" t="n">
        <v>2.10553832</v>
      </c>
      <c r="I28" s="18" t="n">
        <v>0</v>
      </c>
      <c r="J28" s="20" t="n">
        <v>0</v>
      </c>
      <c r="K28" s="18" t="n">
        <v>0.72562874</v>
      </c>
      <c r="L28" s="20" t="n">
        <v>0.35288757</v>
      </c>
      <c r="M28" s="18" t="n">
        <v>0.19088106</v>
      </c>
      <c r="N28" s="20" t="n">
        <v>0.19093349</v>
      </c>
      <c r="O28" s="18" t="n">
        <v>0</v>
      </c>
      <c r="P28" s="20" t="n">
        <v>0</v>
      </c>
      <c r="Q28" s="18" t="n">
        <v>0.67089205</v>
      </c>
      <c r="R28" s="20" t="n">
        <v>0.24352462</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(20878.0/B46*100)</f>
        <v/>
      </c>
      <c r="D46" s="19" t="n">
        <v>2263</v>
      </c>
      <c r="E46" s="18" t="n">
        <v>32.61407773</v>
      </c>
      <c r="F46" s="20" t="n">
        <v>1.21349856</v>
      </c>
      <c r="G46" s="18" t="n">
        <v>56.09021015</v>
      </c>
      <c r="H46" s="20" t="n">
        <v>1.45566163</v>
      </c>
      <c r="I46" s="18" t="n">
        <v>0</v>
      </c>
      <c r="J46" s="20" t="n">
        <v>0</v>
      </c>
      <c r="K46" s="18" t="n">
        <v>6.22116022</v>
      </c>
      <c r="L46" s="20" t="n">
        <v>0.6014771</v>
      </c>
      <c r="M46" s="18" t="n">
        <v>0.0596549</v>
      </c>
      <c r="N46" s="20" t="n">
        <v>0.03455692</v>
      </c>
      <c r="O46" s="18" t="n">
        <v>0</v>
      </c>
      <c r="P46" s="20" t="n">
        <v>0</v>
      </c>
      <c r="Q46" s="18" t="n">
        <v>5.014897</v>
      </c>
      <c r="R46" s="20" t="n">
        <v>0.67026648</v>
      </c>
    </row>
    <row r="47" spans="1:18">
      <c r="A47" s="15" t="s">
        <v>470</v>
      </c>
      <c r="B47" s="17" t="n">
        <v>5928</v>
      </c>
      <c r="C47" s="18">
        <f>(5228.0/B47*100)</f>
        <v/>
      </c>
      <c r="D47" s="19" t="n">
        <v>700</v>
      </c>
      <c r="E47" s="18" t="n">
        <v>26.92992239</v>
      </c>
      <c r="F47" s="20" t="n">
        <v>1.86495878</v>
      </c>
      <c r="G47" s="18" t="n">
        <v>58.32147283</v>
      </c>
      <c r="H47" s="20" t="n">
        <v>2.40141662</v>
      </c>
      <c r="I47" s="18" t="n">
        <v>0</v>
      </c>
      <c r="J47" s="20" t="n">
        <v>0</v>
      </c>
      <c r="K47" s="18" t="n">
        <v>8.49503855</v>
      </c>
      <c r="L47" s="20" t="n">
        <v>1.21568669</v>
      </c>
      <c r="M47" s="18" t="n">
        <v>0</v>
      </c>
      <c r="N47" s="20" t="n">
        <v>0</v>
      </c>
      <c r="O47" s="18" t="n">
        <v>0</v>
      </c>
      <c r="P47" s="20" t="n">
        <v>0</v>
      </c>
      <c r="Q47" s="18" t="n">
        <v>6.25356623</v>
      </c>
      <c r="R47" s="20" t="n">
        <v>0.88915114</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(10366.0/B49*100)</f>
        <v/>
      </c>
      <c r="D49" s="19" t="n">
        <v>1429</v>
      </c>
      <c r="E49" s="18" t="n">
        <v>18.10818972</v>
      </c>
      <c r="F49" s="20" t="n">
        <v>1.53628121</v>
      </c>
      <c r="G49" s="18" t="n">
        <v>77.38841054</v>
      </c>
      <c r="H49" s="20" t="n">
        <v>1.63330365</v>
      </c>
      <c r="I49" s="18" t="n">
        <v>0</v>
      </c>
      <c r="J49" s="20" t="n">
        <v>0</v>
      </c>
      <c r="K49" s="18" t="n">
        <v>2.44054947</v>
      </c>
      <c r="L49" s="20" t="n">
        <v>0.43673412</v>
      </c>
      <c r="M49" s="18" t="n">
        <v>0.07923601</v>
      </c>
      <c r="N49" s="20" t="n">
        <v>0.07913531</v>
      </c>
      <c r="O49" s="18" t="n">
        <v>0</v>
      </c>
      <c r="P49" s="20" t="n">
        <v>0</v>
      </c>
      <c r="Q49" s="18" t="n">
        <v>1.98361426</v>
      </c>
      <c r="R49" s="20" t="n">
        <v>0.34365678</v>
      </c>
    </row>
    <row r="50" spans="1:18">
      <c r="A50" s="15" t="s">
        <v>473</v>
      </c>
      <c r="B50" s="17" t="n">
        <v>6866</v>
      </c>
      <c r="C50" s="18">
        <f>(6153.0/B50*100)</f>
        <v/>
      </c>
      <c r="D50" s="19" t="n">
        <v>713</v>
      </c>
      <c r="E50" s="18" t="n">
        <v>38.14915024</v>
      </c>
      <c r="F50" s="20" t="n">
        <v>2.1447851</v>
      </c>
      <c r="G50" s="18" t="n">
        <v>57.25874618</v>
      </c>
      <c r="H50" s="20" t="n">
        <v>2.19143301</v>
      </c>
      <c r="I50" s="18" t="n">
        <v>0</v>
      </c>
      <c r="J50" s="20" t="n">
        <v>0</v>
      </c>
      <c r="K50" s="18" t="n">
        <v>1.21978649</v>
      </c>
      <c r="L50" s="20" t="n">
        <v>0.47797006</v>
      </c>
      <c r="M50" s="18" t="n">
        <v>0</v>
      </c>
      <c r="N50" s="20" t="n">
        <v>0</v>
      </c>
      <c r="O50" s="18" t="n">
        <v>0</v>
      </c>
      <c r="P50" s="20" t="n">
        <v>0</v>
      </c>
      <c r="Q50" s="18" t="n">
        <v>3.37231709</v>
      </c>
      <c r="R50" s="20" t="n">
        <v>0.80879133</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(4907.0/B52*100)</f>
        <v/>
      </c>
      <c r="D52" s="19" t="n">
        <v>664</v>
      </c>
      <c r="E52" s="18" t="n">
        <v>26.63906657</v>
      </c>
      <c r="F52" s="20" t="n">
        <v>1.8685011</v>
      </c>
      <c r="G52" s="18" t="n">
        <v>64.13534682</v>
      </c>
      <c r="H52" s="20" t="n">
        <v>1.99677842</v>
      </c>
      <c r="I52" s="18" t="n">
        <v>0</v>
      </c>
      <c r="J52" s="20" t="n">
        <v>0</v>
      </c>
      <c r="K52" s="18" t="n">
        <v>4.16947721</v>
      </c>
      <c r="L52" s="20" t="n">
        <v>0.73032538</v>
      </c>
      <c r="M52" s="18" t="n">
        <v>0</v>
      </c>
      <c r="N52" s="20" t="n">
        <v>0</v>
      </c>
      <c r="O52" s="18" t="n">
        <v>0</v>
      </c>
      <c r="P52" s="20" t="n">
        <v>0</v>
      </c>
      <c r="Q52" s="18" t="n">
        <v>5.0561094</v>
      </c>
      <c r="R52" s="20" t="n">
        <v>0.9017666600000001</v>
      </c>
    </row>
    <row r="53" spans="1:18">
      <c r="A53" s="15" t="s">
        <v>476</v>
      </c>
      <c r="B53" s="17" t="n">
        <v>4740</v>
      </c>
      <c r="C53" s="18">
        <f>(3940.0/B53*100)</f>
        <v/>
      </c>
      <c r="D53" s="19" t="n">
        <v>800</v>
      </c>
      <c r="E53" s="18" t="n">
        <v>36.2077025</v>
      </c>
      <c r="F53" s="20" t="n">
        <v>2.04734454</v>
      </c>
      <c r="G53" s="18" t="n">
        <v>42.21735682</v>
      </c>
      <c r="H53" s="20" t="n">
        <v>2.08182652</v>
      </c>
      <c r="I53" s="18" t="n">
        <v>0</v>
      </c>
      <c r="J53" s="20" t="n">
        <v>0</v>
      </c>
      <c r="K53" s="18" t="n">
        <v>15.70950417</v>
      </c>
      <c r="L53" s="20" t="n">
        <v>1.46037744</v>
      </c>
      <c r="M53" s="18" t="n">
        <v>0.78119778</v>
      </c>
      <c r="N53" s="20" t="n">
        <v>0.70368054</v>
      </c>
      <c r="O53" s="18" t="n">
        <v>0</v>
      </c>
      <c r="P53" s="20" t="n">
        <v>0</v>
      </c>
      <c r="Q53" s="18" t="n">
        <v>5.08423873</v>
      </c>
      <c r="R53" s="20" t="n">
        <v>1.04838754</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(6220.0/B68*100)</f>
        <v/>
      </c>
      <c r="D68" s="19" t="n">
        <v>751</v>
      </c>
      <c r="E68" s="18" t="n">
        <v>56.26945304</v>
      </c>
      <c r="F68" s="20" t="n">
        <v>1.77406134</v>
      </c>
      <c r="G68" s="18" t="n">
        <v>34.99912632</v>
      </c>
      <c r="H68" s="20" t="n">
        <v>1.84423562</v>
      </c>
      <c r="I68" s="18" t="n">
        <v>0</v>
      </c>
      <c r="J68" s="20" t="n">
        <v>0</v>
      </c>
      <c r="K68" s="18" t="n">
        <v>3.14216901</v>
      </c>
      <c r="L68" s="20" t="n">
        <v>0.61059829</v>
      </c>
      <c r="M68" s="18" t="n">
        <v>0</v>
      </c>
      <c r="N68" s="20" t="n">
        <v>0</v>
      </c>
      <c r="O68" s="18" t="n">
        <v>0</v>
      </c>
      <c r="P68" s="20" t="n">
        <v>0</v>
      </c>
      <c r="Q68" s="18" t="n">
        <v>5.58925163</v>
      </c>
      <c r="R68" s="20" t="n">
        <v>1.03953792</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(10064.0/B70*100)</f>
        <v/>
      </c>
      <c r="D70" s="19" t="n">
        <v>2019</v>
      </c>
      <c r="E70" s="18" t="n">
        <v>40.47137426</v>
      </c>
      <c r="F70" s="20" t="n">
        <v>1.09103229</v>
      </c>
      <c r="G70" s="18" t="n">
        <v>45.63275234</v>
      </c>
      <c r="H70" s="20" t="n">
        <v>1.01565816</v>
      </c>
      <c r="I70" s="18" t="n">
        <v>0</v>
      </c>
      <c r="J70" s="20" t="n">
        <v>0</v>
      </c>
      <c r="K70" s="18" t="n">
        <v>10.60736606</v>
      </c>
      <c r="L70" s="20" t="n">
        <v>0.65016766</v>
      </c>
      <c r="M70" s="18" t="n">
        <v>0</v>
      </c>
      <c r="N70" s="20" t="n">
        <v>0</v>
      </c>
      <c r="O70" s="18" t="n">
        <v>0</v>
      </c>
      <c r="P70" s="20" t="n">
        <v>0</v>
      </c>
      <c r="Q70" s="18" t="n">
        <v>3.28850734</v>
      </c>
      <c r="R70" s="20" t="n">
        <v>0.4043866</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(4789.0/B77*100)</f>
        <v/>
      </c>
      <c r="D77" s="19" t="n">
        <v>586</v>
      </c>
      <c r="E77" s="18" t="n">
        <v>53.67762554</v>
      </c>
      <c r="F77" s="20" t="n">
        <v>2.0045987</v>
      </c>
      <c r="G77" s="18" t="n">
        <v>25.83170442</v>
      </c>
      <c r="H77" s="20" t="n">
        <v>1.7961434</v>
      </c>
      <c r="I77" s="18" t="n">
        <v>0</v>
      </c>
      <c r="J77" s="20" t="n">
        <v>0</v>
      </c>
      <c r="K77" s="18" t="n">
        <v>15.79308915</v>
      </c>
      <c r="L77" s="20" t="n">
        <v>1.88941136</v>
      </c>
      <c r="M77" s="18" t="n">
        <v>0.19995198</v>
      </c>
      <c r="N77" s="20" t="n">
        <v>0.1981052</v>
      </c>
      <c r="O77" s="18" t="n">
        <v>0</v>
      </c>
      <c r="P77" s="20" t="n">
        <v>0</v>
      </c>
      <c r="Q77" s="18" t="n">
        <v>4.49762891</v>
      </c>
      <c r="R77" s="20" t="n">
        <v>0.87062797</v>
      </c>
    </row>
    <row r="78" spans="1:18">
      <c r="A78" s="15" t="s">
        <v>502</v>
      </c>
      <c r="B78" s="17" t="n">
        <v>14167</v>
      </c>
      <c r="C78" s="18">
        <f>(12416.0/B78*100)</f>
        <v/>
      </c>
      <c r="D78" s="19" t="n">
        <v>1751</v>
      </c>
      <c r="E78" s="18" t="n">
        <v>39.27745074</v>
      </c>
      <c r="F78" s="20" t="n">
        <v>1.5520202</v>
      </c>
      <c r="G78" s="18" t="n">
        <v>54.77340574</v>
      </c>
      <c r="H78" s="20" t="n">
        <v>1.49126406</v>
      </c>
      <c r="I78" s="18" t="n">
        <v>0</v>
      </c>
      <c r="J78" s="20" t="n">
        <v>0</v>
      </c>
      <c r="K78" s="18" t="n">
        <v>4.18934073</v>
      </c>
      <c r="L78" s="20" t="n">
        <v>0.6493851</v>
      </c>
      <c r="M78" s="18" t="n">
        <v>0.1313026</v>
      </c>
      <c r="N78" s="20" t="n">
        <v>0.08496147</v>
      </c>
      <c r="O78" s="18" t="n">
        <v>0</v>
      </c>
      <c r="P78" s="20" t="n">
        <v>0</v>
      </c>
      <c r="Q78" s="18" t="n">
        <v>1.6285002</v>
      </c>
      <c r="R78" s="20" t="n">
        <v>0.41302325</v>
      </c>
    </row>
    <row r="79" spans="1:18">
      <c r="A79" s="15" t="s">
        <v>503</v>
      </c>
      <c r="B79" s="17" t="n">
        <v>6062</v>
      </c>
      <c r="C79" s="18">
        <f>(5372.0/B79*100)</f>
        <v/>
      </c>
      <c r="D79" s="19" t="n">
        <v>690</v>
      </c>
      <c r="E79" s="18" t="n">
        <v>25.51172368</v>
      </c>
      <c r="F79" s="20" t="n">
        <v>1.76795982</v>
      </c>
      <c r="G79" s="18" t="n">
        <v>57.20867604</v>
      </c>
      <c r="H79" s="20" t="n">
        <v>2.09658537</v>
      </c>
      <c r="I79" s="18" t="n">
        <v>0</v>
      </c>
      <c r="J79" s="20" t="n">
        <v>0</v>
      </c>
      <c r="K79" s="18" t="n">
        <v>5.13907744</v>
      </c>
      <c r="L79" s="20" t="n">
        <v>0.85895289</v>
      </c>
      <c r="M79" s="18" t="n">
        <v>0.13237302</v>
      </c>
      <c r="N79" s="20" t="n">
        <v>0.13634321</v>
      </c>
      <c r="O79" s="18" t="n">
        <v>0</v>
      </c>
      <c r="P79" s="20" t="n">
        <v>0</v>
      </c>
      <c r="Q79" s="18" t="n">
        <v>12.00814981</v>
      </c>
      <c r="R79" s="20" t="n">
        <v>1.39883715</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(6198.0/B11*100)</f>
        <v/>
      </c>
      <c r="D11" s="19" t="n">
        <v>855</v>
      </c>
      <c r="E11" s="18" t="n">
        <v>60.58479108</v>
      </c>
      <c r="F11" s="20" t="n">
        <v>2.03507084</v>
      </c>
      <c r="G11" s="18" t="n">
        <v>36.01722901</v>
      </c>
      <c r="H11" s="20" t="n">
        <v>1.92029608</v>
      </c>
      <c r="I11" s="18" t="n">
        <v>0</v>
      </c>
      <c r="J11" s="20" t="n">
        <v>0</v>
      </c>
      <c r="K11" s="18" t="n">
        <v>3.39797991</v>
      </c>
      <c r="L11" s="20" t="n">
        <v>0.69402793</v>
      </c>
      <c r="M11" s="18" t="n">
        <v>0</v>
      </c>
      <c r="N11" s="20" t="n">
        <v>0</v>
      </c>
      <c r="O11" s="18" t="n">
        <v>0</v>
      </c>
      <c r="P11" s="20" t="n">
        <v>0</v>
      </c>
      <c r="Q11" s="18" t="n">
        <v>0</v>
      </c>
      <c r="R11" s="20" t="n">
        <v>0</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(6742.0/B28*100)</f>
        <v/>
      </c>
      <c r="D28" s="19" t="n">
        <v>826</v>
      </c>
      <c r="E28" s="18" t="n">
        <v>67.91718892999999</v>
      </c>
      <c r="F28" s="20" t="n">
        <v>1.74425412</v>
      </c>
      <c r="G28" s="18" t="n">
        <v>30.44981039</v>
      </c>
      <c r="H28" s="20" t="n">
        <v>1.77240004</v>
      </c>
      <c r="I28" s="18" t="n">
        <v>0</v>
      </c>
      <c r="J28" s="20" t="n">
        <v>0</v>
      </c>
      <c r="K28" s="18" t="n">
        <v>1.44211961</v>
      </c>
      <c r="L28" s="20" t="n">
        <v>0.53648307</v>
      </c>
      <c r="M28" s="18" t="n">
        <v>0.19088106</v>
      </c>
      <c r="N28" s="20" t="n">
        <v>0.19093349</v>
      </c>
      <c r="O28" s="18" t="n">
        <v>0</v>
      </c>
      <c r="P28" s="20" t="n">
        <v>0</v>
      </c>
      <c r="Q28" s="18" t="n">
        <v>0</v>
      </c>
      <c r="R28" s="20" t="n">
        <v>0</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(20878.0/B46*100)</f>
        <v/>
      </c>
      <c r="D46" s="19" t="n">
        <v>2263</v>
      </c>
      <c r="E46" s="18" t="n">
        <v>52.21212226</v>
      </c>
      <c r="F46" s="20" t="n">
        <v>1.31955632</v>
      </c>
      <c r="G46" s="18" t="n">
        <v>38.67363623</v>
      </c>
      <c r="H46" s="20" t="n">
        <v>1.27340414</v>
      </c>
      <c r="I46" s="18" t="n">
        <v>0</v>
      </c>
      <c r="J46" s="20" t="n">
        <v>0</v>
      </c>
      <c r="K46" s="18" t="n">
        <v>9.054586609999999</v>
      </c>
      <c r="L46" s="20" t="n">
        <v>0.84301384</v>
      </c>
      <c r="M46" s="18" t="n">
        <v>0.0596549</v>
      </c>
      <c r="N46" s="20" t="n">
        <v>0.03455692</v>
      </c>
      <c r="O46" s="18" t="n">
        <v>0</v>
      </c>
      <c r="P46" s="20" t="n">
        <v>0</v>
      </c>
      <c r="Q46" s="18" t="n">
        <v>0</v>
      </c>
      <c r="R46" s="20" t="n">
        <v>0</v>
      </c>
    </row>
    <row r="47" spans="1:18">
      <c r="A47" s="15" t="s">
        <v>470</v>
      </c>
      <c r="B47" s="17" t="n">
        <v>5928</v>
      </c>
      <c r="C47" s="18">
        <f>(5228.0/B47*100)</f>
        <v/>
      </c>
      <c r="D47" s="19" t="n">
        <v>700</v>
      </c>
      <c r="E47" s="18" t="n">
        <v>42.7688397</v>
      </c>
      <c r="F47" s="20" t="n">
        <v>2.2611726</v>
      </c>
      <c r="G47" s="18" t="n">
        <v>45.63297505</v>
      </c>
      <c r="H47" s="20" t="n">
        <v>2.35859464</v>
      </c>
      <c r="I47" s="18" t="n">
        <v>0</v>
      </c>
      <c r="J47" s="20" t="n">
        <v>0</v>
      </c>
      <c r="K47" s="18" t="n">
        <v>11.59818525</v>
      </c>
      <c r="L47" s="20" t="n">
        <v>1.30693715</v>
      </c>
      <c r="M47" s="18" t="n">
        <v>0</v>
      </c>
      <c r="N47" s="20" t="n">
        <v>0</v>
      </c>
      <c r="O47" s="18" t="n">
        <v>0</v>
      </c>
      <c r="P47" s="20" t="n">
        <v>0</v>
      </c>
      <c r="Q47" s="18" t="n">
        <v>0</v>
      </c>
      <c r="R47" s="20" t="n">
        <v>0</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(10366.0/B49*100)</f>
        <v/>
      </c>
      <c r="D49" s="19" t="n">
        <v>1429</v>
      </c>
      <c r="E49" s="18" t="n">
        <v>55.41533623</v>
      </c>
      <c r="F49" s="20" t="n">
        <v>1.83787057</v>
      </c>
      <c r="G49" s="18" t="n">
        <v>41.34484291</v>
      </c>
      <c r="H49" s="20" t="n">
        <v>1.75468902</v>
      </c>
      <c r="I49" s="18" t="n">
        <v>0</v>
      </c>
      <c r="J49" s="20" t="n">
        <v>0</v>
      </c>
      <c r="K49" s="18" t="n">
        <v>3.16058485</v>
      </c>
      <c r="L49" s="20" t="n">
        <v>0.57659221</v>
      </c>
      <c r="M49" s="18" t="n">
        <v>0.07923601</v>
      </c>
      <c r="N49" s="20" t="n">
        <v>0.07913531</v>
      </c>
      <c r="O49" s="18" t="n">
        <v>0</v>
      </c>
      <c r="P49" s="20" t="n">
        <v>0</v>
      </c>
      <c r="Q49" s="18" t="n">
        <v>0</v>
      </c>
      <c r="R49" s="20" t="n">
        <v>0</v>
      </c>
    </row>
    <row r="50" spans="1:18">
      <c r="A50" s="15" t="s">
        <v>473</v>
      </c>
      <c r="B50" s="17" t="n">
        <v>6866</v>
      </c>
      <c r="C50" s="18">
        <f>(6153.0/B50*100)</f>
        <v/>
      </c>
      <c r="D50" s="19" t="n">
        <v>713</v>
      </c>
      <c r="E50" s="18" t="n">
        <v>59.70701219</v>
      </c>
      <c r="F50" s="20" t="n">
        <v>1.89859244</v>
      </c>
      <c r="G50" s="18" t="n">
        <v>38.93821725</v>
      </c>
      <c r="H50" s="20" t="n">
        <v>1.90236513</v>
      </c>
      <c r="I50" s="18" t="n">
        <v>0</v>
      </c>
      <c r="J50" s="20" t="n">
        <v>0</v>
      </c>
      <c r="K50" s="18" t="n">
        <v>1.35477056</v>
      </c>
      <c r="L50" s="20" t="n">
        <v>0.45308398</v>
      </c>
      <c r="M50" s="18" t="n">
        <v>0</v>
      </c>
      <c r="N50" s="20" t="n">
        <v>0</v>
      </c>
      <c r="O50" s="18" t="n">
        <v>0</v>
      </c>
      <c r="P50" s="20" t="n">
        <v>0</v>
      </c>
      <c r="Q50" s="18" t="n">
        <v>0</v>
      </c>
      <c r="R50" s="20" t="n">
        <v>0</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(4907.0/B52*100)</f>
        <v/>
      </c>
      <c r="D52" s="19" t="n">
        <v>664</v>
      </c>
      <c r="E52" s="18" t="n">
        <v>32.44393826</v>
      </c>
      <c r="F52" s="20" t="n">
        <v>2.06984134</v>
      </c>
      <c r="G52" s="18" t="n">
        <v>61.68035755</v>
      </c>
      <c r="H52" s="20" t="n">
        <v>2.15433016</v>
      </c>
      <c r="I52" s="18" t="n">
        <v>0</v>
      </c>
      <c r="J52" s="20" t="n">
        <v>0</v>
      </c>
      <c r="K52" s="18" t="n">
        <v>5.87570419</v>
      </c>
      <c r="L52" s="20" t="n">
        <v>0.87197512</v>
      </c>
      <c r="M52" s="18" t="n">
        <v>0</v>
      </c>
      <c r="N52" s="20" t="n">
        <v>0</v>
      </c>
      <c r="O52" s="18" t="n">
        <v>0</v>
      </c>
      <c r="P52" s="20" t="n">
        <v>0</v>
      </c>
      <c r="Q52" s="18" t="n">
        <v>0</v>
      </c>
      <c r="R52" s="20" t="n">
        <v>0</v>
      </c>
    </row>
    <row r="53" spans="1:18">
      <c r="A53" s="15" t="s">
        <v>476</v>
      </c>
      <c r="B53" s="17" t="n">
        <v>4740</v>
      </c>
      <c r="C53" s="18">
        <f>(3940.0/B53*100)</f>
        <v/>
      </c>
      <c r="D53" s="19" t="n">
        <v>800</v>
      </c>
      <c r="E53" s="18" t="n">
        <v>49.68407288</v>
      </c>
      <c r="F53" s="20" t="n">
        <v>1.97785283</v>
      </c>
      <c r="G53" s="18" t="n">
        <v>28.05003219</v>
      </c>
      <c r="H53" s="20" t="n">
        <v>1.73285991</v>
      </c>
      <c r="I53" s="18" t="n">
        <v>0</v>
      </c>
      <c r="J53" s="20" t="n">
        <v>0</v>
      </c>
      <c r="K53" s="18" t="n">
        <v>21.48469715</v>
      </c>
      <c r="L53" s="20" t="n">
        <v>1.5259253</v>
      </c>
      <c r="M53" s="18" t="n">
        <v>0.78119778</v>
      </c>
      <c r="N53" s="20" t="n">
        <v>0.70368054</v>
      </c>
      <c r="O53" s="18" t="n">
        <v>0</v>
      </c>
      <c r="P53" s="20" t="n">
        <v>0</v>
      </c>
      <c r="Q53" s="18" t="n">
        <v>0</v>
      </c>
      <c r="R53" s="20" t="n">
        <v>0</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(6220.0/B68*100)</f>
        <v/>
      </c>
      <c r="D68" s="19" t="n">
        <v>751</v>
      </c>
      <c r="E68" s="18" t="n">
        <v>67.34887888999999</v>
      </c>
      <c r="F68" s="20" t="n">
        <v>1.87162758</v>
      </c>
      <c r="G68" s="18" t="n">
        <v>27.57043963</v>
      </c>
      <c r="H68" s="20" t="n">
        <v>1.95908673</v>
      </c>
      <c r="I68" s="18" t="n">
        <v>0</v>
      </c>
      <c r="J68" s="20" t="n">
        <v>0</v>
      </c>
      <c r="K68" s="18" t="n">
        <v>5.08068149</v>
      </c>
      <c r="L68" s="20" t="n">
        <v>0.8522874</v>
      </c>
      <c r="M68" s="18" t="n">
        <v>0</v>
      </c>
      <c r="N68" s="20" t="n">
        <v>0</v>
      </c>
      <c r="O68" s="18" t="n">
        <v>0</v>
      </c>
      <c r="P68" s="20" t="n">
        <v>0</v>
      </c>
      <c r="Q68" s="18" t="n">
        <v>0</v>
      </c>
      <c r="R68" s="20" t="n">
        <v>0</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(10064.0/B70*100)</f>
        <v/>
      </c>
      <c r="D70" s="19" t="n">
        <v>2019</v>
      </c>
      <c r="E70" s="18" t="n">
        <v>54.44314635</v>
      </c>
      <c r="F70" s="20" t="n">
        <v>1.1722002</v>
      </c>
      <c r="G70" s="18" t="n">
        <v>33.29708018</v>
      </c>
      <c r="H70" s="20" t="n">
        <v>1.16101849</v>
      </c>
      <c r="I70" s="18" t="n">
        <v>0</v>
      </c>
      <c r="J70" s="20" t="n">
        <v>0</v>
      </c>
      <c r="K70" s="18" t="n">
        <v>12.25977348</v>
      </c>
      <c r="L70" s="20" t="n">
        <v>0.71125173</v>
      </c>
      <c r="M70" s="18" t="n">
        <v>0</v>
      </c>
      <c r="N70" s="20" t="n">
        <v>0</v>
      </c>
      <c r="O70" s="18" t="n">
        <v>0</v>
      </c>
      <c r="P70" s="20" t="n">
        <v>0</v>
      </c>
      <c r="Q70" s="18" t="n">
        <v>0</v>
      </c>
      <c r="R70" s="20" t="n">
        <v>0</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(4788.0/B77*100)</f>
        <v/>
      </c>
      <c r="D77" s="19" t="n">
        <v>587</v>
      </c>
      <c r="E77" s="18" t="n">
        <v>35.16271055</v>
      </c>
      <c r="F77" s="20" t="n">
        <v>2.0635274</v>
      </c>
      <c r="G77" s="18" t="n">
        <v>44.05659166</v>
      </c>
      <c r="H77" s="20" t="n">
        <v>1.9030624</v>
      </c>
      <c r="I77" s="18" t="n">
        <v>0</v>
      </c>
      <c r="J77" s="20" t="n">
        <v>0</v>
      </c>
      <c r="K77" s="18" t="n">
        <v>20.58112599</v>
      </c>
      <c r="L77" s="20" t="n">
        <v>1.99394154</v>
      </c>
      <c r="M77" s="18" t="n">
        <v>0.1995718</v>
      </c>
      <c r="N77" s="20" t="n">
        <v>0.19773418</v>
      </c>
      <c r="O77" s="18" t="n">
        <v>0</v>
      </c>
      <c r="P77" s="20" t="n">
        <v>0</v>
      </c>
      <c r="Q77" s="18" t="n">
        <v>0</v>
      </c>
      <c r="R77" s="20" t="n">
        <v>0</v>
      </c>
    </row>
    <row r="78" spans="1:18">
      <c r="A78" s="15" t="s">
        <v>502</v>
      </c>
      <c r="B78" s="17" t="n">
        <v>14167</v>
      </c>
      <c r="C78" s="18">
        <f>(12416.0/B78*100)</f>
        <v/>
      </c>
      <c r="D78" s="19" t="n">
        <v>1751</v>
      </c>
      <c r="E78" s="18" t="n">
        <v>45.11695873</v>
      </c>
      <c r="F78" s="20" t="n">
        <v>1.6257072</v>
      </c>
      <c r="G78" s="18" t="n">
        <v>49.59045614</v>
      </c>
      <c r="H78" s="20" t="n">
        <v>1.69276595</v>
      </c>
      <c r="I78" s="18" t="n">
        <v>0</v>
      </c>
      <c r="J78" s="20" t="n">
        <v>0</v>
      </c>
      <c r="K78" s="18" t="n">
        <v>5.16128253</v>
      </c>
      <c r="L78" s="20" t="n">
        <v>0.7258864</v>
      </c>
      <c r="M78" s="18" t="n">
        <v>0.1313026</v>
      </c>
      <c r="N78" s="20" t="n">
        <v>0.08496147</v>
      </c>
      <c r="O78" s="18" t="n">
        <v>0</v>
      </c>
      <c r="P78" s="20" t="n">
        <v>0</v>
      </c>
      <c r="Q78" s="18" t="n">
        <v>0</v>
      </c>
      <c r="R78" s="20" t="n">
        <v>0</v>
      </c>
    </row>
    <row r="79" spans="1:18">
      <c r="A79" s="15" t="s">
        <v>503</v>
      </c>
      <c r="B79" s="17" t="n">
        <v>6062</v>
      </c>
      <c r="C79" s="18">
        <f>(5372.0/B79*100)</f>
        <v/>
      </c>
      <c r="D79" s="19" t="n">
        <v>690</v>
      </c>
      <c r="E79" s="18" t="n">
        <v>48.89010364</v>
      </c>
      <c r="F79" s="20" t="n">
        <v>2.02760603</v>
      </c>
      <c r="G79" s="18" t="n">
        <v>44.72356668</v>
      </c>
      <c r="H79" s="20" t="n">
        <v>2.06709358</v>
      </c>
      <c r="I79" s="18" t="n">
        <v>0</v>
      </c>
      <c r="J79" s="20" t="n">
        <v>0</v>
      </c>
      <c r="K79" s="18" t="n">
        <v>6.25395666</v>
      </c>
      <c r="L79" s="20" t="n">
        <v>0.93585052</v>
      </c>
      <c r="M79" s="18" t="n">
        <v>0.13237302</v>
      </c>
      <c r="N79" s="20" t="n">
        <v>0.13634321</v>
      </c>
      <c r="O79" s="18" t="n">
        <v>0</v>
      </c>
      <c r="P79" s="20" t="n">
        <v>0</v>
      </c>
      <c r="Q79" s="18" t="n">
        <v>0</v>
      </c>
      <c r="R79" s="20" t="n">
        <v>0</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30.28699928</v>
      </c>
      <c r="F44" s="20" t="n">
        <v>2.01902223</v>
      </c>
      <c r="G44" s="18" t="n">
        <v>23.49497063</v>
      </c>
      <c r="H44" s="20" t="n">
        <v>1.75103038</v>
      </c>
      <c r="I44" s="18" t="n">
        <v>0</v>
      </c>
      <c r="J44" s="20" t="n">
        <v>0</v>
      </c>
      <c r="K44" s="18" t="n">
        <v>2.38759777</v>
      </c>
      <c r="L44" s="20" t="n">
        <v>0.5684534999999999</v>
      </c>
      <c r="M44" s="18" t="n">
        <v>0</v>
      </c>
      <c r="N44" s="20" t="n">
        <v>0</v>
      </c>
      <c r="O44" s="18" t="n">
        <v>0</v>
      </c>
      <c r="P44" s="20" t="n">
        <v>0</v>
      </c>
      <c r="Q44" s="18" t="n">
        <v>43.83043232</v>
      </c>
      <c r="R44" s="20" t="n">
        <v>1.98043071</v>
      </c>
    </row>
    <row r="45" spans="1:18">
      <c r="A45" s="15" t="s">
        <v>468</v>
      </c>
      <c r="B45" s="17" t="n">
        <v>5519</v>
      </c>
      <c r="C45" s="18">
        <f>(4590.0/B45*100)</f>
        <v/>
      </c>
      <c r="D45" s="19" t="n">
        <v>929</v>
      </c>
      <c r="E45" s="18" t="n">
        <v>19.25595046</v>
      </c>
      <c r="F45" s="20" t="n">
        <v>1.52436281</v>
      </c>
      <c r="G45" s="18" t="n">
        <v>8.15776219</v>
      </c>
      <c r="H45" s="20" t="n">
        <v>1.06843738</v>
      </c>
      <c r="I45" s="18" t="n">
        <v>0</v>
      </c>
      <c r="J45" s="20" t="n">
        <v>0</v>
      </c>
      <c r="K45" s="18" t="n">
        <v>5.0425494</v>
      </c>
      <c r="L45" s="20" t="n">
        <v>0.93743338</v>
      </c>
      <c r="M45" s="18" t="n">
        <v>0.54363325</v>
      </c>
      <c r="N45" s="20" t="n">
        <v>0.24282095</v>
      </c>
      <c r="O45" s="18" t="n">
        <v>0</v>
      </c>
      <c r="P45" s="20" t="n">
        <v>0</v>
      </c>
      <c r="Q45" s="18" t="n">
        <v>67.00010469</v>
      </c>
      <c r="R45" s="20" t="n">
        <v>1.78636594</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37.44070935</v>
      </c>
      <c r="F54" s="20" t="n">
        <v>1.70512525</v>
      </c>
      <c r="G54" s="18" t="n">
        <v>12.69612213</v>
      </c>
      <c r="H54" s="20" t="n">
        <v>1.17179393</v>
      </c>
      <c r="I54" s="18" t="n">
        <v>0</v>
      </c>
      <c r="J54" s="20" t="n">
        <v>0</v>
      </c>
      <c r="K54" s="18" t="n">
        <v>1.21353033</v>
      </c>
      <c r="L54" s="20" t="n">
        <v>0.36400745</v>
      </c>
      <c r="M54" s="18" t="n">
        <v>0</v>
      </c>
      <c r="N54" s="20" t="n">
        <v>0</v>
      </c>
      <c r="O54" s="18" t="n">
        <v>0</v>
      </c>
      <c r="P54" s="20" t="n">
        <v>0</v>
      </c>
      <c r="Q54" s="18" t="n">
        <v>48.6496382</v>
      </c>
      <c r="R54" s="20" t="n">
        <v>1.67633753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21.10839939</v>
      </c>
      <c r="F56" s="20" t="n">
        <v>1.51453024</v>
      </c>
      <c r="G56" s="18" t="n">
        <v>17.39098975</v>
      </c>
      <c r="H56" s="20" t="n">
        <v>1.40215957</v>
      </c>
      <c r="I56" s="18" t="n">
        <v>0</v>
      </c>
      <c r="J56" s="20" t="n">
        <v>0</v>
      </c>
      <c r="K56" s="18" t="n">
        <v>1.48640239</v>
      </c>
      <c r="L56" s="20" t="n">
        <v>0.45736232</v>
      </c>
      <c r="M56" s="18" t="n">
        <v>0.07955959999999999</v>
      </c>
      <c r="N56" s="20" t="n">
        <v>0.08232222</v>
      </c>
      <c r="O56" s="18" t="n">
        <v>0</v>
      </c>
      <c r="P56" s="20" t="n">
        <v>0</v>
      </c>
      <c r="Q56" s="18" t="n">
        <v>59.93464887</v>
      </c>
      <c r="R56" s="20" t="n">
        <v>1.94714503</v>
      </c>
    </row>
    <row r="57" spans="1:18">
      <c r="A57" s="15" t="s">
        <v>480</v>
      </c>
      <c r="B57" s="17" t="n">
        <v>7267</v>
      </c>
      <c r="C57" s="18">
        <f>(6058.0/B57*100)</f>
        <v/>
      </c>
      <c r="D57" s="19" t="n">
        <v>1209</v>
      </c>
      <c r="E57" s="18" t="n">
        <v>34.13135029</v>
      </c>
      <c r="F57" s="20" t="n">
        <v>1.72389103</v>
      </c>
      <c r="G57" s="18" t="n">
        <v>26.53651785</v>
      </c>
      <c r="H57" s="20" t="n">
        <v>1.42143882</v>
      </c>
      <c r="I57" s="18" t="n">
        <v>0</v>
      </c>
      <c r="J57" s="20" t="n">
        <v>0</v>
      </c>
      <c r="K57" s="18" t="n">
        <v>1.53663066</v>
      </c>
      <c r="L57" s="20" t="n">
        <v>0.42864978</v>
      </c>
      <c r="M57" s="18" t="n">
        <v>0</v>
      </c>
      <c r="N57" s="20" t="n">
        <v>0</v>
      </c>
      <c r="O57" s="18" t="n">
        <v>0.01545767</v>
      </c>
      <c r="P57" s="20" t="n">
        <v>0.01542787</v>
      </c>
      <c r="Q57" s="18" t="n">
        <v>37.78004354</v>
      </c>
      <c r="R57" s="20" t="n">
        <v>1.79940982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35.45509399</v>
      </c>
      <c r="F59" s="20" t="n">
        <v>2.06112718</v>
      </c>
      <c r="G59" s="18" t="n">
        <v>16.0426802</v>
      </c>
      <c r="H59" s="20" t="n">
        <v>1.43862323</v>
      </c>
      <c r="I59" s="18" t="n">
        <v>0</v>
      </c>
      <c r="J59" s="20" t="n">
        <v>0</v>
      </c>
      <c r="K59" s="18" t="n">
        <v>0.8939218799999999</v>
      </c>
      <c r="L59" s="20" t="n">
        <v>0.4102019</v>
      </c>
      <c r="M59" s="18" t="n">
        <v>0</v>
      </c>
      <c r="N59" s="20" t="n">
        <v>0</v>
      </c>
      <c r="O59" s="18" t="n">
        <v>0</v>
      </c>
      <c r="P59" s="20" t="n">
        <v>0</v>
      </c>
      <c r="Q59" s="18" t="n">
        <v>47.60830393</v>
      </c>
      <c r="R59" s="20" t="n">
        <v>2.13488928</v>
      </c>
    </row>
    <row r="60" spans="1:18">
      <c r="A60" s="15" t="s">
        <v>484</v>
      </c>
      <c r="B60" s="17" t="n">
        <v>4546</v>
      </c>
      <c r="C60" s="18">
        <f>(3786.0/B60*100)</f>
        <v/>
      </c>
      <c r="D60" s="19" t="n">
        <v>760</v>
      </c>
      <c r="E60" s="18" t="n">
        <v>18.48772127</v>
      </c>
      <c r="F60" s="20" t="n">
        <v>1.48935161</v>
      </c>
      <c r="G60" s="18" t="n">
        <v>13.95108862</v>
      </c>
      <c r="H60" s="20" t="n">
        <v>1.4848726</v>
      </c>
      <c r="I60" s="18" t="n">
        <v>0</v>
      </c>
      <c r="J60" s="20" t="n">
        <v>0</v>
      </c>
      <c r="K60" s="18" t="n">
        <v>6.15341123</v>
      </c>
      <c r="L60" s="20" t="n">
        <v>1.02878764</v>
      </c>
      <c r="M60" s="18" t="n">
        <v>0</v>
      </c>
      <c r="N60" s="20" t="n">
        <v>0</v>
      </c>
      <c r="O60" s="18" t="n">
        <v>0</v>
      </c>
      <c r="P60" s="20" t="n">
        <v>0</v>
      </c>
      <c r="Q60" s="18" t="n">
        <v>61.40777888</v>
      </c>
      <c r="R60" s="20" t="n">
        <v>2.03348904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26.57792228</v>
      </c>
      <c r="F63" s="20" t="n">
        <v>1.90742711</v>
      </c>
      <c r="G63" s="18" t="n">
        <v>13.00200638</v>
      </c>
      <c r="H63" s="20" t="n">
        <v>1.22538384</v>
      </c>
      <c r="I63" s="18" t="n">
        <v>0</v>
      </c>
      <c r="J63" s="20" t="n">
        <v>0</v>
      </c>
      <c r="K63" s="18" t="n">
        <v>3.1074384</v>
      </c>
      <c r="L63" s="20" t="n">
        <v>0.60808887</v>
      </c>
      <c r="M63" s="18" t="n">
        <v>0</v>
      </c>
      <c r="N63" s="20" t="n">
        <v>0</v>
      </c>
      <c r="O63" s="18" t="n">
        <v>0</v>
      </c>
      <c r="P63" s="20" t="n">
        <v>0</v>
      </c>
      <c r="Q63" s="18" t="n">
        <v>57.31263294</v>
      </c>
      <c r="R63" s="20" t="n">
        <v>1.95184654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23.37419334</v>
      </c>
      <c r="F65" s="20" t="n">
        <v>1.73913903</v>
      </c>
      <c r="G65" s="18" t="n">
        <v>55.53233986</v>
      </c>
      <c r="H65" s="20" t="n">
        <v>1.92620161</v>
      </c>
      <c r="I65" s="18" t="n">
        <v>0</v>
      </c>
      <c r="J65" s="20" t="n">
        <v>0</v>
      </c>
      <c r="K65" s="18" t="n">
        <v>1.53420684</v>
      </c>
      <c r="L65" s="20" t="n">
        <v>0.5150722599999999</v>
      </c>
      <c r="M65" s="18" t="n">
        <v>0</v>
      </c>
      <c r="N65" s="20" t="n">
        <v>0</v>
      </c>
      <c r="O65" s="18" t="n">
        <v>0</v>
      </c>
      <c r="P65" s="20" t="n">
        <v>0</v>
      </c>
      <c r="Q65" s="18" t="n">
        <v>19.55925997</v>
      </c>
      <c r="R65" s="20" t="n">
        <v>1.61981602</v>
      </c>
    </row>
    <row r="66" spans="1:18">
      <c r="A66" s="15" t="s">
        <v>490</v>
      </c>
      <c r="B66" s="17" t="n">
        <v>5325</v>
      </c>
      <c r="C66" s="18">
        <f>(4438.0/B66*100)</f>
        <v/>
      </c>
      <c r="D66" s="19" t="n">
        <v>887</v>
      </c>
      <c r="E66" s="18" t="n">
        <v>29.08142507</v>
      </c>
      <c r="F66" s="20" t="n">
        <v>1.89746673</v>
      </c>
      <c r="G66" s="18" t="n">
        <v>26.87095732</v>
      </c>
      <c r="H66" s="20" t="n">
        <v>1.59245896</v>
      </c>
      <c r="I66" s="18" t="n">
        <v>0</v>
      </c>
      <c r="J66" s="20" t="n">
        <v>0</v>
      </c>
      <c r="K66" s="18" t="n">
        <v>2.90252882</v>
      </c>
      <c r="L66" s="20" t="n">
        <v>0.61883062</v>
      </c>
      <c r="M66" s="18" t="n">
        <v>0</v>
      </c>
      <c r="N66" s="20" t="n">
        <v>0</v>
      </c>
      <c r="O66" s="18" t="n">
        <v>0</v>
      </c>
      <c r="P66" s="20" t="n">
        <v>0</v>
      </c>
      <c r="Q66" s="18" t="n">
        <v>41.14508879</v>
      </c>
      <c r="R66" s="20" t="n">
        <v>1.89428663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25.62544091</v>
      </c>
      <c r="F69" s="20" t="n">
        <v>3.34580636</v>
      </c>
      <c r="G69" s="18" t="n">
        <v>20.64342078</v>
      </c>
      <c r="H69" s="20" t="n">
        <v>2.81570752</v>
      </c>
      <c r="I69" s="18" t="n">
        <v>0</v>
      </c>
      <c r="J69" s="20" t="n">
        <v>0</v>
      </c>
      <c r="K69" s="18" t="n">
        <v>0</v>
      </c>
      <c r="L69" s="20" t="n">
        <v>0</v>
      </c>
      <c r="M69" s="18" t="n">
        <v>0</v>
      </c>
      <c r="N69" s="20" t="n">
        <v>0</v>
      </c>
      <c r="O69" s="18" t="n">
        <v>0</v>
      </c>
      <c r="P69" s="20" t="n">
        <v>0</v>
      </c>
      <c r="Q69" s="18" t="n">
        <v>53.7311383</v>
      </c>
      <c r="R69" s="20" t="n">
        <v>3.96079393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32.62645306</v>
      </c>
      <c r="F71" s="20" t="n">
        <v>2.14877177</v>
      </c>
      <c r="G71" s="18" t="n">
        <v>59.60088418</v>
      </c>
      <c r="H71" s="20" t="n">
        <v>2.15382005</v>
      </c>
      <c r="I71" s="18" t="n">
        <v>0</v>
      </c>
      <c r="J71" s="20" t="n">
        <v>0</v>
      </c>
      <c r="K71" s="18" t="n">
        <v>0.12241202</v>
      </c>
      <c r="L71" s="20" t="n">
        <v>0.12197718</v>
      </c>
      <c r="M71" s="18" t="n">
        <v>0</v>
      </c>
      <c r="N71" s="20" t="n">
        <v>0</v>
      </c>
      <c r="O71" s="18" t="n">
        <v>0</v>
      </c>
      <c r="P71" s="20" t="n">
        <v>0</v>
      </c>
      <c r="Q71" s="18" t="n">
        <v>7.65025074</v>
      </c>
      <c r="R71" s="20" t="n">
        <v>1.0755605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39.82222281</v>
      </c>
      <c r="F76" s="20" t="n">
        <v>1.78222754</v>
      </c>
      <c r="G76" s="18" t="n">
        <v>24.07285421</v>
      </c>
      <c r="H76" s="20" t="n">
        <v>1.61348166</v>
      </c>
      <c r="I76" s="18" t="n">
        <v>0</v>
      </c>
      <c r="J76" s="20" t="n">
        <v>0</v>
      </c>
      <c r="K76" s="18" t="n">
        <v>5.12763191</v>
      </c>
      <c r="L76" s="20" t="n">
        <v>0.79245266</v>
      </c>
      <c r="M76" s="18" t="n">
        <v>0</v>
      </c>
      <c r="N76" s="20" t="n">
        <v>0</v>
      </c>
      <c r="O76" s="18" t="n">
        <v>0</v>
      </c>
      <c r="P76" s="20" t="n">
        <v>0</v>
      </c>
      <c r="Q76" s="18" t="n">
        <v>30.97729107</v>
      </c>
      <c r="R76" s="20" t="n">
        <v>1.6803577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45.03107918</v>
      </c>
      <c r="F80" s="20" t="n">
        <v>2.08951823</v>
      </c>
      <c r="G80" s="18" t="n">
        <v>23.70577747</v>
      </c>
      <c r="H80" s="20" t="n">
        <v>1.67102066</v>
      </c>
      <c r="I80" s="18" t="n">
        <v>0</v>
      </c>
      <c r="J80" s="20" t="n">
        <v>0</v>
      </c>
      <c r="K80" s="18" t="n">
        <v>0</v>
      </c>
      <c r="L80" s="20" t="n">
        <v>0</v>
      </c>
      <c r="M80" s="18" t="n">
        <v>0</v>
      </c>
      <c r="N80" s="20" t="n">
        <v>0</v>
      </c>
      <c r="O80" s="18" t="n">
        <v>0</v>
      </c>
      <c r="P80" s="20" t="n">
        <v>0</v>
      </c>
      <c r="Q80" s="18" t="n">
        <v>31.26314336</v>
      </c>
      <c r="R80" s="20" t="n">
        <v>2.33472563</v>
      </c>
    </row>
    <row r="81" spans="1:18">
      <c r="A81" s="15" t="s">
        <v>505</v>
      </c>
      <c r="B81" s="17" t="n">
        <v>1657</v>
      </c>
      <c r="C81" s="18">
        <f>(1389.0/B81*100)</f>
        <v/>
      </c>
      <c r="D81" s="19" t="n">
        <v>268</v>
      </c>
      <c r="E81" s="18" t="n">
        <v>24.24781257</v>
      </c>
      <c r="F81" s="20" t="n">
        <v>2.8846204</v>
      </c>
      <c r="G81" s="18" t="n">
        <v>53.97531373</v>
      </c>
      <c r="H81" s="20" t="n">
        <v>3.13753842</v>
      </c>
      <c r="I81" s="18" t="n">
        <v>0</v>
      </c>
      <c r="J81" s="20" t="n">
        <v>0</v>
      </c>
      <c r="K81" s="18" t="n">
        <v>1.40082491</v>
      </c>
      <c r="L81" s="20" t="n">
        <v>0.71926588</v>
      </c>
      <c r="M81" s="18" t="n">
        <v>1.99526912</v>
      </c>
      <c r="N81" s="20" t="n">
        <v>0.74464076</v>
      </c>
      <c r="O81" s="18" t="n">
        <v>0</v>
      </c>
      <c r="P81" s="20" t="n">
        <v>0</v>
      </c>
      <c r="Q81" s="18" t="n">
        <v>18.38077967</v>
      </c>
      <c r="R81" s="20" t="n">
        <v>3.68111449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52.90001629</v>
      </c>
      <c r="F44" s="20" t="n">
        <v>1.93391732</v>
      </c>
      <c r="G44" s="18" t="n">
        <v>7.95163517</v>
      </c>
      <c r="H44" s="20" t="n">
        <v>1.13839105</v>
      </c>
      <c r="I44" s="18" t="n">
        <v>0</v>
      </c>
      <c r="J44" s="20" t="n">
        <v>0</v>
      </c>
      <c r="K44" s="18" t="n">
        <v>2.38759777</v>
      </c>
      <c r="L44" s="20" t="n">
        <v>0.5684534999999999</v>
      </c>
      <c r="M44" s="18" t="n">
        <v>0</v>
      </c>
      <c r="N44" s="20" t="n">
        <v>0</v>
      </c>
      <c r="O44" s="18" t="n">
        <v>0</v>
      </c>
      <c r="P44" s="20" t="n">
        <v>0</v>
      </c>
      <c r="Q44" s="18" t="n">
        <v>36.76075078</v>
      </c>
      <c r="R44" s="20" t="n">
        <v>1.83003358</v>
      </c>
    </row>
    <row r="45" spans="1:18">
      <c r="A45" s="15" t="s">
        <v>468</v>
      </c>
      <c r="B45" s="17" t="n">
        <v>5519</v>
      </c>
      <c r="C45" s="18">
        <f>(4590.0/B45*100)</f>
        <v/>
      </c>
      <c r="D45" s="19" t="n">
        <v>929</v>
      </c>
      <c r="E45" s="18" t="n">
        <v>26.36967987</v>
      </c>
      <c r="F45" s="20" t="n">
        <v>1.68079148</v>
      </c>
      <c r="G45" s="18" t="n">
        <v>7.35950852</v>
      </c>
      <c r="H45" s="20" t="n">
        <v>0.99143416</v>
      </c>
      <c r="I45" s="18" t="n">
        <v>0</v>
      </c>
      <c r="J45" s="20" t="n">
        <v>0</v>
      </c>
      <c r="K45" s="18" t="n">
        <v>5.0425494</v>
      </c>
      <c r="L45" s="20" t="n">
        <v>0.93743338</v>
      </c>
      <c r="M45" s="18" t="n">
        <v>0.43267974</v>
      </c>
      <c r="N45" s="20" t="n">
        <v>0.21432786</v>
      </c>
      <c r="O45" s="18" t="n">
        <v>0</v>
      </c>
      <c r="P45" s="20" t="n">
        <v>0</v>
      </c>
      <c r="Q45" s="18" t="n">
        <v>60.79558247</v>
      </c>
      <c r="R45" s="20" t="n">
        <v>1.77384007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36.84128781</v>
      </c>
      <c r="F54" s="20" t="n">
        <v>1.83308248</v>
      </c>
      <c r="G54" s="18" t="n">
        <v>19.78604693</v>
      </c>
      <c r="H54" s="20" t="n">
        <v>1.43829235</v>
      </c>
      <c r="I54" s="18" t="n">
        <v>0</v>
      </c>
      <c r="J54" s="20" t="n">
        <v>0</v>
      </c>
      <c r="K54" s="18" t="n">
        <v>1.21353033</v>
      </c>
      <c r="L54" s="20" t="n">
        <v>0.36400745</v>
      </c>
      <c r="M54" s="18" t="n">
        <v>0</v>
      </c>
      <c r="N54" s="20" t="n">
        <v>0</v>
      </c>
      <c r="O54" s="18" t="n">
        <v>0</v>
      </c>
      <c r="P54" s="20" t="n">
        <v>0</v>
      </c>
      <c r="Q54" s="18" t="n">
        <v>42.15913493</v>
      </c>
      <c r="R54" s="20" t="n">
        <v>1.84901863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19.50218728</v>
      </c>
      <c r="F56" s="20" t="n">
        <v>1.25847938</v>
      </c>
      <c r="G56" s="18" t="n">
        <v>25.2164589</v>
      </c>
      <c r="H56" s="20" t="n">
        <v>1.80186241</v>
      </c>
      <c r="I56" s="18" t="n">
        <v>0</v>
      </c>
      <c r="J56" s="20" t="n">
        <v>0</v>
      </c>
      <c r="K56" s="18" t="n">
        <v>1.48640239</v>
      </c>
      <c r="L56" s="20" t="n">
        <v>0.45736232</v>
      </c>
      <c r="M56" s="18" t="n">
        <v>0.07955959999999999</v>
      </c>
      <c r="N56" s="20" t="n">
        <v>0.08232222</v>
      </c>
      <c r="O56" s="18" t="n">
        <v>0</v>
      </c>
      <c r="P56" s="20" t="n">
        <v>0</v>
      </c>
      <c r="Q56" s="18" t="n">
        <v>53.71539183</v>
      </c>
      <c r="R56" s="20" t="n">
        <v>2.0037775</v>
      </c>
    </row>
    <row r="57" spans="1:18">
      <c r="A57" s="15" t="s">
        <v>480</v>
      </c>
      <c r="B57" s="17" t="n">
        <v>7267</v>
      </c>
      <c r="C57" s="18">
        <f>(6058.0/B57*100)</f>
        <v/>
      </c>
      <c r="D57" s="19" t="n">
        <v>1209</v>
      </c>
      <c r="E57" s="18" t="n">
        <v>38.79384366</v>
      </c>
      <c r="F57" s="20" t="n">
        <v>1.70972998</v>
      </c>
      <c r="G57" s="18" t="n">
        <v>27.47474792</v>
      </c>
      <c r="H57" s="20" t="n">
        <v>1.41314602</v>
      </c>
      <c r="I57" s="18" t="n">
        <v>0</v>
      </c>
      <c r="J57" s="20" t="n">
        <v>0</v>
      </c>
      <c r="K57" s="18" t="n">
        <v>1.6684724</v>
      </c>
      <c r="L57" s="20" t="n">
        <v>0.48545442</v>
      </c>
      <c r="M57" s="18" t="n">
        <v>0</v>
      </c>
      <c r="N57" s="20" t="n">
        <v>0</v>
      </c>
      <c r="O57" s="18" t="n">
        <v>0</v>
      </c>
      <c r="P57" s="20" t="n">
        <v>0</v>
      </c>
      <c r="Q57" s="18" t="n">
        <v>32.06293601</v>
      </c>
      <c r="R57" s="20" t="n">
        <v>1.73883906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53.77393368</v>
      </c>
      <c r="F59" s="20" t="n">
        <v>2.02915856</v>
      </c>
      <c r="G59" s="18" t="n">
        <v>4.91056105</v>
      </c>
      <c r="H59" s="20" t="n">
        <v>1.02522358</v>
      </c>
      <c r="I59" s="18" t="n">
        <v>0</v>
      </c>
      <c r="J59" s="20" t="n">
        <v>0</v>
      </c>
      <c r="K59" s="18" t="n">
        <v>0.8939218799999999</v>
      </c>
      <c r="L59" s="20" t="n">
        <v>0.4102019</v>
      </c>
      <c r="M59" s="18" t="n">
        <v>0</v>
      </c>
      <c r="N59" s="20" t="n">
        <v>0</v>
      </c>
      <c r="O59" s="18" t="n">
        <v>0</v>
      </c>
      <c r="P59" s="20" t="n">
        <v>0</v>
      </c>
      <c r="Q59" s="18" t="n">
        <v>40.42158339</v>
      </c>
      <c r="R59" s="20" t="n">
        <v>2.04058829</v>
      </c>
    </row>
    <row r="60" spans="1:18">
      <c r="A60" s="15" t="s">
        <v>484</v>
      </c>
      <c r="B60" s="17" t="n">
        <v>4546</v>
      </c>
      <c r="C60" s="18">
        <f>(3786.0/B60*100)</f>
        <v/>
      </c>
      <c r="D60" s="19" t="n">
        <v>760</v>
      </c>
      <c r="E60" s="18" t="n">
        <v>15.77064557</v>
      </c>
      <c r="F60" s="20" t="n">
        <v>1.34215633</v>
      </c>
      <c r="G60" s="18" t="n">
        <v>20.9812677</v>
      </c>
      <c r="H60" s="20" t="n">
        <v>1.80659154</v>
      </c>
      <c r="I60" s="18" t="n">
        <v>0</v>
      </c>
      <c r="J60" s="20" t="n">
        <v>0</v>
      </c>
      <c r="K60" s="18" t="n">
        <v>6.15341123</v>
      </c>
      <c r="L60" s="20" t="n">
        <v>1.02878764</v>
      </c>
      <c r="M60" s="18" t="n">
        <v>0</v>
      </c>
      <c r="N60" s="20" t="n">
        <v>0</v>
      </c>
      <c r="O60" s="18" t="n">
        <v>0</v>
      </c>
      <c r="P60" s="20" t="n">
        <v>0</v>
      </c>
      <c r="Q60" s="18" t="n">
        <v>57.0946755</v>
      </c>
      <c r="R60" s="20" t="n">
        <v>2.06559333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26.57157169</v>
      </c>
      <c r="F63" s="20" t="n">
        <v>1.39022111</v>
      </c>
      <c r="G63" s="18" t="n">
        <v>22.23636409</v>
      </c>
      <c r="H63" s="20" t="n">
        <v>1.48817135</v>
      </c>
      <c r="I63" s="18" t="n">
        <v>0</v>
      </c>
      <c r="J63" s="20" t="n">
        <v>0</v>
      </c>
      <c r="K63" s="18" t="n">
        <v>3.1074384</v>
      </c>
      <c r="L63" s="20" t="n">
        <v>0.60808887</v>
      </c>
      <c r="M63" s="18" t="n">
        <v>0</v>
      </c>
      <c r="N63" s="20" t="n">
        <v>0</v>
      </c>
      <c r="O63" s="18" t="n">
        <v>0</v>
      </c>
      <c r="P63" s="20" t="n">
        <v>0</v>
      </c>
      <c r="Q63" s="18" t="n">
        <v>48.08462581</v>
      </c>
      <c r="R63" s="20" t="n">
        <v>1.89671258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13.18669112</v>
      </c>
      <c r="F65" s="20" t="n">
        <v>1.41471811</v>
      </c>
      <c r="G65" s="18" t="n">
        <v>69.3444879</v>
      </c>
      <c r="H65" s="20" t="n">
        <v>1.97624538</v>
      </c>
      <c r="I65" s="18" t="n">
        <v>0</v>
      </c>
      <c r="J65" s="20" t="n">
        <v>0</v>
      </c>
      <c r="K65" s="18" t="n">
        <v>1.71298765</v>
      </c>
      <c r="L65" s="20" t="n">
        <v>0.54253237</v>
      </c>
      <c r="M65" s="18" t="n">
        <v>0</v>
      </c>
      <c r="N65" s="20" t="n">
        <v>0</v>
      </c>
      <c r="O65" s="18" t="n">
        <v>0</v>
      </c>
      <c r="P65" s="20" t="n">
        <v>0</v>
      </c>
      <c r="Q65" s="18" t="n">
        <v>15.75583333</v>
      </c>
      <c r="R65" s="20" t="n">
        <v>1.43444049</v>
      </c>
    </row>
    <row r="66" spans="1:18">
      <c r="A66" s="15" t="s">
        <v>490</v>
      </c>
      <c r="B66" s="17" t="n">
        <v>5325</v>
      </c>
      <c r="C66" s="18">
        <f>(4438.0/B66*100)</f>
        <v/>
      </c>
      <c r="D66" s="19" t="n">
        <v>887</v>
      </c>
      <c r="E66" s="18" t="n">
        <v>22.86417619</v>
      </c>
      <c r="F66" s="20" t="n">
        <v>1.70366849</v>
      </c>
      <c r="G66" s="18" t="n">
        <v>38.27516184</v>
      </c>
      <c r="H66" s="20" t="n">
        <v>1.76248193</v>
      </c>
      <c r="I66" s="18" t="n">
        <v>0</v>
      </c>
      <c r="J66" s="20" t="n">
        <v>0</v>
      </c>
      <c r="K66" s="18" t="n">
        <v>2.90252882</v>
      </c>
      <c r="L66" s="20" t="n">
        <v>0.61883062</v>
      </c>
      <c r="M66" s="18" t="n">
        <v>0</v>
      </c>
      <c r="N66" s="20" t="n">
        <v>0</v>
      </c>
      <c r="O66" s="18" t="n">
        <v>0</v>
      </c>
      <c r="P66" s="20" t="n">
        <v>0</v>
      </c>
      <c r="Q66" s="18" t="n">
        <v>35.95813314</v>
      </c>
      <c r="R66" s="20" t="n">
        <v>1.69194351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24.38817607</v>
      </c>
      <c r="F69" s="20" t="n">
        <v>3.8244111</v>
      </c>
      <c r="G69" s="18" t="n">
        <v>28.98013505</v>
      </c>
      <c r="H69" s="20" t="n">
        <v>3.10879652</v>
      </c>
      <c r="I69" s="18" t="n">
        <v>0</v>
      </c>
      <c r="J69" s="20" t="n">
        <v>0</v>
      </c>
      <c r="K69" s="18" t="n">
        <v>0</v>
      </c>
      <c r="L69" s="20" t="n">
        <v>0</v>
      </c>
      <c r="M69" s="18" t="n">
        <v>0</v>
      </c>
      <c r="N69" s="20" t="n">
        <v>0</v>
      </c>
      <c r="O69" s="18" t="n">
        <v>0</v>
      </c>
      <c r="P69" s="20" t="n">
        <v>0</v>
      </c>
      <c r="Q69" s="18" t="n">
        <v>46.63168888</v>
      </c>
      <c r="R69" s="20" t="n">
        <v>4.10545096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48.57328753</v>
      </c>
      <c r="F71" s="20" t="n">
        <v>2.00282427</v>
      </c>
      <c r="G71" s="18" t="n">
        <v>45.13662157</v>
      </c>
      <c r="H71" s="20" t="n">
        <v>1.96761674</v>
      </c>
      <c r="I71" s="18" t="n">
        <v>0</v>
      </c>
      <c r="J71" s="20" t="n">
        <v>0</v>
      </c>
      <c r="K71" s="18" t="n">
        <v>0.12241202</v>
      </c>
      <c r="L71" s="20" t="n">
        <v>0.12197718</v>
      </c>
      <c r="M71" s="18" t="n">
        <v>0</v>
      </c>
      <c r="N71" s="20" t="n">
        <v>0</v>
      </c>
      <c r="O71" s="18" t="n">
        <v>0</v>
      </c>
      <c r="P71" s="20" t="n">
        <v>0</v>
      </c>
      <c r="Q71" s="18" t="n">
        <v>6.16767888</v>
      </c>
      <c r="R71" s="20" t="n">
        <v>0.94798351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19.72070355</v>
      </c>
      <c r="F76" s="20" t="n">
        <v>1.55475167</v>
      </c>
      <c r="G76" s="18" t="n">
        <v>51.06285154</v>
      </c>
      <c r="H76" s="20" t="n">
        <v>1.79198384</v>
      </c>
      <c r="I76" s="18" t="n">
        <v>0</v>
      </c>
      <c r="J76" s="20" t="n">
        <v>0</v>
      </c>
      <c r="K76" s="18" t="n">
        <v>5.12763191</v>
      </c>
      <c r="L76" s="20" t="n">
        <v>0.79245266</v>
      </c>
      <c r="M76" s="18" t="n">
        <v>0</v>
      </c>
      <c r="N76" s="20" t="n">
        <v>0</v>
      </c>
      <c r="O76" s="18" t="n">
        <v>0</v>
      </c>
      <c r="P76" s="20" t="n">
        <v>0</v>
      </c>
      <c r="Q76" s="18" t="n">
        <v>24.088813</v>
      </c>
      <c r="R76" s="20" t="n">
        <v>1.67285775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26.62789707</v>
      </c>
      <c r="F80" s="20" t="n">
        <v>1.68595402</v>
      </c>
      <c r="G80" s="18" t="n">
        <v>47.33854027</v>
      </c>
      <c r="H80" s="20" t="n">
        <v>2.39585758</v>
      </c>
      <c r="I80" s="18" t="n">
        <v>0</v>
      </c>
      <c r="J80" s="20" t="n">
        <v>0</v>
      </c>
      <c r="K80" s="18" t="n">
        <v>0</v>
      </c>
      <c r="L80" s="20" t="n">
        <v>0</v>
      </c>
      <c r="M80" s="18" t="n">
        <v>0</v>
      </c>
      <c r="N80" s="20" t="n">
        <v>0</v>
      </c>
      <c r="O80" s="18" t="n">
        <v>0</v>
      </c>
      <c r="P80" s="20" t="n">
        <v>0</v>
      </c>
      <c r="Q80" s="18" t="n">
        <v>26.03356266</v>
      </c>
      <c r="R80" s="20" t="n">
        <v>2.43288729</v>
      </c>
    </row>
    <row r="81" spans="1:18">
      <c r="A81" s="15" t="s">
        <v>505</v>
      </c>
      <c r="B81" s="17" t="n">
        <v>1657</v>
      </c>
      <c r="C81" s="18">
        <f>(1389.0/B81*100)</f>
        <v/>
      </c>
      <c r="D81" s="19" t="n">
        <v>268</v>
      </c>
      <c r="E81" s="18" t="n">
        <v>11.96329325</v>
      </c>
      <c r="F81" s="20" t="n">
        <v>1.6501664</v>
      </c>
      <c r="G81" s="18" t="n">
        <v>68.55663456000001</v>
      </c>
      <c r="H81" s="20" t="n">
        <v>3.25222033</v>
      </c>
      <c r="I81" s="18" t="n">
        <v>0</v>
      </c>
      <c r="J81" s="20" t="n">
        <v>0</v>
      </c>
      <c r="K81" s="18" t="n">
        <v>1.40082491</v>
      </c>
      <c r="L81" s="20" t="n">
        <v>0.71926588</v>
      </c>
      <c r="M81" s="18" t="n">
        <v>1.99526912</v>
      </c>
      <c r="N81" s="20" t="n">
        <v>0.74464076</v>
      </c>
      <c r="O81" s="18" t="n">
        <v>0</v>
      </c>
      <c r="P81" s="20" t="n">
        <v>0</v>
      </c>
      <c r="Q81" s="18" t="n">
        <v>16.08397816</v>
      </c>
      <c r="R81" s="20" t="n">
        <v>2.90880018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24.09467374</v>
      </c>
      <c r="F44" s="20" t="n">
        <v>1.76425354</v>
      </c>
      <c r="G44" s="18" t="n">
        <v>49.43443066</v>
      </c>
      <c r="H44" s="20" t="n">
        <v>1.70863848</v>
      </c>
      <c r="I44" s="18" t="n">
        <v>0</v>
      </c>
      <c r="J44" s="20" t="n">
        <v>0</v>
      </c>
      <c r="K44" s="18" t="n">
        <v>2.53191901</v>
      </c>
      <c r="L44" s="20" t="n">
        <v>0.5849248</v>
      </c>
      <c r="M44" s="18" t="n">
        <v>0</v>
      </c>
      <c r="N44" s="20" t="n">
        <v>0</v>
      </c>
      <c r="O44" s="18" t="n">
        <v>0</v>
      </c>
      <c r="P44" s="20" t="n">
        <v>0</v>
      </c>
      <c r="Q44" s="18" t="n">
        <v>23.93897659</v>
      </c>
      <c r="R44" s="20" t="n">
        <v>1.5380522</v>
      </c>
    </row>
    <row r="45" spans="1:18">
      <c r="A45" s="15" t="s">
        <v>468</v>
      </c>
      <c r="B45" s="17" t="n">
        <v>5519</v>
      </c>
      <c r="C45" s="18">
        <f>(4590.0/B45*100)</f>
        <v/>
      </c>
      <c r="D45" s="19" t="n">
        <v>929</v>
      </c>
      <c r="E45" s="18" t="n">
        <v>41.72774018</v>
      </c>
      <c r="F45" s="20" t="n">
        <v>1.86016154</v>
      </c>
      <c r="G45" s="18" t="n">
        <v>22.77835247</v>
      </c>
      <c r="H45" s="20" t="n">
        <v>1.48147364</v>
      </c>
      <c r="I45" s="18" t="n">
        <v>0</v>
      </c>
      <c r="J45" s="20" t="n">
        <v>0</v>
      </c>
      <c r="K45" s="18" t="n">
        <v>5.25092115</v>
      </c>
      <c r="L45" s="20" t="n">
        <v>0.9488654399999999</v>
      </c>
      <c r="M45" s="18" t="n">
        <v>0.51339465</v>
      </c>
      <c r="N45" s="20" t="n">
        <v>0.21360822</v>
      </c>
      <c r="O45" s="18" t="n">
        <v>0</v>
      </c>
      <c r="P45" s="20" t="n">
        <v>0</v>
      </c>
      <c r="Q45" s="18" t="n">
        <v>29.72959156</v>
      </c>
      <c r="R45" s="20" t="n">
        <v>1.63269262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21.59886129</v>
      </c>
      <c r="F54" s="20" t="n">
        <v>1.36108372</v>
      </c>
      <c r="G54" s="18" t="n">
        <v>46.72855999</v>
      </c>
      <c r="H54" s="20" t="n">
        <v>1.67417225</v>
      </c>
      <c r="I54" s="18" t="n">
        <v>0</v>
      </c>
      <c r="J54" s="20" t="n">
        <v>0</v>
      </c>
      <c r="K54" s="18" t="n">
        <v>1.21353033</v>
      </c>
      <c r="L54" s="20" t="n">
        <v>0.36400745</v>
      </c>
      <c r="M54" s="18" t="n">
        <v>0</v>
      </c>
      <c r="N54" s="20" t="n">
        <v>0</v>
      </c>
      <c r="O54" s="18" t="n">
        <v>0.20464975</v>
      </c>
      <c r="P54" s="20" t="n">
        <v>0.19505088</v>
      </c>
      <c r="Q54" s="18" t="n">
        <v>30.25439864</v>
      </c>
      <c r="R54" s="20" t="n">
        <v>1.46834602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50.25828448</v>
      </c>
      <c r="F56" s="20" t="n">
        <v>1.73103709</v>
      </c>
      <c r="G56" s="18" t="n">
        <v>40.38561234</v>
      </c>
      <c r="H56" s="20" t="n">
        <v>1.74144863</v>
      </c>
      <c r="I56" s="18" t="n">
        <v>0</v>
      </c>
      <c r="J56" s="20" t="n">
        <v>0</v>
      </c>
      <c r="K56" s="18" t="n">
        <v>1.48640239</v>
      </c>
      <c r="L56" s="20" t="n">
        <v>0.45736232</v>
      </c>
      <c r="M56" s="18" t="n">
        <v>0.07955959999999999</v>
      </c>
      <c r="N56" s="20" t="n">
        <v>0.08232222</v>
      </c>
      <c r="O56" s="18" t="n">
        <v>0</v>
      </c>
      <c r="P56" s="20" t="n">
        <v>0</v>
      </c>
      <c r="Q56" s="18" t="n">
        <v>7.79014119</v>
      </c>
      <c r="R56" s="20" t="n">
        <v>0.9712664600000001</v>
      </c>
    </row>
    <row r="57" spans="1:18">
      <c r="A57" s="15" t="s">
        <v>480</v>
      </c>
      <c r="B57" s="17" t="n">
        <v>7267</v>
      </c>
      <c r="C57" s="18">
        <f>(6058.0/B57*100)</f>
        <v/>
      </c>
      <c r="D57" s="19" t="n">
        <v>1209</v>
      </c>
      <c r="E57" s="18" t="n">
        <v>20.74339803</v>
      </c>
      <c r="F57" s="20" t="n">
        <v>1.3452653</v>
      </c>
      <c r="G57" s="18" t="n">
        <v>60.81046853</v>
      </c>
      <c r="H57" s="20" t="n">
        <v>1.68125785</v>
      </c>
      <c r="I57" s="18" t="n">
        <v>0</v>
      </c>
      <c r="J57" s="20" t="n">
        <v>0</v>
      </c>
      <c r="K57" s="18" t="n">
        <v>1.83857927</v>
      </c>
      <c r="L57" s="20" t="n">
        <v>0.47716319</v>
      </c>
      <c r="M57" s="18" t="n">
        <v>0</v>
      </c>
      <c r="N57" s="20" t="n">
        <v>0</v>
      </c>
      <c r="O57" s="18" t="n">
        <v>0</v>
      </c>
      <c r="P57" s="20" t="n">
        <v>0</v>
      </c>
      <c r="Q57" s="18" t="n">
        <v>16.60755418</v>
      </c>
      <c r="R57" s="20" t="n">
        <v>1.40878672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42.65921448</v>
      </c>
      <c r="F59" s="20" t="n">
        <v>2.20421811</v>
      </c>
      <c r="G59" s="18" t="n">
        <v>36.84208012</v>
      </c>
      <c r="H59" s="20" t="n">
        <v>2.21510398</v>
      </c>
      <c r="I59" s="18" t="n">
        <v>0</v>
      </c>
      <c r="J59" s="20" t="n">
        <v>0</v>
      </c>
      <c r="K59" s="18" t="n">
        <v>0.8939218799999999</v>
      </c>
      <c r="L59" s="20" t="n">
        <v>0.4102019</v>
      </c>
      <c r="M59" s="18" t="n">
        <v>0</v>
      </c>
      <c r="N59" s="20" t="n">
        <v>0</v>
      </c>
      <c r="O59" s="18" t="n">
        <v>0</v>
      </c>
      <c r="P59" s="20" t="n">
        <v>0</v>
      </c>
      <c r="Q59" s="18" t="n">
        <v>19.60478351</v>
      </c>
      <c r="R59" s="20" t="n">
        <v>1.56819092</v>
      </c>
    </row>
    <row r="60" spans="1:18">
      <c r="A60" s="15" t="s">
        <v>484</v>
      </c>
      <c r="B60" s="17" t="n">
        <v>4546</v>
      </c>
      <c r="C60" s="18">
        <f>(3786.0/B60*100)</f>
        <v/>
      </c>
      <c r="D60" s="19" t="n">
        <v>760</v>
      </c>
      <c r="E60" s="18" t="n">
        <v>26.68935984</v>
      </c>
      <c r="F60" s="20" t="n">
        <v>1.75829137</v>
      </c>
      <c r="G60" s="18" t="n">
        <v>26.61010987</v>
      </c>
      <c r="H60" s="20" t="n">
        <v>1.85617271</v>
      </c>
      <c r="I60" s="18" t="n">
        <v>0</v>
      </c>
      <c r="J60" s="20" t="n">
        <v>0</v>
      </c>
      <c r="K60" s="18" t="n">
        <v>6.32301148</v>
      </c>
      <c r="L60" s="20" t="n">
        <v>1.05899117</v>
      </c>
      <c r="M60" s="18" t="n">
        <v>0.16187349</v>
      </c>
      <c r="N60" s="20" t="n">
        <v>0.16122245</v>
      </c>
      <c r="O60" s="18" t="n">
        <v>0</v>
      </c>
      <c r="P60" s="20" t="n">
        <v>0</v>
      </c>
      <c r="Q60" s="18" t="n">
        <v>40.21564533</v>
      </c>
      <c r="R60" s="20" t="n">
        <v>1.94094869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21.45595103</v>
      </c>
      <c r="F63" s="20" t="n">
        <v>1.46889616</v>
      </c>
      <c r="G63" s="18" t="n">
        <v>36.11516171</v>
      </c>
      <c r="H63" s="20" t="n">
        <v>1.85800684</v>
      </c>
      <c r="I63" s="18" t="n">
        <v>0</v>
      </c>
      <c r="J63" s="20" t="n">
        <v>0</v>
      </c>
      <c r="K63" s="18" t="n">
        <v>3.25706651</v>
      </c>
      <c r="L63" s="20" t="n">
        <v>0.61977217</v>
      </c>
      <c r="M63" s="18" t="n">
        <v>0</v>
      </c>
      <c r="N63" s="20" t="n">
        <v>0</v>
      </c>
      <c r="O63" s="18" t="n">
        <v>0</v>
      </c>
      <c r="P63" s="20" t="n">
        <v>0</v>
      </c>
      <c r="Q63" s="18" t="n">
        <v>39.17182076</v>
      </c>
      <c r="R63" s="20" t="n">
        <v>1.79795484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14.92982234</v>
      </c>
      <c r="F65" s="20" t="n">
        <v>1.3200693</v>
      </c>
      <c r="G65" s="18" t="n">
        <v>73.38582957</v>
      </c>
      <c r="H65" s="20" t="n">
        <v>1.88942181</v>
      </c>
      <c r="I65" s="18" t="n">
        <v>0</v>
      </c>
      <c r="J65" s="20" t="n">
        <v>0</v>
      </c>
      <c r="K65" s="18" t="n">
        <v>2.8513062</v>
      </c>
      <c r="L65" s="20" t="n">
        <v>0.71940319</v>
      </c>
      <c r="M65" s="18" t="n">
        <v>0</v>
      </c>
      <c r="N65" s="20" t="n">
        <v>0</v>
      </c>
      <c r="O65" s="18" t="n">
        <v>0</v>
      </c>
      <c r="P65" s="20" t="n">
        <v>0</v>
      </c>
      <c r="Q65" s="18" t="n">
        <v>8.833041890000001</v>
      </c>
      <c r="R65" s="20" t="n">
        <v>1.24833353</v>
      </c>
    </row>
    <row r="66" spans="1:18">
      <c r="A66" s="15" t="s">
        <v>490</v>
      </c>
      <c r="B66" s="17" t="n">
        <v>5325</v>
      </c>
      <c r="C66" s="18">
        <f>(4438.0/B66*100)</f>
        <v/>
      </c>
      <c r="D66" s="19" t="n">
        <v>887</v>
      </c>
      <c r="E66" s="18" t="n">
        <v>21.2349011</v>
      </c>
      <c r="F66" s="20" t="n">
        <v>1.61520593</v>
      </c>
      <c r="G66" s="18" t="n">
        <v>45.77972544</v>
      </c>
      <c r="H66" s="20" t="n">
        <v>1.7774529</v>
      </c>
      <c r="I66" s="18" t="n">
        <v>0</v>
      </c>
      <c r="J66" s="20" t="n">
        <v>0</v>
      </c>
      <c r="K66" s="18" t="n">
        <v>3.43154625</v>
      </c>
      <c r="L66" s="20" t="n">
        <v>0.62235805</v>
      </c>
      <c r="M66" s="18" t="n">
        <v>0</v>
      </c>
      <c r="N66" s="20" t="n">
        <v>0</v>
      </c>
      <c r="O66" s="18" t="n">
        <v>0</v>
      </c>
      <c r="P66" s="20" t="n">
        <v>0</v>
      </c>
      <c r="Q66" s="18" t="n">
        <v>29.5538272</v>
      </c>
      <c r="R66" s="20" t="n">
        <v>1.83430858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31.18039136</v>
      </c>
      <c r="F69" s="20" t="n">
        <v>3.7266088</v>
      </c>
      <c r="G69" s="18" t="n">
        <v>61.3930331</v>
      </c>
      <c r="H69" s="20" t="n">
        <v>3.81504405</v>
      </c>
      <c r="I69" s="18" t="n">
        <v>0</v>
      </c>
      <c r="J69" s="20" t="n">
        <v>0</v>
      </c>
      <c r="K69" s="18" t="n">
        <v>0</v>
      </c>
      <c r="L69" s="20" t="n">
        <v>0</v>
      </c>
      <c r="M69" s="18" t="n">
        <v>0</v>
      </c>
      <c r="N69" s="20" t="n">
        <v>0</v>
      </c>
      <c r="O69" s="18" t="n">
        <v>0</v>
      </c>
      <c r="P69" s="20" t="n">
        <v>0</v>
      </c>
      <c r="Q69" s="18" t="n">
        <v>7.42657554</v>
      </c>
      <c r="R69" s="20" t="n">
        <v>2.04610627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31.03764088</v>
      </c>
      <c r="F71" s="20" t="n">
        <v>1.69036119</v>
      </c>
      <c r="G71" s="18" t="n">
        <v>66.99717407</v>
      </c>
      <c r="H71" s="20" t="n">
        <v>1.72509643</v>
      </c>
      <c r="I71" s="18" t="n">
        <v>0</v>
      </c>
      <c r="J71" s="20" t="n">
        <v>0</v>
      </c>
      <c r="K71" s="18" t="n">
        <v>0.12241202</v>
      </c>
      <c r="L71" s="20" t="n">
        <v>0.12197718</v>
      </c>
      <c r="M71" s="18" t="n">
        <v>0</v>
      </c>
      <c r="N71" s="20" t="n">
        <v>0</v>
      </c>
      <c r="O71" s="18" t="n">
        <v>0</v>
      </c>
      <c r="P71" s="20" t="n">
        <v>0</v>
      </c>
      <c r="Q71" s="18" t="n">
        <v>1.84277303</v>
      </c>
      <c r="R71" s="20" t="n">
        <v>0.50669656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21.51643895</v>
      </c>
      <c r="F76" s="20" t="n">
        <v>1.66239561</v>
      </c>
      <c r="G76" s="18" t="n">
        <v>60.70207792</v>
      </c>
      <c r="H76" s="20" t="n">
        <v>2.05515684</v>
      </c>
      <c r="I76" s="18" t="n">
        <v>0</v>
      </c>
      <c r="J76" s="20" t="n">
        <v>0</v>
      </c>
      <c r="K76" s="18" t="n">
        <v>5.24837459</v>
      </c>
      <c r="L76" s="20" t="n">
        <v>0.78540059</v>
      </c>
      <c r="M76" s="18" t="n">
        <v>0</v>
      </c>
      <c r="N76" s="20" t="n">
        <v>0</v>
      </c>
      <c r="O76" s="18" t="n">
        <v>0</v>
      </c>
      <c r="P76" s="20" t="n">
        <v>0</v>
      </c>
      <c r="Q76" s="18" t="n">
        <v>12.53310853</v>
      </c>
      <c r="R76" s="20" t="n">
        <v>1.34406956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16.25194365</v>
      </c>
      <c r="F80" s="20" t="n">
        <v>1.56803229</v>
      </c>
      <c r="G80" s="18" t="n">
        <v>82.08838058000001</v>
      </c>
      <c r="H80" s="20" t="n">
        <v>1.58555719</v>
      </c>
      <c r="I80" s="18" t="n">
        <v>0</v>
      </c>
      <c r="J80" s="20" t="n">
        <v>0</v>
      </c>
      <c r="K80" s="18" t="n">
        <v>0</v>
      </c>
      <c r="L80" s="20" t="n">
        <v>0</v>
      </c>
      <c r="M80" s="18" t="n">
        <v>0</v>
      </c>
      <c r="N80" s="20" t="n">
        <v>0</v>
      </c>
      <c r="O80" s="18" t="n">
        <v>0</v>
      </c>
      <c r="P80" s="20" t="n">
        <v>0</v>
      </c>
      <c r="Q80" s="18" t="n">
        <v>1.65967576</v>
      </c>
      <c r="R80" s="20" t="n">
        <v>0.42105587</v>
      </c>
    </row>
    <row r="81" spans="1:18">
      <c r="A81" s="15" t="s">
        <v>505</v>
      </c>
      <c r="B81" s="17" t="n">
        <v>1657</v>
      </c>
      <c r="C81" s="18">
        <f>(1389.0/B81*100)</f>
        <v/>
      </c>
      <c r="D81" s="19" t="n">
        <v>268</v>
      </c>
      <c r="E81" s="18" t="n">
        <v>10.92924842</v>
      </c>
      <c r="F81" s="20" t="n">
        <v>2.04300989</v>
      </c>
      <c r="G81" s="18" t="n">
        <v>75.89801559999999</v>
      </c>
      <c r="H81" s="20" t="n">
        <v>2.78711303</v>
      </c>
      <c r="I81" s="18" t="n">
        <v>0</v>
      </c>
      <c r="J81" s="20" t="n">
        <v>0</v>
      </c>
      <c r="K81" s="18" t="n">
        <v>1.57355335</v>
      </c>
      <c r="L81" s="20" t="n">
        <v>0.73845037</v>
      </c>
      <c r="M81" s="18" t="n">
        <v>1.99526912</v>
      </c>
      <c r="N81" s="20" t="n">
        <v>0.74464076</v>
      </c>
      <c r="O81" s="18" t="n">
        <v>0</v>
      </c>
      <c r="P81" s="20" t="n">
        <v>0</v>
      </c>
      <c r="Q81" s="18" t="n">
        <v>9.60391351</v>
      </c>
      <c r="R81" s="20" t="n">
        <v>1.82602614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629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12.68354845</v>
      </c>
      <c r="F44" s="20" t="n">
        <v>1.45200848</v>
      </c>
      <c r="G44" s="18" t="n">
        <v>81.11770976</v>
      </c>
      <c r="H44" s="20" t="n">
        <v>1.8731234</v>
      </c>
      <c r="I44" s="18" t="n">
        <v>0</v>
      </c>
      <c r="J44" s="20" t="n">
        <v>0</v>
      </c>
      <c r="K44" s="18" t="n">
        <v>2.65257127</v>
      </c>
      <c r="L44" s="20" t="n">
        <v>0.5906581</v>
      </c>
      <c r="M44" s="18" t="n">
        <v>0</v>
      </c>
      <c r="N44" s="20" t="n">
        <v>0</v>
      </c>
      <c r="O44" s="18" t="n">
        <v>0.84607313</v>
      </c>
      <c r="P44" s="20" t="n">
        <v>0.28227302</v>
      </c>
      <c r="Q44" s="18" t="n">
        <v>2.70009739</v>
      </c>
      <c r="R44" s="20" t="n">
        <v>0.64602707</v>
      </c>
    </row>
    <row r="45" spans="1:18">
      <c r="A45" s="15" t="s">
        <v>468</v>
      </c>
      <c r="B45" s="17" t="n">
        <v>5519</v>
      </c>
      <c r="C45" s="18">
        <f>(4590.0/B45*100)</f>
        <v/>
      </c>
      <c r="D45" s="19" t="n">
        <v>929</v>
      </c>
      <c r="E45" s="18" t="n">
        <v>28.81785617</v>
      </c>
      <c r="F45" s="20" t="n">
        <v>1.50283973</v>
      </c>
      <c r="G45" s="18" t="n">
        <v>55.71081804</v>
      </c>
      <c r="H45" s="20" t="n">
        <v>1.78760882</v>
      </c>
      <c r="I45" s="18" t="n">
        <v>0</v>
      </c>
      <c r="J45" s="20" t="n">
        <v>0</v>
      </c>
      <c r="K45" s="18" t="n">
        <v>5.62522534</v>
      </c>
      <c r="L45" s="20" t="n">
        <v>0.99569448</v>
      </c>
      <c r="M45" s="18" t="n">
        <v>0.41706367</v>
      </c>
      <c r="N45" s="20" t="n">
        <v>0.23688923</v>
      </c>
      <c r="O45" s="18" t="n">
        <v>2.58207233</v>
      </c>
      <c r="P45" s="20" t="n">
        <v>0.56485702</v>
      </c>
      <c r="Q45" s="18" t="n">
        <v>6.84696446</v>
      </c>
      <c r="R45" s="20" t="n">
        <v>0.91983688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16.6866142</v>
      </c>
      <c r="F54" s="20" t="n">
        <v>1.27914408</v>
      </c>
      <c r="G54" s="18" t="n">
        <v>79.68307946</v>
      </c>
      <c r="H54" s="20" t="n">
        <v>1.27901126</v>
      </c>
      <c r="I54" s="18" t="n">
        <v>0</v>
      </c>
      <c r="J54" s="20" t="n">
        <v>0</v>
      </c>
      <c r="K54" s="18" t="n">
        <v>1.55848458</v>
      </c>
      <c r="L54" s="20" t="n">
        <v>0.4136544</v>
      </c>
      <c r="M54" s="18" t="n">
        <v>0.09739476</v>
      </c>
      <c r="N54" s="20" t="n">
        <v>0.10156758</v>
      </c>
      <c r="O54" s="18" t="n">
        <v>0.58461737</v>
      </c>
      <c r="P54" s="20" t="n">
        <v>0.2705019</v>
      </c>
      <c r="Q54" s="18" t="n">
        <v>1.38980962</v>
      </c>
      <c r="R54" s="20" t="n">
        <v>0.40376326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14.55344697</v>
      </c>
      <c r="F56" s="20" t="n">
        <v>1.37540472</v>
      </c>
      <c r="G56" s="18" t="n">
        <v>82.69141722000001</v>
      </c>
      <c r="H56" s="20" t="n">
        <v>1.43069053</v>
      </c>
      <c r="I56" s="18" t="n">
        <v>0</v>
      </c>
      <c r="J56" s="20" t="n">
        <v>0</v>
      </c>
      <c r="K56" s="18" t="n">
        <v>1.65124845</v>
      </c>
      <c r="L56" s="20" t="n">
        <v>0.47853312</v>
      </c>
      <c r="M56" s="18" t="n">
        <v>0</v>
      </c>
      <c r="N56" s="20" t="n">
        <v>0</v>
      </c>
      <c r="O56" s="18" t="n">
        <v>0</v>
      </c>
      <c r="P56" s="20" t="n">
        <v>0</v>
      </c>
      <c r="Q56" s="18" t="n">
        <v>1.10388737</v>
      </c>
      <c r="R56" s="20" t="n">
        <v>0.33604539</v>
      </c>
    </row>
    <row r="57" spans="1:18">
      <c r="A57" s="15" t="s">
        <v>480</v>
      </c>
      <c r="B57" s="17" t="n">
        <v>7267</v>
      </c>
      <c r="C57" s="18">
        <f>(6058.0/B57*100)</f>
        <v/>
      </c>
      <c r="D57" s="19" t="n">
        <v>1209</v>
      </c>
      <c r="E57" s="18" t="n">
        <v>17.19510928</v>
      </c>
      <c r="F57" s="20" t="n">
        <v>1.44211483</v>
      </c>
      <c r="G57" s="18" t="n">
        <v>76.97422444999999</v>
      </c>
      <c r="H57" s="20" t="n">
        <v>1.67071041</v>
      </c>
      <c r="I57" s="18" t="n">
        <v>0</v>
      </c>
      <c r="J57" s="20" t="n">
        <v>0</v>
      </c>
      <c r="K57" s="18" t="n">
        <v>2.35045374</v>
      </c>
      <c r="L57" s="20" t="n">
        <v>0.48521653</v>
      </c>
      <c r="M57" s="18" t="n">
        <v>0</v>
      </c>
      <c r="N57" s="20" t="n">
        <v>0</v>
      </c>
      <c r="O57" s="18" t="n">
        <v>0.5078939099999999</v>
      </c>
      <c r="P57" s="20" t="n">
        <v>0.22418564</v>
      </c>
      <c r="Q57" s="18" t="n">
        <v>2.97231862</v>
      </c>
      <c r="R57" s="20" t="n">
        <v>0.5594161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26.04744917</v>
      </c>
      <c r="F59" s="20" t="n">
        <v>1.9274029</v>
      </c>
      <c r="G59" s="18" t="n">
        <v>68.76966336</v>
      </c>
      <c r="H59" s="20" t="n">
        <v>1.88991785</v>
      </c>
      <c r="I59" s="18" t="n">
        <v>0</v>
      </c>
      <c r="J59" s="20" t="n">
        <v>0</v>
      </c>
      <c r="K59" s="18" t="n">
        <v>0.95162534</v>
      </c>
      <c r="L59" s="20" t="n">
        <v>0.44455828</v>
      </c>
      <c r="M59" s="18" t="n">
        <v>0</v>
      </c>
      <c r="N59" s="20" t="n">
        <v>0</v>
      </c>
      <c r="O59" s="18" t="n">
        <v>2.27284974</v>
      </c>
      <c r="P59" s="20" t="n">
        <v>0.57156619</v>
      </c>
      <c r="Q59" s="18" t="n">
        <v>1.95841239</v>
      </c>
      <c r="R59" s="20" t="n">
        <v>0.7050692</v>
      </c>
    </row>
    <row r="60" spans="1:18">
      <c r="A60" s="15" t="s">
        <v>484</v>
      </c>
      <c r="B60" s="17" t="n">
        <v>4546</v>
      </c>
      <c r="C60" s="18">
        <f>(3786.0/B60*100)</f>
        <v/>
      </c>
      <c r="D60" s="19" t="n">
        <v>760</v>
      </c>
      <c r="E60" s="18" t="n">
        <v>32.81331919</v>
      </c>
      <c r="F60" s="20" t="n">
        <v>2.50583473</v>
      </c>
      <c r="G60" s="18" t="n">
        <v>50.75457528</v>
      </c>
      <c r="H60" s="20" t="n">
        <v>2.51590175</v>
      </c>
      <c r="I60" s="18" t="n">
        <v>0</v>
      </c>
      <c r="J60" s="20" t="n">
        <v>0</v>
      </c>
      <c r="K60" s="18" t="n">
        <v>6.67834423</v>
      </c>
      <c r="L60" s="20" t="n">
        <v>1.08246486</v>
      </c>
      <c r="M60" s="18" t="n">
        <v>0</v>
      </c>
      <c r="N60" s="20" t="n">
        <v>0</v>
      </c>
      <c r="O60" s="18" t="n">
        <v>2.92597909</v>
      </c>
      <c r="P60" s="20" t="n">
        <v>0.7420806599999999</v>
      </c>
      <c r="Q60" s="18" t="n">
        <v>6.82778221</v>
      </c>
      <c r="R60" s="20" t="n">
        <v>1.10136728</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20.6570875</v>
      </c>
      <c r="F63" s="20" t="n">
        <v>1.6518654</v>
      </c>
      <c r="G63" s="18" t="n">
        <v>70.76145769999999</v>
      </c>
      <c r="H63" s="20" t="n">
        <v>1.74449561</v>
      </c>
      <c r="I63" s="18" t="n">
        <v>0</v>
      </c>
      <c r="J63" s="20" t="n">
        <v>0</v>
      </c>
      <c r="K63" s="18" t="n">
        <v>3.37755067</v>
      </c>
      <c r="L63" s="20" t="n">
        <v>0.63139669</v>
      </c>
      <c r="M63" s="18" t="n">
        <v>0</v>
      </c>
      <c r="N63" s="20" t="n">
        <v>0</v>
      </c>
      <c r="O63" s="18" t="n">
        <v>0.66039443</v>
      </c>
      <c r="P63" s="20" t="n">
        <v>0.26308734</v>
      </c>
      <c r="Q63" s="18" t="n">
        <v>4.54350971</v>
      </c>
      <c r="R63" s="20" t="n">
        <v>0.75373546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17.61633486</v>
      </c>
      <c r="F65" s="20" t="n">
        <v>1.69288545</v>
      </c>
      <c r="G65" s="18" t="n">
        <v>77.14785508</v>
      </c>
      <c r="H65" s="20" t="n">
        <v>1.90168895</v>
      </c>
      <c r="I65" s="18" t="n">
        <v>0</v>
      </c>
      <c r="J65" s="20" t="n">
        <v>0</v>
      </c>
      <c r="K65" s="18" t="n">
        <v>3.37232698</v>
      </c>
      <c r="L65" s="20" t="n">
        <v>0.77479889</v>
      </c>
      <c r="M65" s="18" t="n">
        <v>0</v>
      </c>
      <c r="N65" s="20" t="n">
        <v>0</v>
      </c>
      <c r="O65" s="18" t="n">
        <v>0</v>
      </c>
      <c r="P65" s="20" t="n">
        <v>0</v>
      </c>
      <c r="Q65" s="18" t="n">
        <v>1.86348308</v>
      </c>
      <c r="R65" s="20" t="n">
        <v>0.57781411</v>
      </c>
    </row>
    <row r="66" spans="1:18">
      <c r="A66" s="15" t="s">
        <v>490</v>
      </c>
      <c r="B66" s="17" t="n">
        <v>5325</v>
      </c>
      <c r="C66" s="18">
        <f>(4438.0/B66*100)</f>
        <v/>
      </c>
      <c r="D66" s="19" t="n">
        <v>887</v>
      </c>
      <c r="E66" s="18" t="n">
        <v>13.67282068</v>
      </c>
      <c r="F66" s="20" t="n">
        <v>1.20018722</v>
      </c>
      <c r="G66" s="18" t="n">
        <v>79.48933921</v>
      </c>
      <c r="H66" s="20" t="n">
        <v>1.39756513</v>
      </c>
      <c r="I66" s="18" t="n">
        <v>0</v>
      </c>
      <c r="J66" s="20" t="n">
        <v>0</v>
      </c>
      <c r="K66" s="18" t="n">
        <v>3.7639643</v>
      </c>
      <c r="L66" s="20" t="n">
        <v>0.67925837</v>
      </c>
      <c r="M66" s="18" t="n">
        <v>1.20162133</v>
      </c>
      <c r="N66" s="20" t="n">
        <v>0.33743391</v>
      </c>
      <c r="O66" s="18" t="n">
        <v>0.10344894</v>
      </c>
      <c r="P66" s="20" t="n">
        <v>0.14554085</v>
      </c>
      <c r="Q66" s="18" t="n">
        <v>1.76880554</v>
      </c>
      <c r="R66" s="20" t="n">
        <v>0.42047011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8.37036795</v>
      </c>
      <c r="F69" s="20" t="n">
        <v>2.09706764</v>
      </c>
      <c r="G69" s="18" t="n">
        <v>56.42194052</v>
      </c>
      <c r="H69" s="20" t="n">
        <v>3.28973012</v>
      </c>
      <c r="I69" s="18" t="n">
        <v>0</v>
      </c>
      <c r="J69" s="20" t="n">
        <v>0</v>
      </c>
      <c r="K69" s="18" t="n">
        <v>0.91987684</v>
      </c>
      <c r="L69" s="20" t="n">
        <v>0.88945846</v>
      </c>
      <c r="M69" s="18" t="n">
        <v>0</v>
      </c>
      <c r="N69" s="20" t="n">
        <v>0</v>
      </c>
      <c r="O69" s="18" t="n">
        <v>0</v>
      </c>
      <c r="P69" s="20" t="n">
        <v>0</v>
      </c>
      <c r="Q69" s="18" t="n">
        <v>34.28781469</v>
      </c>
      <c r="R69" s="20" t="n">
        <v>2.95730412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40.80952389</v>
      </c>
      <c r="F71" s="20" t="n">
        <v>1.92292022</v>
      </c>
      <c r="G71" s="18" t="n">
        <v>58.82919955</v>
      </c>
      <c r="H71" s="20" t="n">
        <v>1.9351578</v>
      </c>
      <c r="I71" s="18" t="n">
        <v>0</v>
      </c>
      <c r="J71" s="20" t="n">
        <v>0</v>
      </c>
      <c r="K71" s="18" t="n">
        <v>0.12241202</v>
      </c>
      <c r="L71" s="20" t="n">
        <v>0.12197718</v>
      </c>
      <c r="M71" s="18" t="n">
        <v>0</v>
      </c>
      <c r="N71" s="20" t="n">
        <v>0</v>
      </c>
      <c r="O71" s="18" t="n">
        <v>0</v>
      </c>
      <c r="P71" s="20" t="n">
        <v>0</v>
      </c>
      <c r="Q71" s="18" t="n">
        <v>0.23886454</v>
      </c>
      <c r="R71" s="20" t="n">
        <v>0.16719953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14.60567707</v>
      </c>
      <c r="F76" s="20" t="n">
        <v>1.24071396</v>
      </c>
      <c r="G76" s="18" t="n">
        <v>77.90985065</v>
      </c>
      <c r="H76" s="20" t="n">
        <v>1.71325191</v>
      </c>
      <c r="I76" s="18" t="n">
        <v>0</v>
      </c>
      <c r="J76" s="20" t="n">
        <v>0</v>
      </c>
      <c r="K76" s="18" t="n">
        <v>6.21667148</v>
      </c>
      <c r="L76" s="20" t="n">
        <v>0.8642800899999999</v>
      </c>
      <c r="M76" s="18" t="n">
        <v>0</v>
      </c>
      <c r="N76" s="20" t="n">
        <v>0</v>
      </c>
      <c r="O76" s="18" t="n">
        <v>0</v>
      </c>
      <c r="P76" s="20" t="n">
        <v>0</v>
      </c>
      <c r="Q76" s="18" t="n">
        <v>1.26780081</v>
      </c>
      <c r="R76" s="20" t="n">
        <v>0.45153506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2.69734056</v>
      </c>
      <c r="F80" s="20" t="n">
        <v>0.60873535</v>
      </c>
      <c r="G80" s="18" t="n">
        <v>96.95843494</v>
      </c>
      <c r="H80" s="20" t="n">
        <v>0.66284448</v>
      </c>
      <c r="I80" s="18" t="n">
        <v>0</v>
      </c>
      <c r="J80" s="20" t="n">
        <v>0</v>
      </c>
      <c r="K80" s="18" t="n">
        <v>0</v>
      </c>
      <c r="L80" s="20" t="n">
        <v>0</v>
      </c>
      <c r="M80" s="18" t="n">
        <v>0</v>
      </c>
      <c r="N80" s="20" t="n">
        <v>0</v>
      </c>
      <c r="O80" s="18" t="n">
        <v>0</v>
      </c>
      <c r="P80" s="20" t="n">
        <v>0</v>
      </c>
      <c r="Q80" s="18" t="n">
        <v>0.34422451</v>
      </c>
      <c r="R80" s="20" t="n">
        <v>0.26252529</v>
      </c>
    </row>
    <row r="81" spans="1:18">
      <c r="A81" s="15" t="s">
        <v>505</v>
      </c>
      <c r="B81" s="17" t="n">
        <v>1657</v>
      </c>
      <c r="C81" s="18">
        <f>(1389.0/B81*100)</f>
        <v/>
      </c>
      <c r="D81" s="19" t="n">
        <v>268</v>
      </c>
      <c r="E81" s="18" t="n">
        <v>8.547020120000001</v>
      </c>
      <c r="F81" s="20" t="n">
        <v>1.63481896</v>
      </c>
      <c r="G81" s="18" t="n">
        <v>83.92581688999999</v>
      </c>
      <c r="H81" s="20" t="n">
        <v>2.04268917</v>
      </c>
      <c r="I81" s="18" t="n">
        <v>0</v>
      </c>
      <c r="J81" s="20" t="n">
        <v>0</v>
      </c>
      <c r="K81" s="18" t="n">
        <v>1.57355335</v>
      </c>
      <c r="L81" s="20" t="n">
        <v>0.73845037</v>
      </c>
      <c r="M81" s="18" t="n">
        <v>1.99526912</v>
      </c>
      <c r="N81" s="20" t="n">
        <v>0.74464076</v>
      </c>
      <c r="O81" s="18" t="n">
        <v>0.99157715</v>
      </c>
      <c r="P81" s="20" t="n">
        <v>0.59927716</v>
      </c>
      <c r="Q81" s="18" t="n">
        <v>2.96676337</v>
      </c>
      <c r="R81" s="20" t="n">
        <v>1.10367438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630</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(4337.0/B44*100)</f>
        <v/>
      </c>
      <c r="D44" s="19" t="n">
        <v>878</v>
      </c>
      <c r="E44" s="18" t="n">
        <v>27.34324935</v>
      </c>
      <c r="F44" s="20" t="n">
        <v>1.56214099</v>
      </c>
      <c r="G44" s="18" t="n">
        <v>40.27290218</v>
      </c>
      <c r="H44" s="20" t="n">
        <v>1.51887126</v>
      </c>
      <c r="I44" s="18" t="n">
        <v>16.12445152</v>
      </c>
      <c r="J44" s="20" t="n">
        <v>1.82736049</v>
      </c>
      <c r="K44" s="18" t="n">
        <v>0</v>
      </c>
      <c r="L44" s="20" t="n">
        <v>0</v>
      </c>
      <c r="M44" s="18" t="n">
        <v>3.34955644</v>
      </c>
      <c r="N44" s="20" t="n">
        <v>0.68048864</v>
      </c>
      <c r="O44" s="18" t="n">
        <v>0</v>
      </c>
      <c r="P44" s="20" t="n">
        <v>0</v>
      </c>
      <c r="Q44" s="18" t="n">
        <v>0</v>
      </c>
      <c r="R44" s="20" t="n">
        <v>0</v>
      </c>
      <c r="S44" s="18" t="n">
        <v>12.90984051</v>
      </c>
      <c r="T44" s="20" t="n">
        <v>1.22967237</v>
      </c>
    </row>
    <row r="45" spans="1:20">
      <c r="A45" s="15" t="s">
        <v>468</v>
      </c>
      <c r="B45" s="17" t="n">
        <v>5519</v>
      </c>
      <c r="C45" s="18">
        <f>(4590.0/B45*100)</f>
        <v/>
      </c>
      <c r="D45" s="19" t="n">
        <v>929</v>
      </c>
      <c r="E45" s="18" t="n">
        <v>50.47155907</v>
      </c>
      <c r="F45" s="20" t="n">
        <v>1.86797643</v>
      </c>
      <c r="G45" s="18" t="n">
        <v>24.94096427</v>
      </c>
      <c r="H45" s="20" t="n">
        <v>1.68509708</v>
      </c>
      <c r="I45" s="18" t="n">
        <v>7.94183087</v>
      </c>
      <c r="J45" s="20" t="n">
        <v>1.03629976</v>
      </c>
      <c r="K45" s="18" t="n">
        <v>0</v>
      </c>
      <c r="L45" s="20" t="n">
        <v>0</v>
      </c>
      <c r="M45" s="18" t="n">
        <v>6.40660312</v>
      </c>
      <c r="N45" s="20" t="n">
        <v>1.02574493</v>
      </c>
      <c r="O45" s="18" t="n">
        <v>0.52175046</v>
      </c>
      <c r="P45" s="20" t="n">
        <v>0.2340772</v>
      </c>
      <c r="Q45" s="18" t="n">
        <v>0</v>
      </c>
      <c r="R45" s="20" t="n">
        <v>0</v>
      </c>
      <c r="S45" s="18" t="n">
        <v>9.717292199999999</v>
      </c>
      <c r="T45" s="20" t="n">
        <v>1.19777517</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(4447.0/B54*100)</f>
        <v/>
      </c>
      <c r="D54" s="19" t="n">
        <v>869</v>
      </c>
      <c r="E54" s="18" t="n">
        <v>0</v>
      </c>
      <c r="F54" s="20" t="n">
        <v>0</v>
      </c>
      <c r="G54" s="18" t="n">
        <v>0</v>
      </c>
      <c r="H54" s="20" t="n">
        <v>0</v>
      </c>
      <c r="I54" s="18" t="n">
        <v>0</v>
      </c>
      <c r="J54" s="20" t="n">
        <v>0</v>
      </c>
      <c r="K54" s="18" t="n">
        <v>0</v>
      </c>
      <c r="L54" s="20" t="n">
        <v>0</v>
      </c>
      <c r="M54" s="18" t="n">
        <v>0</v>
      </c>
      <c r="N54" s="20" t="n">
        <v>0</v>
      </c>
      <c r="O54" s="18" t="n">
        <v>100</v>
      </c>
      <c r="P54" s="20" t="n">
        <v>0</v>
      </c>
      <c r="Q54" s="18" t="n">
        <v>0</v>
      </c>
      <c r="R54" s="20" t="n">
        <v>0</v>
      </c>
      <c r="S54" s="18" t="n">
        <v>0</v>
      </c>
      <c r="T54" s="20" t="n">
        <v>0</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(5405.0/B56*100)</f>
        <v/>
      </c>
      <c r="D56" s="19" t="n">
        <v>1108</v>
      </c>
      <c r="E56" s="18" t="n">
        <v>35.05640418</v>
      </c>
      <c r="F56" s="20" t="n">
        <v>1.69580536</v>
      </c>
      <c r="G56" s="18" t="n">
        <v>42.1029866</v>
      </c>
      <c r="H56" s="20" t="n">
        <v>1.8419983</v>
      </c>
      <c r="I56" s="18" t="n">
        <v>17.44522863</v>
      </c>
      <c r="J56" s="20" t="n">
        <v>1.20362563</v>
      </c>
      <c r="K56" s="18" t="n">
        <v>0</v>
      </c>
      <c r="L56" s="20" t="n">
        <v>0</v>
      </c>
      <c r="M56" s="18" t="n">
        <v>1.90831129</v>
      </c>
      <c r="N56" s="20" t="n">
        <v>0.54913567</v>
      </c>
      <c r="O56" s="18" t="n">
        <v>0</v>
      </c>
      <c r="P56" s="20" t="n">
        <v>0</v>
      </c>
      <c r="Q56" s="18" t="n">
        <v>0</v>
      </c>
      <c r="R56" s="20" t="n">
        <v>0</v>
      </c>
      <c r="S56" s="18" t="n">
        <v>3.4870693</v>
      </c>
      <c r="T56" s="20" t="n">
        <v>0.58102489</v>
      </c>
    </row>
    <row r="57" spans="1:20">
      <c r="A57" s="15" t="s">
        <v>480</v>
      </c>
      <c r="B57" s="17" t="n">
        <v>7267</v>
      </c>
      <c r="C57" s="18">
        <f>(6058.0/B57*100)</f>
        <v/>
      </c>
      <c r="D57" s="19" t="n">
        <v>1209</v>
      </c>
      <c r="E57" s="18" t="n">
        <v>22.81794353</v>
      </c>
      <c r="F57" s="20" t="n">
        <v>1.38285074</v>
      </c>
      <c r="G57" s="18" t="n">
        <v>35.84352372</v>
      </c>
      <c r="H57" s="20" t="n">
        <v>1.33093947</v>
      </c>
      <c r="I57" s="18" t="n">
        <v>30.06237653</v>
      </c>
      <c r="J57" s="20" t="n">
        <v>1.43286965</v>
      </c>
      <c r="K57" s="18" t="n">
        <v>0</v>
      </c>
      <c r="L57" s="20" t="n">
        <v>0</v>
      </c>
      <c r="M57" s="18" t="n">
        <v>3.06736731</v>
      </c>
      <c r="N57" s="20" t="n">
        <v>0.51678218</v>
      </c>
      <c r="O57" s="18" t="n">
        <v>0</v>
      </c>
      <c r="P57" s="20" t="n">
        <v>0</v>
      </c>
      <c r="Q57" s="18" t="n">
        <v>0</v>
      </c>
      <c r="R57" s="20" t="n">
        <v>0</v>
      </c>
      <c r="S57" s="18" t="n">
        <v>8.2087889</v>
      </c>
      <c r="T57" s="20" t="n">
        <v>0.99154888</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(4033.0/B59*100)</f>
        <v/>
      </c>
      <c r="D59" s="19" t="n">
        <v>793</v>
      </c>
      <c r="E59" s="18" t="n">
        <v>66.17696665</v>
      </c>
      <c r="F59" s="20" t="n">
        <v>1.89905857</v>
      </c>
      <c r="G59" s="18" t="n">
        <v>18.18906305</v>
      </c>
      <c r="H59" s="20" t="n">
        <v>1.6321899</v>
      </c>
      <c r="I59" s="18" t="n">
        <v>4.14196403</v>
      </c>
      <c r="J59" s="20" t="n">
        <v>1.14576954</v>
      </c>
      <c r="K59" s="18" t="n">
        <v>0</v>
      </c>
      <c r="L59" s="20" t="n">
        <v>0</v>
      </c>
      <c r="M59" s="18" t="n">
        <v>1.30455339</v>
      </c>
      <c r="N59" s="20" t="n">
        <v>0.52474518</v>
      </c>
      <c r="O59" s="18" t="n">
        <v>0</v>
      </c>
      <c r="P59" s="20" t="n">
        <v>0</v>
      </c>
      <c r="Q59" s="18" t="n">
        <v>0</v>
      </c>
      <c r="R59" s="20" t="n">
        <v>0</v>
      </c>
      <c r="S59" s="18" t="n">
        <v>10.18745288</v>
      </c>
      <c r="T59" s="20" t="n">
        <v>1.2022382</v>
      </c>
    </row>
    <row r="60" spans="1:20">
      <c r="A60" s="15" t="s">
        <v>484</v>
      </c>
      <c r="B60" s="17" t="n">
        <v>4546</v>
      </c>
      <c r="C60" s="18">
        <f>(3786.0/B60*100)</f>
        <v/>
      </c>
      <c r="D60" s="19" t="n">
        <v>760</v>
      </c>
      <c r="E60" s="18" t="n">
        <v>47.27028061</v>
      </c>
      <c r="F60" s="20" t="n">
        <v>1.85877731</v>
      </c>
      <c r="G60" s="18" t="n">
        <v>16.58950944</v>
      </c>
      <c r="H60" s="20" t="n">
        <v>1.29162446</v>
      </c>
      <c r="I60" s="18" t="n">
        <v>6.52236882</v>
      </c>
      <c r="J60" s="20" t="n">
        <v>0.74679552</v>
      </c>
      <c r="K60" s="18" t="n">
        <v>0</v>
      </c>
      <c r="L60" s="20" t="n">
        <v>0</v>
      </c>
      <c r="M60" s="18" t="n">
        <v>8.635405860000001</v>
      </c>
      <c r="N60" s="20" t="n">
        <v>1.12679833</v>
      </c>
      <c r="O60" s="18" t="n">
        <v>0</v>
      </c>
      <c r="P60" s="20" t="n">
        <v>0</v>
      </c>
      <c r="Q60" s="18" t="n">
        <v>0</v>
      </c>
      <c r="R60" s="20" t="n">
        <v>0</v>
      </c>
      <c r="S60" s="18" t="n">
        <v>20.98243526</v>
      </c>
      <c r="T60" s="20" t="n">
        <v>1.78845794</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(4440.0/B63*100)</f>
        <v/>
      </c>
      <c r="D63" s="19" t="n">
        <v>884</v>
      </c>
      <c r="E63" s="18" t="n">
        <v>30.03802376</v>
      </c>
      <c r="F63" s="20" t="n">
        <v>1.90514036</v>
      </c>
      <c r="G63" s="18" t="n">
        <v>29.7895764</v>
      </c>
      <c r="H63" s="20" t="n">
        <v>1.75431207</v>
      </c>
      <c r="I63" s="18" t="n">
        <v>9.08742179</v>
      </c>
      <c r="J63" s="20" t="n">
        <v>1.05443465</v>
      </c>
      <c r="K63" s="18" t="n">
        <v>0</v>
      </c>
      <c r="L63" s="20" t="n">
        <v>0</v>
      </c>
      <c r="M63" s="18" t="n">
        <v>4.74876491</v>
      </c>
      <c r="N63" s="20" t="n">
        <v>0.76630615</v>
      </c>
      <c r="O63" s="18" t="n">
        <v>0</v>
      </c>
      <c r="P63" s="20" t="n">
        <v>0</v>
      </c>
      <c r="Q63" s="18" t="n">
        <v>0</v>
      </c>
      <c r="R63" s="20" t="n">
        <v>0</v>
      </c>
      <c r="S63" s="18" t="n">
        <v>26.33621313</v>
      </c>
      <c r="T63" s="20" t="n">
        <v>1.57450299</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(3031.0/B65*100)</f>
        <v/>
      </c>
      <c r="D65" s="19" t="n">
        <v>603</v>
      </c>
      <c r="E65" s="18" t="n">
        <v>29.20729461</v>
      </c>
      <c r="F65" s="20" t="n">
        <v>1.7947703</v>
      </c>
      <c r="G65" s="18" t="n">
        <v>25.63079009</v>
      </c>
      <c r="H65" s="20" t="n">
        <v>1.6788916</v>
      </c>
      <c r="I65" s="18" t="n">
        <v>27.94343392</v>
      </c>
      <c r="J65" s="20" t="n">
        <v>1.74793985</v>
      </c>
      <c r="K65" s="18" t="n">
        <v>0</v>
      </c>
      <c r="L65" s="20" t="n">
        <v>0</v>
      </c>
      <c r="M65" s="18" t="n">
        <v>3.56628445</v>
      </c>
      <c r="N65" s="20" t="n">
        <v>0.79746206</v>
      </c>
      <c r="O65" s="18" t="n">
        <v>0</v>
      </c>
      <c r="P65" s="20" t="n">
        <v>0</v>
      </c>
      <c r="Q65" s="18" t="n">
        <v>0</v>
      </c>
      <c r="R65" s="20" t="n">
        <v>0</v>
      </c>
      <c r="S65" s="18" t="n">
        <v>13.65219694</v>
      </c>
      <c r="T65" s="20" t="n">
        <v>1.20776721</v>
      </c>
    </row>
    <row r="66" spans="1:20">
      <c r="A66" s="15" t="s">
        <v>490</v>
      </c>
      <c r="B66" s="17" t="n">
        <v>5325</v>
      </c>
      <c r="C66" s="18">
        <f>(4438.0/B66*100)</f>
        <v/>
      </c>
      <c r="D66" s="19" t="n">
        <v>887</v>
      </c>
      <c r="E66" s="18" t="n">
        <v>18.43085014</v>
      </c>
      <c r="F66" s="20" t="n">
        <v>1.19463672</v>
      </c>
      <c r="G66" s="18" t="n">
        <v>34.36273585</v>
      </c>
      <c r="H66" s="20" t="n">
        <v>1.50163012</v>
      </c>
      <c r="I66" s="18" t="n">
        <v>29.86215485</v>
      </c>
      <c r="J66" s="20" t="n">
        <v>1.66697714</v>
      </c>
      <c r="K66" s="18" t="n">
        <v>0</v>
      </c>
      <c r="L66" s="20" t="n">
        <v>0</v>
      </c>
      <c r="M66" s="18" t="n">
        <v>5.05217788</v>
      </c>
      <c r="N66" s="20" t="n">
        <v>0.84729385</v>
      </c>
      <c r="O66" s="18" t="n">
        <v>0</v>
      </c>
      <c r="P66" s="20" t="n">
        <v>0</v>
      </c>
      <c r="Q66" s="18" t="n">
        <v>0</v>
      </c>
      <c r="R66" s="20" t="n">
        <v>0</v>
      </c>
      <c r="S66" s="18" t="n">
        <v>12.29208128</v>
      </c>
      <c r="T66" s="20" t="n">
        <v>1.25470679</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(1175.0/B69*100)</f>
        <v/>
      </c>
      <c r="D69" s="19" t="n">
        <v>223</v>
      </c>
      <c r="E69" s="18" t="n">
        <v>19.85799099</v>
      </c>
      <c r="F69" s="20" t="n">
        <v>2.97601217</v>
      </c>
      <c r="G69" s="18" t="n">
        <v>42.44231734</v>
      </c>
      <c r="H69" s="20" t="n">
        <v>2.75036142</v>
      </c>
      <c r="I69" s="18" t="n">
        <v>29.69701393</v>
      </c>
      <c r="J69" s="20" t="n">
        <v>2.58512929</v>
      </c>
      <c r="K69" s="18" t="n">
        <v>0</v>
      </c>
      <c r="L69" s="20" t="n">
        <v>0</v>
      </c>
      <c r="M69" s="18" t="n">
        <v>0.91987684</v>
      </c>
      <c r="N69" s="20" t="n">
        <v>0.88945846</v>
      </c>
      <c r="O69" s="18" t="n">
        <v>0</v>
      </c>
      <c r="P69" s="20" t="n">
        <v>0</v>
      </c>
      <c r="Q69" s="18" t="n">
        <v>0</v>
      </c>
      <c r="R69" s="20" t="n">
        <v>0</v>
      </c>
      <c r="S69" s="18" t="n">
        <v>7.08280091</v>
      </c>
      <c r="T69" s="20" t="n">
        <v>2.17976958</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(4073.0/B71*100)</f>
        <v/>
      </c>
      <c r="D71" s="19" t="n">
        <v>803</v>
      </c>
      <c r="E71" s="18" t="n">
        <v>24.20667743</v>
      </c>
      <c r="F71" s="20" t="n">
        <v>1.66423878</v>
      </c>
      <c r="G71" s="18" t="n">
        <v>37.74644807</v>
      </c>
      <c r="H71" s="20" t="n">
        <v>1.87559614</v>
      </c>
      <c r="I71" s="18" t="n">
        <v>37.3534256</v>
      </c>
      <c r="J71" s="20" t="n">
        <v>2.10465677</v>
      </c>
      <c r="K71" s="18" t="n">
        <v>0</v>
      </c>
      <c r="L71" s="20" t="n">
        <v>0</v>
      </c>
      <c r="M71" s="18" t="n">
        <v>0.12241202</v>
      </c>
      <c r="N71" s="20" t="n">
        <v>0.12197718</v>
      </c>
      <c r="O71" s="18" t="n">
        <v>0</v>
      </c>
      <c r="P71" s="20" t="n">
        <v>0</v>
      </c>
      <c r="Q71" s="18" t="n">
        <v>0</v>
      </c>
      <c r="R71" s="20" t="n">
        <v>0</v>
      </c>
      <c r="S71" s="18" t="n">
        <v>0.57103687</v>
      </c>
      <c r="T71" s="20" t="n">
        <v>0.34130451</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(3892.0/B76*100)</f>
        <v/>
      </c>
      <c r="D76" s="19" t="n">
        <v>800</v>
      </c>
      <c r="E76" s="18" t="n">
        <v>28.30686191</v>
      </c>
      <c r="F76" s="20" t="n">
        <v>1.81890185</v>
      </c>
      <c r="G76" s="18" t="n">
        <v>37.05585189</v>
      </c>
      <c r="H76" s="20" t="n">
        <v>1.64753242</v>
      </c>
      <c r="I76" s="18" t="n">
        <v>12.78373024</v>
      </c>
      <c r="J76" s="20" t="n">
        <v>1.02874097</v>
      </c>
      <c r="K76" s="18" t="n">
        <v>0</v>
      </c>
      <c r="L76" s="20" t="n">
        <v>0</v>
      </c>
      <c r="M76" s="18" t="n">
        <v>8.238035500000001</v>
      </c>
      <c r="N76" s="20" t="n">
        <v>1.0309475</v>
      </c>
      <c r="O76" s="18" t="n">
        <v>0</v>
      </c>
      <c r="P76" s="20" t="n">
        <v>0</v>
      </c>
      <c r="Q76" s="18" t="n">
        <v>0</v>
      </c>
      <c r="R76" s="20" t="n">
        <v>0</v>
      </c>
      <c r="S76" s="18" t="n">
        <v>13.61552047</v>
      </c>
      <c r="T76" s="20" t="n">
        <v>1.5067013</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(4860.0/B80*100)</f>
        <v/>
      </c>
      <c r="D80" s="19" t="n">
        <v>966</v>
      </c>
      <c r="E80" s="18" t="n">
        <v>15.02848459</v>
      </c>
      <c r="F80" s="20" t="n">
        <v>1.3716372</v>
      </c>
      <c r="G80" s="18" t="n">
        <v>35.84848944</v>
      </c>
      <c r="H80" s="20" t="n">
        <v>1.7749764</v>
      </c>
      <c r="I80" s="18" t="n">
        <v>47.42666492</v>
      </c>
      <c r="J80" s="20" t="n">
        <v>2.07743071</v>
      </c>
      <c r="K80" s="18" t="n">
        <v>0</v>
      </c>
      <c r="L80" s="20" t="n">
        <v>0</v>
      </c>
      <c r="M80" s="18" t="n">
        <v>0</v>
      </c>
      <c r="N80" s="20" t="n">
        <v>0</v>
      </c>
      <c r="O80" s="18" t="n">
        <v>0</v>
      </c>
      <c r="P80" s="20" t="n">
        <v>0</v>
      </c>
      <c r="Q80" s="18" t="n">
        <v>0</v>
      </c>
      <c r="R80" s="20" t="n">
        <v>0</v>
      </c>
      <c r="S80" s="18" t="n">
        <v>1.69636105</v>
      </c>
      <c r="T80" s="20" t="n">
        <v>0.64203499</v>
      </c>
    </row>
    <row r="81" spans="1:20">
      <c r="A81" s="15" t="s">
        <v>505</v>
      </c>
      <c r="B81" s="17" t="n">
        <v>1657</v>
      </c>
      <c r="C81" s="18">
        <f>(1389.0/B81*100)</f>
        <v/>
      </c>
      <c r="D81" s="19" t="n">
        <v>268</v>
      </c>
      <c r="E81" s="18" t="n">
        <v>14.11637977</v>
      </c>
      <c r="F81" s="20" t="n">
        <v>2.80674628</v>
      </c>
      <c r="G81" s="18" t="n">
        <v>26.16082575</v>
      </c>
      <c r="H81" s="20" t="n">
        <v>2.95648803</v>
      </c>
      <c r="I81" s="18" t="n">
        <v>47.89635973</v>
      </c>
      <c r="J81" s="20" t="n">
        <v>3.49054176</v>
      </c>
      <c r="K81" s="18" t="n">
        <v>0</v>
      </c>
      <c r="L81" s="20" t="n">
        <v>0</v>
      </c>
      <c r="M81" s="18" t="n">
        <v>2.18323162</v>
      </c>
      <c r="N81" s="20" t="n">
        <v>1.02764083</v>
      </c>
      <c r="O81" s="18" t="n">
        <v>1.99526912</v>
      </c>
      <c r="P81" s="20" t="n">
        <v>0.74464076</v>
      </c>
      <c r="Q81" s="18" t="n">
        <v>0</v>
      </c>
      <c r="R81" s="20" t="n">
        <v>0</v>
      </c>
      <c r="S81" s="18" t="n">
        <v>7.64793401</v>
      </c>
      <c r="T81" s="20" t="n">
        <v>1.50929495</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631</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(4337.0/B44*100)</f>
        <v/>
      </c>
      <c r="D44" s="19" t="n">
        <v>878</v>
      </c>
      <c r="E44" s="18" t="n">
        <v>15.16689186</v>
      </c>
      <c r="F44" s="20" t="n">
        <v>1.39822432</v>
      </c>
      <c r="G44" s="18" t="n">
        <v>44.13909359</v>
      </c>
      <c r="H44" s="20" t="n">
        <v>1.53243658</v>
      </c>
      <c r="I44" s="18" t="n">
        <v>19.62171944</v>
      </c>
      <c r="J44" s="20" t="n">
        <v>1.42484056</v>
      </c>
      <c r="K44" s="18" t="n">
        <v>0</v>
      </c>
      <c r="L44" s="20" t="n">
        <v>0</v>
      </c>
      <c r="M44" s="18" t="n">
        <v>4.64604305</v>
      </c>
      <c r="N44" s="20" t="n">
        <v>0.72877646</v>
      </c>
      <c r="O44" s="18" t="n">
        <v>0</v>
      </c>
      <c r="P44" s="20" t="n">
        <v>0</v>
      </c>
      <c r="Q44" s="18" t="n">
        <v>0</v>
      </c>
      <c r="R44" s="20" t="n">
        <v>0</v>
      </c>
      <c r="S44" s="18" t="n">
        <v>16.42625206</v>
      </c>
      <c r="T44" s="20" t="n">
        <v>1.37652564</v>
      </c>
    </row>
    <row r="45" spans="1:20">
      <c r="A45" s="15" t="s">
        <v>468</v>
      </c>
      <c r="B45" s="17" t="n">
        <v>5519</v>
      </c>
      <c r="C45" s="18">
        <f>(4590.0/B45*100)</f>
        <v/>
      </c>
      <c r="D45" s="19" t="n">
        <v>929</v>
      </c>
      <c r="E45" s="18" t="n">
        <v>47.22831837</v>
      </c>
      <c r="F45" s="20" t="n">
        <v>1.76491432</v>
      </c>
      <c r="G45" s="18" t="n">
        <v>13.38588223</v>
      </c>
      <c r="H45" s="20" t="n">
        <v>1.42602103</v>
      </c>
      <c r="I45" s="18" t="n">
        <v>7.90857309</v>
      </c>
      <c r="J45" s="20" t="n">
        <v>1.12430657</v>
      </c>
      <c r="K45" s="18" t="n">
        <v>0</v>
      </c>
      <c r="L45" s="20" t="n">
        <v>0</v>
      </c>
      <c r="M45" s="18" t="n">
        <v>8.317557259999999</v>
      </c>
      <c r="N45" s="20" t="n">
        <v>1.07375544</v>
      </c>
      <c r="O45" s="18" t="n">
        <v>0.41015032</v>
      </c>
      <c r="P45" s="20" t="n">
        <v>0.19431166</v>
      </c>
      <c r="Q45" s="18" t="n">
        <v>0</v>
      </c>
      <c r="R45" s="20" t="n">
        <v>0</v>
      </c>
      <c r="S45" s="18" t="n">
        <v>22.74951873</v>
      </c>
      <c r="T45" s="20" t="n">
        <v>1.50224423</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(4447.0/B54*100)</f>
        <v/>
      </c>
      <c r="D54" s="19" t="n">
        <v>869</v>
      </c>
      <c r="E54" s="18" t="n">
        <v>21.18800645</v>
      </c>
      <c r="F54" s="20" t="n">
        <v>1.64919343</v>
      </c>
      <c r="G54" s="18" t="n">
        <v>6.76305202</v>
      </c>
      <c r="H54" s="20" t="n">
        <v>0.94537657</v>
      </c>
      <c r="I54" s="18" t="n">
        <v>45.4705969</v>
      </c>
      <c r="J54" s="20" t="n">
        <v>1.73129575</v>
      </c>
      <c r="K54" s="18" t="n">
        <v>0</v>
      </c>
      <c r="L54" s="20" t="n">
        <v>0</v>
      </c>
      <c r="M54" s="18" t="n">
        <v>3.30686139</v>
      </c>
      <c r="N54" s="20" t="n">
        <v>0.52021693</v>
      </c>
      <c r="O54" s="18" t="n">
        <v>0</v>
      </c>
      <c r="P54" s="20" t="n">
        <v>0</v>
      </c>
      <c r="Q54" s="18" t="n">
        <v>0.24915489</v>
      </c>
      <c r="R54" s="20" t="n">
        <v>0.17277902</v>
      </c>
      <c r="S54" s="18" t="n">
        <v>23.02232835</v>
      </c>
      <c r="T54" s="20" t="n">
        <v>1.54023661</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(5405.0/B56*100)</f>
        <v/>
      </c>
      <c r="D56" s="19" t="n">
        <v>1108</v>
      </c>
      <c r="E56" s="18" t="n">
        <v>40.68709695</v>
      </c>
      <c r="F56" s="20" t="n">
        <v>1.62738032</v>
      </c>
      <c r="G56" s="18" t="n">
        <v>33.07043658</v>
      </c>
      <c r="H56" s="20" t="n">
        <v>1.62900589</v>
      </c>
      <c r="I56" s="18" t="n">
        <v>18.40801993</v>
      </c>
      <c r="J56" s="20" t="n">
        <v>1.12301967</v>
      </c>
      <c r="K56" s="18" t="n">
        <v>0</v>
      </c>
      <c r="L56" s="20" t="n">
        <v>0</v>
      </c>
      <c r="M56" s="18" t="n">
        <v>2.39088111</v>
      </c>
      <c r="N56" s="20" t="n">
        <v>0.58002153</v>
      </c>
      <c r="O56" s="18" t="n">
        <v>0</v>
      </c>
      <c r="P56" s="20" t="n">
        <v>0</v>
      </c>
      <c r="Q56" s="18" t="n">
        <v>0</v>
      </c>
      <c r="R56" s="20" t="n">
        <v>0</v>
      </c>
      <c r="S56" s="18" t="n">
        <v>5.44356543</v>
      </c>
      <c r="T56" s="20" t="n">
        <v>0.8486553999999999</v>
      </c>
    </row>
    <row r="57" spans="1:20">
      <c r="A57" s="15" t="s">
        <v>480</v>
      </c>
      <c r="B57" s="17" t="n">
        <v>7267</v>
      </c>
      <c r="C57" s="18">
        <f>(6058.0/B57*100)</f>
        <v/>
      </c>
      <c r="D57" s="19" t="n">
        <v>1209</v>
      </c>
      <c r="E57" s="18" t="n">
        <v>18.78964027</v>
      </c>
      <c r="F57" s="20" t="n">
        <v>1.26495029</v>
      </c>
      <c r="G57" s="18" t="n">
        <v>34.51384858</v>
      </c>
      <c r="H57" s="20" t="n">
        <v>1.70780939</v>
      </c>
      <c r="I57" s="18" t="n">
        <v>25.62152903</v>
      </c>
      <c r="J57" s="20" t="n">
        <v>1.48329377</v>
      </c>
      <c r="K57" s="18" t="n">
        <v>0</v>
      </c>
      <c r="L57" s="20" t="n">
        <v>0</v>
      </c>
      <c r="M57" s="18" t="n">
        <v>3.59872557</v>
      </c>
      <c r="N57" s="20" t="n">
        <v>0.60595173</v>
      </c>
      <c r="O57" s="18" t="n">
        <v>0</v>
      </c>
      <c r="P57" s="20" t="n">
        <v>0</v>
      </c>
      <c r="Q57" s="18" t="n">
        <v>0</v>
      </c>
      <c r="R57" s="20" t="n">
        <v>0</v>
      </c>
      <c r="S57" s="18" t="n">
        <v>17.47625656</v>
      </c>
      <c r="T57" s="20" t="n">
        <v>1.69675362</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(4033.0/B59*100)</f>
        <v/>
      </c>
      <c r="D59" s="19" t="n">
        <v>793</v>
      </c>
      <c r="E59" s="18" t="n">
        <v>56.79942465</v>
      </c>
      <c r="F59" s="20" t="n">
        <v>2.18604195</v>
      </c>
      <c r="G59" s="18" t="n">
        <v>16.46220557</v>
      </c>
      <c r="H59" s="20" t="n">
        <v>1.82614231</v>
      </c>
      <c r="I59" s="18" t="n">
        <v>7.16836706</v>
      </c>
      <c r="J59" s="20" t="n">
        <v>1.25341537</v>
      </c>
      <c r="K59" s="18" t="n">
        <v>0</v>
      </c>
      <c r="L59" s="20" t="n">
        <v>0</v>
      </c>
      <c r="M59" s="18" t="n">
        <v>1.46203569</v>
      </c>
      <c r="N59" s="20" t="n">
        <v>0.48671417</v>
      </c>
      <c r="O59" s="18" t="n">
        <v>0</v>
      </c>
      <c r="P59" s="20" t="n">
        <v>0</v>
      </c>
      <c r="Q59" s="18" t="n">
        <v>0.05088307</v>
      </c>
      <c r="R59" s="20" t="n">
        <v>0.05105383</v>
      </c>
      <c r="S59" s="18" t="n">
        <v>18.05708395</v>
      </c>
      <c r="T59" s="20" t="n">
        <v>1.61731255</v>
      </c>
    </row>
    <row r="60" spans="1:20">
      <c r="A60" s="15" t="s">
        <v>484</v>
      </c>
      <c r="B60" s="17" t="n">
        <v>4546</v>
      </c>
      <c r="C60" s="18">
        <f>(3786.0/B60*100)</f>
        <v/>
      </c>
      <c r="D60" s="19" t="n">
        <v>760</v>
      </c>
      <c r="E60" s="18" t="n">
        <v>29.57615721</v>
      </c>
      <c r="F60" s="20" t="n">
        <v>2.09212293</v>
      </c>
      <c r="G60" s="18" t="n">
        <v>14.37458705</v>
      </c>
      <c r="H60" s="20" t="n">
        <v>1.40740426</v>
      </c>
      <c r="I60" s="18" t="n">
        <v>9.131516360000001</v>
      </c>
      <c r="J60" s="20" t="n">
        <v>0.89335566</v>
      </c>
      <c r="K60" s="18" t="n">
        <v>0</v>
      </c>
      <c r="L60" s="20" t="n">
        <v>0</v>
      </c>
      <c r="M60" s="18" t="n">
        <v>10.46493997</v>
      </c>
      <c r="N60" s="20" t="n">
        <v>1.18570904</v>
      </c>
      <c r="O60" s="18" t="n">
        <v>0</v>
      </c>
      <c r="P60" s="20" t="n">
        <v>0</v>
      </c>
      <c r="Q60" s="18" t="n">
        <v>0</v>
      </c>
      <c r="R60" s="20" t="n">
        <v>0</v>
      </c>
      <c r="S60" s="18" t="n">
        <v>36.45279942</v>
      </c>
      <c r="T60" s="20" t="n">
        <v>2.48449711</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(4440.0/B63*100)</f>
        <v/>
      </c>
      <c r="D63" s="19" t="n">
        <v>884</v>
      </c>
      <c r="E63" s="18" t="n">
        <v>25.99267034</v>
      </c>
      <c r="F63" s="20" t="n">
        <v>1.57912799</v>
      </c>
      <c r="G63" s="18" t="n">
        <v>19.27207425</v>
      </c>
      <c r="H63" s="20" t="n">
        <v>1.42841944</v>
      </c>
      <c r="I63" s="18" t="n">
        <v>10.95411641</v>
      </c>
      <c r="J63" s="20" t="n">
        <v>1.26933619</v>
      </c>
      <c r="K63" s="18" t="n">
        <v>0</v>
      </c>
      <c r="L63" s="20" t="n">
        <v>0</v>
      </c>
      <c r="M63" s="18" t="n">
        <v>5.16857827</v>
      </c>
      <c r="N63" s="20" t="n">
        <v>0.74277412</v>
      </c>
      <c r="O63" s="18" t="n">
        <v>0</v>
      </c>
      <c r="P63" s="20" t="n">
        <v>0</v>
      </c>
      <c r="Q63" s="18" t="n">
        <v>0</v>
      </c>
      <c r="R63" s="20" t="n">
        <v>0</v>
      </c>
      <c r="S63" s="18" t="n">
        <v>38.61256073</v>
      </c>
      <c r="T63" s="20" t="n">
        <v>1.66602494</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(3031.0/B65*100)</f>
        <v/>
      </c>
      <c r="D65" s="19" t="n">
        <v>603</v>
      </c>
      <c r="E65" s="18" t="n">
        <v>20.57573728</v>
      </c>
      <c r="F65" s="20" t="n">
        <v>1.52072329</v>
      </c>
      <c r="G65" s="18" t="n">
        <v>13.30407409</v>
      </c>
      <c r="H65" s="20" t="n">
        <v>1.18609035</v>
      </c>
      <c r="I65" s="18" t="n">
        <v>44.74384271</v>
      </c>
      <c r="J65" s="20" t="n">
        <v>1.85443777</v>
      </c>
      <c r="K65" s="18" t="n">
        <v>0</v>
      </c>
      <c r="L65" s="20" t="n">
        <v>0</v>
      </c>
      <c r="M65" s="18" t="n">
        <v>4.10711612</v>
      </c>
      <c r="N65" s="20" t="n">
        <v>0.84757984</v>
      </c>
      <c r="O65" s="18" t="n">
        <v>0</v>
      </c>
      <c r="P65" s="20" t="n">
        <v>0</v>
      </c>
      <c r="Q65" s="18" t="n">
        <v>0.36132024</v>
      </c>
      <c r="R65" s="20" t="n">
        <v>0.25402215</v>
      </c>
      <c r="S65" s="18" t="n">
        <v>16.90790955</v>
      </c>
      <c r="T65" s="20" t="n">
        <v>1.31472158</v>
      </c>
    </row>
    <row r="66" spans="1:20">
      <c r="A66" s="15" t="s">
        <v>490</v>
      </c>
      <c r="B66" s="17" t="n">
        <v>5325</v>
      </c>
      <c r="C66" s="18">
        <f>(4438.0/B66*100)</f>
        <v/>
      </c>
      <c r="D66" s="19" t="n">
        <v>887</v>
      </c>
      <c r="E66" s="18" t="n">
        <v>12.07007412</v>
      </c>
      <c r="F66" s="20" t="n">
        <v>1.09757318</v>
      </c>
      <c r="G66" s="18" t="n">
        <v>18.34336499</v>
      </c>
      <c r="H66" s="20" t="n">
        <v>1.2596102</v>
      </c>
      <c r="I66" s="18" t="n">
        <v>38.62344618</v>
      </c>
      <c r="J66" s="20" t="n">
        <v>1.55793115</v>
      </c>
      <c r="K66" s="18" t="n">
        <v>0</v>
      </c>
      <c r="L66" s="20" t="n">
        <v>0</v>
      </c>
      <c r="M66" s="18" t="n">
        <v>6.59774713</v>
      </c>
      <c r="N66" s="20" t="n">
        <v>0.9780514300000001</v>
      </c>
      <c r="O66" s="18" t="n">
        <v>0.07354075</v>
      </c>
      <c r="P66" s="20" t="n">
        <v>0.07949383</v>
      </c>
      <c r="Q66" s="18" t="n">
        <v>0</v>
      </c>
      <c r="R66" s="20" t="n">
        <v>0</v>
      </c>
      <c r="S66" s="18" t="n">
        <v>24.29182683</v>
      </c>
      <c r="T66" s="20" t="n">
        <v>1.58376784</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(1175.0/B69*100)</f>
        <v/>
      </c>
      <c r="D69" s="19" t="n">
        <v>223</v>
      </c>
      <c r="E69" s="18" t="n">
        <v>34.00392826</v>
      </c>
      <c r="F69" s="20" t="n">
        <v>3.07648003</v>
      </c>
      <c r="G69" s="18" t="n">
        <v>9.416710200000001</v>
      </c>
      <c r="H69" s="20" t="n">
        <v>1.77428345</v>
      </c>
      <c r="I69" s="18" t="n">
        <v>45.62543442</v>
      </c>
      <c r="J69" s="20" t="n">
        <v>3.04772862</v>
      </c>
      <c r="K69" s="18" t="n">
        <v>0</v>
      </c>
      <c r="L69" s="20" t="n">
        <v>0</v>
      </c>
      <c r="M69" s="18" t="n">
        <v>0.91987684</v>
      </c>
      <c r="N69" s="20" t="n">
        <v>0.88945846</v>
      </c>
      <c r="O69" s="18" t="n">
        <v>0</v>
      </c>
      <c r="P69" s="20" t="n">
        <v>0</v>
      </c>
      <c r="Q69" s="18" t="n">
        <v>0</v>
      </c>
      <c r="R69" s="20" t="n">
        <v>0</v>
      </c>
      <c r="S69" s="18" t="n">
        <v>10.03405029</v>
      </c>
      <c r="T69" s="20" t="n">
        <v>2.3087537</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(4073.0/B71*100)</f>
        <v/>
      </c>
      <c r="D71" s="19" t="n">
        <v>803</v>
      </c>
      <c r="E71" s="18" t="n">
        <v>26.43000147</v>
      </c>
      <c r="F71" s="20" t="n">
        <v>1.96226084</v>
      </c>
      <c r="G71" s="18" t="n">
        <v>27.76017274</v>
      </c>
      <c r="H71" s="20" t="n">
        <v>1.56906166</v>
      </c>
      <c r="I71" s="18" t="n">
        <v>42.93413901</v>
      </c>
      <c r="J71" s="20" t="n">
        <v>2.12138283</v>
      </c>
      <c r="K71" s="18" t="n">
        <v>0</v>
      </c>
      <c r="L71" s="20" t="n">
        <v>0</v>
      </c>
      <c r="M71" s="18" t="n">
        <v>0.12241202</v>
      </c>
      <c r="N71" s="20" t="n">
        <v>0.12197718</v>
      </c>
      <c r="O71" s="18" t="n">
        <v>0</v>
      </c>
      <c r="P71" s="20" t="n">
        <v>0</v>
      </c>
      <c r="Q71" s="18" t="n">
        <v>0</v>
      </c>
      <c r="R71" s="20" t="n">
        <v>0</v>
      </c>
      <c r="S71" s="18" t="n">
        <v>2.75327476</v>
      </c>
      <c r="T71" s="20" t="n">
        <v>0.72367785</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(3892.0/B76*100)</f>
        <v/>
      </c>
      <c r="D76" s="19" t="n">
        <v>800</v>
      </c>
      <c r="E76" s="18" t="n">
        <v>27.8824774</v>
      </c>
      <c r="F76" s="20" t="n">
        <v>1.87411186</v>
      </c>
      <c r="G76" s="18" t="n">
        <v>13.50866209</v>
      </c>
      <c r="H76" s="20" t="n">
        <v>1.30065094</v>
      </c>
      <c r="I76" s="18" t="n">
        <v>24.98771086</v>
      </c>
      <c r="J76" s="20" t="n">
        <v>1.43263529</v>
      </c>
      <c r="K76" s="18" t="n">
        <v>0</v>
      </c>
      <c r="L76" s="20" t="n">
        <v>0</v>
      </c>
      <c r="M76" s="18" t="n">
        <v>9.898753839999999</v>
      </c>
      <c r="N76" s="20" t="n">
        <v>1.17806201</v>
      </c>
      <c r="O76" s="18" t="n">
        <v>0</v>
      </c>
      <c r="P76" s="20" t="n">
        <v>0</v>
      </c>
      <c r="Q76" s="18" t="n">
        <v>0</v>
      </c>
      <c r="R76" s="20" t="n">
        <v>0</v>
      </c>
      <c r="S76" s="18" t="n">
        <v>23.7223958</v>
      </c>
      <c r="T76" s="20" t="n">
        <v>1.63965155</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(4860.0/B80*100)</f>
        <v/>
      </c>
      <c r="D80" s="19" t="n">
        <v>966</v>
      </c>
      <c r="E80" s="18" t="n">
        <v>17.90826783</v>
      </c>
      <c r="F80" s="20" t="n">
        <v>1.58345947</v>
      </c>
      <c r="G80" s="18" t="n">
        <v>21.02194828</v>
      </c>
      <c r="H80" s="20" t="n">
        <v>1.54673314</v>
      </c>
      <c r="I80" s="18" t="n">
        <v>59.06311172</v>
      </c>
      <c r="J80" s="20" t="n">
        <v>2.16417996</v>
      </c>
      <c r="K80" s="18" t="n">
        <v>0</v>
      </c>
      <c r="L80" s="20" t="n">
        <v>0</v>
      </c>
      <c r="M80" s="18" t="n">
        <v>0</v>
      </c>
      <c r="N80" s="20" t="n">
        <v>0</v>
      </c>
      <c r="O80" s="18" t="n">
        <v>0</v>
      </c>
      <c r="P80" s="20" t="n">
        <v>0</v>
      </c>
      <c r="Q80" s="18" t="n">
        <v>0</v>
      </c>
      <c r="R80" s="20" t="n">
        <v>0</v>
      </c>
      <c r="S80" s="18" t="n">
        <v>2.00667216</v>
      </c>
      <c r="T80" s="20" t="n">
        <v>0.59582916</v>
      </c>
    </row>
    <row r="81" spans="1:20">
      <c r="A81" s="15" t="s">
        <v>505</v>
      </c>
      <c r="B81" s="17" t="n">
        <v>1657</v>
      </c>
      <c r="C81" s="18">
        <f>(1389.0/B81*100)</f>
        <v/>
      </c>
      <c r="D81" s="19" t="n">
        <v>268</v>
      </c>
      <c r="E81" s="18" t="n">
        <v>13.1726653</v>
      </c>
      <c r="F81" s="20" t="n">
        <v>2.59509058</v>
      </c>
      <c r="G81" s="18" t="n">
        <v>17.10538732</v>
      </c>
      <c r="H81" s="20" t="n">
        <v>1.88138033</v>
      </c>
      <c r="I81" s="18" t="n">
        <v>54.78387088</v>
      </c>
      <c r="J81" s="20" t="n">
        <v>3.11333165</v>
      </c>
      <c r="K81" s="18" t="n">
        <v>0</v>
      </c>
      <c r="L81" s="20" t="n">
        <v>0</v>
      </c>
      <c r="M81" s="18" t="n">
        <v>3.5994485</v>
      </c>
      <c r="N81" s="20" t="n">
        <v>1.29686122</v>
      </c>
      <c r="O81" s="18" t="n">
        <v>1.99526912</v>
      </c>
      <c r="P81" s="20" t="n">
        <v>0.74464076</v>
      </c>
      <c r="Q81" s="18" t="n">
        <v>0</v>
      </c>
      <c r="R81" s="20" t="n">
        <v>0</v>
      </c>
      <c r="S81" s="18" t="n">
        <v>9.343358869999999</v>
      </c>
      <c r="T81" s="20" t="n">
        <v>1.74888545</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53.56809001</v>
      </c>
      <c r="F44" s="20" t="n">
        <v>2.43692738</v>
      </c>
      <c r="G44" s="18" t="n">
        <v>7.57833768</v>
      </c>
      <c r="H44" s="20" t="n">
        <v>1.14200655</v>
      </c>
      <c r="I44" s="18" t="n">
        <v>0</v>
      </c>
      <c r="J44" s="20" t="n">
        <v>0</v>
      </c>
      <c r="K44" s="18" t="n">
        <v>5.81788493</v>
      </c>
      <c r="L44" s="20" t="n">
        <v>0.85473274</v>
      </c>
      <c r="M44" s="18" t="n">
        <v>0</v>
      </c>
      <c r="N44" s="20" t="n">
        <v>0</v>
      </c>
      <c r="O44" s="18" t="n">
        <v>0</v>
      </c>
      <c r="P44" s="20" t="n">
        <v>0</v>
      </c>
      <c r="Q44" s="18" t="n">
        <v>33.03568739</v>
      </c>
      <c r="R44" s="20" t="n">
        <v>2.201533</v>
      </c>
    </row>
    <row r="45" spans="1:18">
      <c r="A45" s="15" t="s">
        <v>468</v>
      </c>
      <c r="B45" s="17" t="n">
        <v>5519</v>
      </c>
      <c r="C45" s="18">
        <f>(4590.0/B45*100)</f>
        <v/>
      </c>
      <c r="D45" s="19" t="n">
        <v>929</v>
      </c>
      <c r="E45" s="18" t="n">
        <v>50.9630326</v>
      </c>
      <c r="F45" s="20" t="n">
        <v>2.06130538</v>
      </c>
      <c r="G45" s="18" t="n">
        <v>1.3901948</v>
      </c>
      <c r="H45" s="20" t="n">
        <v>0.42584969</v>
      </c>
      <c r="I45" s="18" t="n">
        <v>0</v>
      </c>
      <c r="J45" s="20" t="n">
        <v>0</v>
      </c>
      <c r="K45" s="18" t="n">
        <v>10.17130698</v>
      </c>
      <c r="L45" s="20" t="n">
        <v>1.15716023</v>
      </c>
      <c r="M45" s="18" t="n">
        <v>0.76143111</v>
      </c>
      <c r="N45" s="20" t="n">
        <v>0.26059991</v>
      </c>
      <c r="O45" s="18" t="n">
        <v>0.25816262</v>
      </c>
      <c r="P45" s="20" t="n">
        <v>0.1977926</v>
      </c>
      <c r="Q45" s="18" t="n">
        <v>36.45587189</v>
      </c>
      <c r="R45" s="20" t="n">
        <v>1.81260003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47.84504696</v>
      </c>
      <c r="F54" s="20" t="n">
        <v>1.77755716</v>
      </c>
      <c r="G54" s="18" t="n">
        <v>7.24895892</v>
      </c>
      <c r="H54" s="20" t="n">
        <v>0.9507891000000001</v>
      </c>
      <c r="I54" s="18" t="n">
        <v>0</v>
      </c>
      <c r="J54" s="20" t="n">
        <v>0</v>
      </c>
      <c r="K54" s="18" t="n">
        <v>4.25718227</v>
      </c>
      <c r="L54" s="20" t="n">
        <v>0.6189969</v>
      </c>
      <c r="M54" s="18" t="n">
        <v>0</v>
      </c>
      <c r="N54" s="20" t="n">
        <v>0</v>
      </c>
      <c r="O54" s="18" t="n">
        <v>0.24915489</v>
      </c>
      <c r="P54" s="20" t="n">
        <v>0.17277902</v>
      </c>
      <c r="Q54" s="18" t="n">
        <v>40.39965697</v>
      </c>
      <c r="R54" s="20" t="n">
        <v>1.85174427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66.41949823</v>
      </c>
      <c r="F56" s="20" t="n">
        <v>1.70839197</v>
      </c>
      <c r="G56" s="18" t="n">
        <v>19.76188246</v>
      </c>
      <c r="H56" s="20" t="n">
        <v>1.07442252</v>
      </c>
      <c r="I56" s="18" t="n">
        <v>0</v>
      </c>
      <c r="J56" s="20" t="n">
        <v>0</v>
      </c>
      <c r="K56" s="18" t="n">
        <v>3.5920319</v>
      </c>
      <c r="L56" s="20" t="n">
        <v>0.66824613</v>
      </c>
      <c r="M56" s="18" t="n">
        <v>0</v>
      </c>
      <c r="N56" s="20" t="n">
        <v>0</v>
      </c>
      <c r="O56" s="18" t="n">
        <v>0</v>
      </c>
      <c r="P56" s="20" t="n">
        <v>0</v>
      </c>
      <c r="Q56" s="18" t="n">
        <v>10.22658741</v>
      </c>
      <c r="R56" s="20" t="n">
        <v>1.20531357</v>
      </c>
    </row>
    <row r="57" spans="1:18">
      <c r="A57" s="15" t="s">
        <v>480</v>
      </c>
      <c r="B57" s="17" t="n">
        <v>7267</v>
      </c>
      <c r="C57" s="18">
        <f>(6058.0/B57*100)</f>
        <v/>
      </c>
      <c r="D57" s="19" t="n">
        <v>1209</v>
      </c>
      <c r="E57" s="18" t="n">
        <v>57.20416324</v>
      </c>
      <c r="F57" s="20" t="n">
        <v>1.50375813</v>
      </c>
      <c r="G57" s="18" t="n">
        <v>14.83720869</v>
      </c>
      <c r="H57" s="20" t="n">
        <v>1.28006744</v>
      </c>
      <c r="I57" s="18" t="n">
        <v>0</v>
      </c>
      <c r="J57" s="20" t="n">
        <v>0</v>
      </c>
      <c r="K57" s="18" t="n">
        <v>5.01645034</v>
      </c>
      <c r="L57" s="20" t="n">
        <v>0.74413321</v>
      </c>
      <c r="M57" s="18" t="n">
        <v>0</v>
      </c>
      <c r="N57" s="20" t="n">
        <v>0</v>
      </c>
      <c r="O57" s="18" t="n">
        <v>0</v>
      </c>
      <c r="P57" s="20" t="n">
        <v>0</v>
      </c>
      <c r="Q57" s="18" t="n">
        <v>22.94217773</v>
      </c>
      <c r="R57" s="20" t="n">
        <v>1.55228373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66.60060611999999</v>
      </c>
      <c r="F59" s="20" t="n">
        <v>2.06978028</v>
      </c>
      <c r="G59" s="18" t="n">
        <v>4.14303793</v>
      </c>
      <c r="H59" s="20" t="n">
        <v>0.88128895</v>
      </c>
      <c r="I59" s="18" t="n">
        <v>0</v>
      </c>
      <c r="J59" s="20" t="n">
        <v>0</v>
      </c>
      <c r="K59" s="18" t="n">
        <v>1.6095365</v>
      </c>
      <c r="L59" s="20" t="n">
        <v>0.5157333200000001</v>
      </c>
      <c r="M59" s="18" t="n">
        <v>0</v>
      </c>
      <c r="N59" s="20" t="n">
        <v>0</v>
      </c>
      <c r="O59" s="18" t="n">
        <v>0.09155603</v>
      </c>
      <c r="P59" s="20" t="n">
        <v>0.09195734</v>
      </c>
      <c r="Q59" s="18" t="n">
        <v>27.55526342</v>
      </c>
      <c r="R59" s="20" t="n">
        <v>1.99698467</v>
      </c>
    </row>
    <row r="60" spans="1:18">
      <c r="A60" s="15" t="s">
        <v>484</v>
      </c>
      <c r="B60" s="17" t="n">
        <v>4546</v>
      </c>
      <c r="C60" s="18">
        <f>(3786.0/B60*100)</f>
        <v/>
      </c>
      <c r="D60" s="19" t="n">
        <v>760</v>
      </c>
      <c r="E60" s="18" t="n">
        <v>42.45669707</v>
      </c>
      <c r="F60" s="20" t="n">
        <v>1.88322355</v>
      </c>
      <c r="G60" s="18" t="n">
        <v>5.14845542</v>
      </c>
      <c r="H60" s="20" t="n">
        <v>0.87004847</v>
      </c>
      <c r="I60" s="18" t="n">
        <v>0</v>
      </c>
      <c r="J60" s="20" t="n">
        <v>0</v>
      </c>
      <c r="K60" s="18" t="n">
        <v>11.60167901</v>
      </c>
      <c r="L60" s="20" t="n">
        <v>1.26839279</v>
      </c>
      <c r="M60" s="18" t="n">
        <v>0</v>
      </c>
      <c r="N60" s="20" t="n">
        <v>0</v>
      </c>
      <c r="O60" s="18" t="n">
        <v>0</v>
      </c>
      <c r="P60" s="20" t="n">
        <v>0</v>
      </c>
      <c r="Q60" s="18" t="n">
        <v>40.7931685</v>
      </c>
      <c r="R60" s="20" t="n">
        <v>1.86168642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39.4164437</v>
      </c>
      <c r="F63" s="20" t="n">
        <v>1.7730299</v>
      </c>
      <c r="G63" s="18" t="n">
        <v>3.99361768</v>
      </c>
      <c r="H63" s="20" t="n">
        <v>0.69960118</v>
      </c>
      <c r="I63" s="18" t="n">
        <v>0</v>
      </c>
      <c r="J63" s="20" t="n">
        <v>0</v>
      </c>
      <c r="K63" s="18" t="n">
        <v>5.78741499</v>
      </c>
      <c r="L63" s="20" t="n">
        <v>0.79134774</v>
      </c>
      <c r="M63" s="18" t="n">
        <v>0</v>
      </c>
      <c r="N63" s="20" t="n">
        <v>0</v>
      </c>
      <c r="O63" s="18" t="n">
        <v>0</v>
      </c>
      <c r="P63" s="20" t="n">
        <v>0</v>
      </c>
      <c r="Q63" s="18" t="n">
        <v>50.80252364</v>
      </c>
      <c r="R63" s="20" t="n">
        <v>1.79958651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55.36299783</v>
      </c>
      <c r="F65" s="20" t="n">
        <v>2.10901307</v>
      </c>
      <c r="G65" s="18" t="n">
        <v>10.69154445</v>
      </c>
      <c r="H65" s="20" t="n">
        <v>1.04653588</v>
      </c>
      <c r="I65" s="18" t="n">
        <v>0</v>
      </c>
      <c r="J65" s="20" t="n">
        <v>0</v>
      </c>
      <c r="K65" s="18" t="n">
        <v>5.04674724</v>
      </c>
      <c r="L65" s="20" t="n">
        <v>0.92591217</v>
      </c>
      <c r="M65" s="18" t="n">
        <v>0</v>
      </c>
      <c r="N65" s="20" t="n">
        <v>0</v>
      </c>
      <c r="O65" s="18" t="n">
        <v>0</v>
      </c>
      <c r="P65" s="20" t="n">
        <v>0</v>
      </c>
      <c r="Q65" s="18" t="n">
        <v>28.89871048</v>
      </c>
      <c r="R65" s="20" t="n">
        <v>1.68806728</v>
      </c>
    </row>
    <row r="66" spans="1:18">
      <c r="A66" s="15" t="s">
        <v>490</v>
      </c>
      <c r="B66" s="17" t="n">
        <v>5325</v>
      </c>
      <c r="C66" s="18">
        <f>(4438.0/B66*100)</f>
        <v/>
      </c>
      <c r="D66" s="19" t="n">
        <v>887</v>
      </c>
      <c r="E66" s="18" t="n">
        <v>41.03683339</v>
      </c>
      <c r="F66" s="20" t="n">
        <v>1.86804439</v>
      </c>
      <c r="G66" s="18" t="n">
        <v>8.07071801</v>
      </c>
      <c r="H66" s="20" t="n">
        <v>0.965988</v>
      </c>
      <c r="I66" s="18" t="n">
        <v>0</v>
      </c>
      <c r="J66" s="20" t="n">
        <v>0</v>
      </c>
      <c r="K66" s="18" t="n">
        <v>8.612495060000001</v>
      </c>
      <c r="L66" s="20" t="n">
        <v>1.11217283</v>
      </c>
      <c r="M66" s="18" t="n">
        <v>0</v>
      </c>
      <c r="N66" s="20" t="n">
        <v>0</v>
      </c>
      <c r="O66" s="18" t="n">
        <v>0</v>
      </c>
      <c r="P66" s="20" t="n">
        <v>0</v>
      </c>
      <c r="Q66" s="18" t="n">
        <v>42.27995355</v>
      </c>
      <c r="R66" s="20" t="n">
        <v>2.05150283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70.78689730000001</v>
      </c>
      <c r="F69" s="20" t="n">
        <v>3.65046048</v>
      </c>
      <c r="G69" s="18" t="n">
        <v>6.01853832</v>
      </c>
      <c r="H69" s="20" t="n">
        <v>1.79415417</v>
      </c>
      <c r="I69" s="18" t="n">
        <v>0</v>
      </c>
      <c r="J69" s="20" t="n">
        <v>0</v>
      </c>
      <c r="K69" s="18" t="n">
        <v>0.91987684</v>
      </c>
      <c r="L69" s="20" t="n">
        <v>0.88945846</v>
      </c>
      <c r="M69" s="18" t="n">
        <v>0</v>
      </c>
      <c r="N69" s="20" t="n">
        <v>0</v>
      </c>
      <c r="O69" s="18" t="n">
        <v>0</v>
      </c>
      <c r="P69" s="20" t="n">
        <v>0</v>
      </c>
      <c r="Q69" s="18" t="n">
        <v>22.27468755</v>
      </c>
      <c r="R69" s="20" t="n">
        <v>3.29489072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55.84585198</v>
      </c>
      <c r="F71" s="20" t="n">
        <v>1.89024211</v>
      </c>
      <c r="G71" s="18" t="n">
        <v>41.01063438</v>
      </c>
      <c r="H71" s="20" t="n">
        <v>1.748039</v>
      </c>
      <c r="I71" s="18" t="n">
        <v>0</v>
      </c>
      <c r="J71" s="20" t="n">
        <v>0</v>
      </c>
      <c r="K71" s="18" t="n">
        <v>0.12241202</v>
      </c>
      <c r="L71" s="20" t="n">
        <v>0.12197718</v>
      </c>
      <c r="M71" s="18" t="n">
        <v>0</v>
      </c>
      <c r="N71" s="20" t="n">
        <v>0</v>
      </c>
      <c r="O71" s="18" t="n">
        <v>0</v>
      </c>
      <c r="P71" s="20" t="n">
        <v>0</v>
      </c>
      <c r="Q71" s="18" t="n">
        <v>3.02110162</v>
      </c>
      <c r="R71" s="20" t="n">
        <v>0.74394554</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38.53402757</v>
      </c>
      <c r="F76" s="20" t="n">
        <v>1.85620291</v>
      </c>
      <c r="G76" s="18" t="n">
        <v>13.31532255</v>
      </c>
      <c r="H76" s="20" t="n">
        <v>1.18421256</v>
      </c>
      <c r="I76" s="18" t="n">
        <v>0</v>
      </c>
      <c r="J76" s="20" t="n">
        <v>0</v>
      </c>
      <c r="K76" s="18" t="n">
        <v>12.20725181</v>
      </c>
      <c r="L76" s="20" t="n">
        <v>1.30197647</v>
      </c>
      <c r="M76" s="18" t="n">
        <v>0</v>
      </c>
      <c r="N76" s="20" t="n">
        <v>0</v>
      </c>
      <c r="O76" s="18" t="n">
        <v>0</v>
      </c>
      <c r="P76" s="20" t="n">
        <v>0</v>
      </c>
      <c r="Q76" s="18" t="n">
        <v>35.94339807</v>
      </c>
      <c r="R76" s="20" t="n">
        <v>1.83344527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91.27198885999999</v>
      </c>
      <c r="F80" s="20" t="n">
        <v>0.87592244</v>
      </c>
      <c r="G80" s="18" t="n">
        <v>6.46213255</v>
      </c>
      <c r="H80" s="20" t="n">
        <v>0.84247052</v>
      </c>
      <c r="I80" s="18" t="n">
        <v>0</v>
      </c>
      <c r="J80" s="20" t="n">
        <v>0</v>
      </c>
      <c r="K80" s="18" t="n">
        <v>0.07650367</v>
      </c>
      <c r="L80" s="20" t="n">
        <v>0.05433606</v>
      </c>
      <c r="M80" s="18" t="n">
        <v>0</v>
      </c>
      <c r="N80" s="20" t="n">
        <v>0</v>
      </c>
      <c r="O80" s="18" t="n">
        <v>0</v>
      </c>
      <c r="P80" s="20" t="n">
        <v>0</v>
      </c>
      <c r="Q80" s="18" t="n">
        <v>2.18937492</v>
      </c>
      <c r="R80" s="20" t="n">
        <v>0.63496427</v>
      </c>
    </row>
    <row r="81" spans="1:18">
      <c r="A81" s="15" t="s">
        <v>505</v>
      </c>
      <c r="B81" s="17" t="n">
        <v>1657</v>
      </c>
      <c r="C81" s="18">
        <f>(1389.0/B81*100)</f>
        <v/>
      </c>
      <c r="D81" s="19" t="n">
        <v>268</v>
      </c>
      <c r="E81" s="18" t="n">
        <v>61.48007345</v>
      </c>
      <c r="F81" s="20" t="n">
        <v>2.6259337</v>
      </c>
      <c r="G81" s="18" t="n">
        <v>14.23653687</v>
      </c>
      <c r="H81" s="20" t="n">
        <v>2.44684267</v>
      </c>
      <c r="I81" s="18" t="n">
        <v>0</v>
      </c>
      <c r="J81" s="20" t="n">
        <v>0</v>
      </c>
      <c r="K81" s="18" t="n">
        <v>4.25189021</v>
      </c>
      <c r="L81" s="20" t="n">
        <v>1.36571252</v>
      </c>
      <c r="M81" s="18" t="n">
        <v>0</v>
      </c>
      <c r="N81" s="20" t="n">
        <v>0</v>
      </c>
      <c r="O81" s="18" t="n">
        <v>0</v>
      </c>
      <c r="P81" s="20" t="n">
        <v>0</v>
      </c>
      <c r="Q81" s="18" t="n">
        <v>20.03149946</v>
      </c>
      <c r="R81" s="20" t="n">
        <v>2.24483096</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70.41588453</v>
      </c>
      <c r="F44" s="20" t="n">
        <v>2.10453291</v>
      </c>
      <c r="G44" s="18" t="n">
        <v>8.17586229</v>
      </c>
      <c r="H44" s="20" t="n">
        <v>1.11302442</v>
      </c>
      <c r="I44" s="18" t="n">
        <v>0</v>
      </c>
      <c r="J44" s="20" t="n">
        <v>0</v>
      </c>
      <c r="K44" s="18" t="n">
        <v>5.99416181</v>
      </c>
      <c r="L44" s="20" t="n">
        <v>0.86461554</v>
      </c>
      <c r="M44" s="18" t="n">
        <v>0</v>
      </c>
      <c r="N44" s="20" t="n">
        <v>0</v>
      </c>
      <c r="O44" s="18" t="n">
        <v>0</v>
      </c>
      <c r="P44" s="20" t="n">
        <v>0</v>
      </c>
      <c r="Q44" s="18" t="n">
        <v>15.41409137</v>
      </c>
      <c r="R44" s="20" t="n">
        <v>1.4517874</v>
      </c>
    </row>
    <row r="45" spans="1:18">
      <c r="A45" s="15" t="s">
        <v>468</v>
      </c>
      <c r="B45" s="17" t="n">
        <v>5519</v>
      </c>
      <c r="C45" s="18">
        <f>(4590.0/B45*100)</f>
        <v/>
      </c>
      <c r="D45" s="19" t="n">
        <v>929</v>
      </c>
      <c r="E45" s="18" t="n">
        <v>62.15830203</v>
      </c>
      <c r="F45" s="20" t="n">
        <v>1.7772846</v>
      </c>
      <c r="G45" s="18" t="n">
        <v>1.86928395</v>
      </c>
      <c r="H45" s="20" t="n">
        <v>0.46520922</v>
      </c>
      <c r="I45" s="18" t="n">
        <v>0</v>
      </c>
      <c r="J45" s="20" t="n">
        <v>0</v>
      </c>
      <c r="K45" s="18" t="n">
        <v>10.26402418</v>
      </c>
      <c r="L45" s="20" t="n">
        <v>1.15279223</v>
      </c>
      <c r="M45" s="18" t="n">
        <v>0.53839114</v>
      </c>
      <c r="N45" s="20" t="n">
        <v>0.22753655</v>
      </c>
      <c r="O45" s="18" t="n">
        <v>0</v>
      </c>
      <c r="P45" s="20" t="n">
        <v>0</v>
      </c>
      <c r="Q45" s="18" t="n">
        <v>25.1699987</v>
      </c>
      <c r="R45" s="20" t="n">
        <v>1.44856506</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60.41274268</v>
      </c>
      <c r="F54" s="20" t="n">
        <v>1.82359171</v>
      </c>
      <c r="G54" s="18" t="n">
        <v>8.53639203</v>
      </c>
      <c r="H54" s="20" t="n">
        <v>0.9594751</v>
      </c>
      <c r="I54" s="18" t="n">
        <v>0</v>
      </c>
      <c r="J54" s="20" t="n">
        <v>0</v>
      </c>
      <c r="K54" s="18" t="n">
        <v>4.37180517</v>
      </c>
      <c r="L54" s="20" t="n">
        <v>0.62977808</v>
      </c>
      <c r="M54" s="18" t="n">
        <v>0</v>
      </c>
      <c r="N54" s="20" t="n">
        <v>0</v>
      </c>
      <c r="O54" s="18" t="n">
        <v>0</v>
      </c>
      <c r="P54" s="20" t="n">
        <v>0</v>
      </c>
      <c r="Q54" s="18" t="n">
        <v>26.67906012</v>
      </c>
      <c r="R54" s="20" t="n">
        <v>1.55464028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64.48148053</v>
      </c>
      <c r="F56" s="20" t="n">
        <v>1.79750312</v>
      </c>
      <c r="G56" s="18" t="n">
        <v>26.97674758</v>
      </c>
      <c r="H56" s="20" t="n">
        <v>1.71990845</v>
      </c>
      <c r="I56" s="18" t="n">
        <v>0</v>
      </c>
      <c r="J56" s="20" t="n">
        <v>0</v>
      </c>
      <c r="K56" s="18" t="n">
        <v>3.6819923</v>
      </c>
      <c r="L56" s="20" t="n">
        <v>0.67370645</v>
      </c>
      <c r="M56" s="18" t="n">
        <v>0</v>
      </c>
      <c r="N56" s="20" t="n">
        <v>0</v>
      </c>
      <c r="O56" s="18" t="n">
        <v>0</v>
      </c>
      <c r="P56" s="20" t="n">
        <v>0</v>
      </c>
      <c r="Q56" s="18" t="n">
        <v>4.85977959</v>
      </c>
      <c r="R56" s="20" t="n">
        <v>0.79398673</v>
      </c>
    </row>
    <row r="57" spans="1:18">
      <c r="A57" s="15" t="s">
        <v>480</v>
      </c>
      <c r="B57" s="17" t="n">
        <v>7267</v>
      </c>
      <c r="C57" s="18">
        <f>(6058.0/B57*100)</f>
        <v/>
      </c>
      <c r="D57" s="19" t="n">
        <v>1209</v>
      </c>
      <c r="E57" s="18" t="n">
        <v>54.61481381</v>
      </c>
      <c r="F57" s="20" t="n">
        <v>1.69150762</v>
      </c>
      <c r="G57" s="18" t="n">
        <v>26.96362988</v>
      </c>
      <c r="H57" s="20" t="n">
        <v>1.62139592</v>
      </c>
      <c r="I57" s="18" t="n">
        <v>0</v>
      </c>
      <c r="J57" s="20" t="n">
        <v>0</v>
      </c>
      <c r="K57" s="18" t="n">
        <v>5.01645034</v>
      </c>
      <c r="L57" s="20" t="n">
        <v>0.74413321</v>
      </c>
      <c r="M57" s="18" t="n">
        <v>0</v>
      </c>
      <c r="N57" s="20" t="n">
        <v>0</v>
      </c>
      <c r="O57" s="18" t="n">
        <v>0</v>
      </c>
      <c r="P57" s="20" t="n">
        <v>0</v>
      </c>
      <c r="Q57" s="18" t="n">
        <v>13.40510597</v>
      </c>
      <c r="R57" s="20" t="n">
        <v>1.27283181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79.47457828</v>
      </c>
      <c r="F59" s="20" t="n">
        <v>1.6699091</v>
      </c>
      <c r="G59" s="18" t="n">
        <v>4.23332187</v>
      </c>
      <c r="H59" s="20" t="n">
        <v>0.8483153</v>
      </c>
      <c r="I59" s="18" t="n">
        <v>0</v>
      </c>
      <c r="J59" s="20" t="n">
        <v>0</v>
      </c>
      <c r="K59" s="18" t="n">
        <v>1.6095365</v>
      </c>
      <c r="L59" s="20" t="n">
        <v>0.5157333200000001</v>
      </c>
      <c r="M59" s="18" t="n">
        <v>0</v>
      </c>
      <c r="N59" s="20" t="n">
        <v>0</v>
      </c>
      <c r="O59" s="18" t="n">
        <v>0.09155603</v>
      </c>
      <c r="P59" s="20" t="n">
        <v>0.09195734</v>
      </c>
      <c r="Q59" s="18" t="n">
        <v>14.59100731</v>
      </c>
      <c r="R59" s="20" t="n">
        <v>1.4604806</v>
      </c>
    </row>
    <row r="60" spans="1:18">
      <c r="A60" s="15" t="s">
        <v>484</v>
      </c>
      <c r="B60" s="17" t="n">
        <v>4546</v>
      </c>
      <c r="C60" s="18">
        <f>(3786.0/B60*100)</f>
        <v/>
      </c>
      <c r="D60" s="19" t="n">
        <v>760</v>
      </c>
      <c r="E60" s="18" t="n">
        <v>42.36188465</v>
      </c>
      <c r="F60" s="20" t="n">
        <v>2.03185573</v>
      </c>
      <c r="G60" s="18" t="n">
        <v>17.55780258</v>
      </c>
      <c r="H60" s="20" t="n">
        <v>1.3591711</v>
      </c>
      <c r="I60" s="18" t="n">
        <v>0</v>
      </c>
      <c r="J60" s="20" t="n">
        <v>0</v>
      </c>
      <c r="K60" s="18" t="n">
        <v>11.77405997</v>
      </c>
      <c r="L60" s="20" t="n">
        <v>1.26105937</v>
      </c>
      <c r="M60" s="18" t="n">
        <v>0</v>
      </c>
      <c r="N60" s="20" t="n">
        <v>0</v>
      </c>
      <c r="O60" s="18" t="n">
        <v>0</v>
      </c>
      <c r="P60" s="20" t="n">
        <v>0</v>
      </c>
      <c r="Q60" s="18" t="n">
        <v>28.30625279</v>
      </c>
      <c r="R60" s="20" t="n">
        <v>2.01958036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44.84840018</v>
      </c>
      <c r="F63" s="20" t="n">
        <v>1.89598606</v>
      </c>
      <c r="G63" s="18" t="n">
        <v>13.39551621</v>
      </c>
      <c r="H63" s="20" t="n">
        <v>1.1873979</v>
      </c>
      <c r="I63" s="18" t="n">
        <v>0</v>
      </c>
      <c r="J63" s="20" t="n">
        <v>0</v>
      </c>
      <c r="K63" s="18" t="n">
        <v>5.90661602</v>
      </c>
      <c r="L63" s="20" t="n">
        <v>0.78281885</v>
      </c>
      <c r="M63" s="18" t="n">
        <v>0</v>
      </c>
      <c r="N63" s="20" t="n">
        <v>0</v>
      </c>
      <c r="O63" s="18" t="n">
        <v>0</v>
      </c>
      <c r="P63" s="20" t="n">
        <v>0</v>
      </c>
      <c r="Q63" s="18" t="n">
        <v>35.84946759</v>
      </c>
      <c r="R63" s="20" t="n">
        <v>1.56643298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40.35125869</v>
      </c>
      <c r="F65" s="20" t="n">
        <v>1.9656318</v>
      </c>
      <c r="G65" s="18" t="n">
        <v>42.33763176</v>
      </c>
      <c r="H65" s="20" t="n">
        <v>1.87261179</v>
      </c>
      <c r="I65" s="18" t="n">
        <v>0</v>
      </c>
      <c r="J65" s="20" t="n">
        <v>0</v>
      </c>
      <c r="K65" s="18" t="n">
        <v>5.04674724</v>
      </c>
      <c r="L65" s="20" t="n">
        <v>0.92591217</v>
      </c>
      <c r="M65" s="18" t="n">
        <v>0</v>
      </c>
      <c r="N65" s="20" t="n">
        <v>0</v>
      </c>
      <c r="O65" s="18" t="n">
        <v>0</v>
      </c>
      <c r="P65" s="20" t="n">
        <v>0</v>
      </c>
      <c r="Q65" s="18" t="n">
        <v>12.26436231</v>
      </c>
      <c r="R65" s="20" t="n">
        <v>1.35761227</v>
      </c>
    </row>
    <row r="66" spans="1:18">
      <c r="A66" s="15" t="s">
        <v>490</v>
      </c>
      <c r="B66" s="17" t="n">
        <v>5325</v>
      </c>
      <c r="C66" s="18">
        <f>(4438.0/B66*100)</f>
        <v/>
      </c>
      <c r="D66" s="19" t="n">
        <v>887</v>
      </c>
      <c r="E66" s="18" t="n">
        <v>50.5723542</v>
      </c>
      <c r="F66" s="20" t="n">
        <v>1.86093566</v>
      </c>
      <c r="G66" s="18" t="n">
        <v>13.47180854</v>
      </c>
      <c r="H66" s="20" t="n">
        <v>1.56729136</v>
      </c>
      <c r="I66" s="18" t="n">
        <v>0</v>
      </c>
      <c r="J66" s="20" t="n">
        <v>0</v>
      </c>
      <c r="K66" s="18" t="n">
        <v>8.612495060000001</v>
      </c>
      <c r="L66" s="20" t="n">
        <v>1.11217283</v>
      </c>
      <c r="M66" s="18" t="n">
        <v>0</v>
      </c>
      <c r="N66" s="20" t="n">
        <v>0</v>
      </c>
      <c r="O66" s="18" t="n">
        <v>0</v>
      </c>
      <c r="P66" s="20" t="n">
        <v>0</v>
      </c>
      <c r="Q66" s="18" t="n">
        <v>27.34334221</v>
      </c>
      <c r="R66" s="20" t="n">
        <v>1.7255912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60.70406739</v>
      </c>
      <c r="F69" s="20" t="n">
        <v>3.76318964</v>
      </c>
      <c r="G69" s="18" t="n">
        <v>20.62975064</v>
      </c>
      <c r="H69" s="20" t="n">
        <v>2.93487082</v>
      </c>
      <c r="I69" s="18" t="n">
        <v>0</v>
      </c>
      <c r="J69" s="20" t="n">
        <v>0</v>
      </c>
      <c r="K69" s="18" t="n">
        <v>0.91987684</v>
      </c>
      <c r="L69" s="20" t="n">
        <v>0.88945846</v>
      </c>
      <c r="M69" s="18" t="n">
        <v>0</v>
      </c>
      <c r="N69" s="20" t="n">
        <v>0</v>
      </c>
      <c r="O69" s="18" t="n">
        <v>0</v>
      </c>
      <c r="P69" s="20" t="n">
        <v>0</v>
      </c>
      <c r="Q69" s="18" t="n">
        <v>17.74630514</v>
      </c>
      <c r="R69" s="20" t="n">
        <v>2.41641272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61.10498314</v>
      </c>
      <c r="F71" s="20" t="n">
        <v>1.96778025</v>
      </c>
      <c r="G71" s="18" t="n">
        <v>36.79163643</v>
      </c>
      <c r="H71" s="20" t="n">
        <v>1.84353515</v>
      </c>
      <c r="I71" s="18" t="n">
        <v>0</v>
      </c>
      <c r="J71" s="20" t="n">
        <v>0</v>
      </c>
      <c r="K71" s="18" t="n">
        <v>0.12241202</v>
      </c>
      <c r="L71" s="20" t="n">
        <v>0.12197718</v>
      </c>
      <c r="M71" s="18" t="n">
        <v>0</v>
      </c>
      <c r="N71" s="20" t="n">
        <v>0</v>
      </c>
      <c r="O71" s="18" t="n">
        <v>0</v>
      </c>
      <c r="P71" s="20" t="n">
        <v>0</v>
      </c>
      <c r="Q71" s="18" t="n">
        <v>1.9809684</v>
      </c>
      <c r="R71" s="20" t="n">
        <v>0.6080519599999999</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42.75370744</v>
      </c>
      <c r="F76" s="20" t="n">
        <v>1.75217476</v>
      </c>
      <c r="G76" s="18" t="n">
        <v>27.228951</v>
      </c>
      <c r="H76" s="20" t="n">
        <v>1.69801097</v>
      </c>
      <c r="I76" s="18" t="n">
        <v>0</v>
      </c>
      <c r="J76" s="20" t="n">
        <v>0</v>
      </c>
      <c r="K76" s="18" t="n">
        <v>12.51848826</v>
      </c>
      <c r="L76" s="20" t="n">
        <v>1.29833147</v>
      </c>
      <c r="M76" s="18" t="n">
        <v>0</v>
      </c>
      <c r="N76" s="20" t="n">
        <v>0</v>
      </c>
      <c r="O76" s="18" t="n">
        <v>0</v>
      </c>
      <c r="P76" s="20" t="n">
        <v>0</v>
      </c>
      <c r="Q76" s="18" t="n">
        <v>17.4988533</v>
      </c>
      <c r="R76" s="20" t="n">
        <v>1.53190259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75.90056138999999</v>
      </c>
      <c r="F80" s="20" t="n">
        <v>1.67646871</v>
      </c>
      <c r="G80" s="18" t="n">
        <v>22.14137655</v>
      </c>
      <c r="H80" s="20" t="n">
        <v>1.65250195</v>
      </c>
      <c r="I80" s="18" t="n">
        <v>0</v>
      </c>
      <c r="J80" s="20" t="n">
        <v>0</v>
      </c>
      <c r="K80" s="18" t="n">
        <v>0.07650367</v>
      </c>
      <c r="L80" s="20" t="n">
        <v>0.05433606</v>
      </c>
      <c r="M80" s="18" t="n">
        <v>0</v>
      </c>
      <c r="N80" s="20" t="n">
        <v>0</v>
      </c>
      <c r="O80" s="18" t="n">
        <v>0</v>
      </c>
      <c r="P80" s="20" t="n">
        <v>0</v>
      </c>
      <c r="Q80" s="18" t="n">
        <v>1.88155839</v>
      </c>
      <c r="R80" s="20" t="n">
        <v>0.61596756</v>
      </c>
    </row>
    <row r="81" spans="1:18">
      <c r="A81" s="15" t="s">
        <v>505</v>
      </c>
      <c r="B81" s="17" t="n">
        <v>1657</v>
      </c>
      <c r="C81" s="18">
        <f>(1389.0/B81*100)</f>
        <v/>
      </c>
      <c r="D81" s="19" t="n">
        <v>268</v>
      </c>
      <c r="E81" s="18" t="n">
        <v>55.75696525</v>
      </c>
      <c r="F81" s="20" t="n">
        <v>3.75484224</v>
      </c>
      <c r="G81" s="18" t="n">
        <v>25.89806778</v>
      </c>
      <c r="H81" s="20" t="n">
        <v>3.15444536</v>
      </c>
      <c r="I81" s="18" t="n">
        <v>0</v>
      </c>
      <c r="J81" s="20" t="n">
        <v>0</v>
      </c>
      <c r="K81" s="18" t="n">
        <v>4.25189021</v>
      </c>
      <c r="L81" s="20" t="n">
        <v>1.36571252</v>
      </c>
      <c r="M81" s="18" t="n">
        <v>0</v>
      </c>
      <c r="N81" s="20" t="n">
        <v>0</v>
      </c>
      <c r="O81" s="18" t="n">
        <v>0</v>
      </c>
      <c r="P81" s="20" t="n">
        <v>0</v>
      </c>
      <c r="Q81" s="18" t="n">
        <v>14.09307676</v>
      </c>
      <c r="R81" s="20" t="n">
        <v>2.45206162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27.07795336</v>
      </c>
      <c r="F44" s="20" t="n">
        <v>2.07535339</v>
      </c>
      <c r="G44" s="18" t="n">
        <v>61.0945408</v>
      </c>
      <c r="H44" s="20" t="n">
        <v>2.15645868</v>
      </c>
      <c r="I44" s="18" t="n">
        <v>0</v>
      </c>
      <c r="J44" s="20" t="n">
        <v>0</v>
      </c>
      <c r="K44" s="18" t="n">
        <v>6.40782211</v>
      </c>
      <c r="L44" s="20" t="n">
        <v>0.88524967</v>
      </c>
      <c r="M44" s="18" t="n">
        <v>0</v>
      </c>
      <c r="N44" s="20" t="n">
        <v>0</v>
      </c>
      <c r="O44" s="18" t="n">
        <v>1.14504859</v>
      </c>
      <c r="P44" s="20" t="n">
        <v>0.43872269</v>
      </c>
      <c r="Q44" s="18" t="n">
        <v>4.27463514</v>
      </c>
      <c r="R44" s="20" t="n">
        <v>0.8448467200000001</v>
      </c>
    </row>
    <row r="45" spans="1:18">
      <c r="A45" s="15" t="s">
        <v>468</v>
      </c>
      <c r="B45" s="17" t="n">
        <v>5519</v>
      </c>
      <c r="C45" s="18">
        <f>(4590.0/B45*100)</f>
        <v/>
      </c>
      <c r="D45" s="19" t="n">
        <v>929</v>
      </c>
      <c r="E45" s="18" t="n">
        <v>39.21844673</v>
      </c>
      <c r="F45" s="20" t="n">
        <v>1.7368316</v>
      </c>
      <c r="G45" s="18" t="n">
        <v>43.81021256</v>
      </c>
      <c r="H45" s="20" t="n">
        <v>1.79956056</v>
      </c>
      <c r="I45" s="18" t="n">
        <v>0</v>
      </c>
      <c r="J45" s="20" t="n">
        <v>0</v>
      </c>
      <c r="K45" s="18" t="n">
        <v>10.55540795</v>
      </c>
      <c r="L45" s="20" t="n">
        <v>1.15803917</v>
      </c>
      <c r="M45" s="18" t="n">
        <v>0.13577584</v>
      </c>
      <c r="N45" s="20" t="n">
        <v>0.12613476</v>
      </c>
      <c r="O45" s="18" t="n">
        <v>2.14436319</v>
      </c>
      <c r="P45" s="20" t="n">
        <v>0.49933961</v>
      </c>
      <c r="Q45" s="18" t="n">
        <v>4.13579372</v>
      </c>
      <c r="R45" s="20" t="n">
        <v>0.64741779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21.79565889</v>
      </c>
      <c r="F54" s="20" t="n">
        <v>1.52773004</v>
      </c>
      <c r="G54" s="18" t="n">
        <v>69.67960749</v>
      </c>
      <c r="H54" s="20" t="n">
        <v>1.67161852</v>
      </c>
      <c r="I54" s="18" t="n">
        <v>0</v>
      </c>
      <c r="J54" s="20" t="n">
        <v>0</v>
      </c>
      <c r="K54" s="18" t="n">
        <v>4.47717978</v>
      </c>
      <c r="L54" s="20" t="n">
        <v>0.64104684</v>
      </c>
      <c r="M54" s="18" t="n">
        <v>0</v>
      </c>
      <c r="N54" s="20" t="n">
        <v>0</v>
      </c>
      <c r="O54" s="18" t="n">
        <v>0.70996589</v>
      </c>
      <c r="P54" s="20" t="n">
        <v>0.33243422</v>
      </c>
      <c r="Q54" s="18" t="n">
        <v>3.33758795</v>
      </c>
      <c r="R54" s="20" t="n">
        <v>0.60872277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33.42557153</v>
      </c>
      <c r="F56" s="20" t="n">
        <v>2.03619573</v>
      </c>
      <c r="G56" s="18" t="n">
        <v>61.2957519</v>
      </c>
      <c r="H56" s="20" t="n">
        <v>1.99410442</v>
      </c>
      <c r="I56" s="18" t="n">
        <v>0</v>
      </c>
      <c r="J56" s="20" t="n">
        <v>0</v>
      </c>
      <c r="K56" s="18" t="n">
        <v>3.78021594</v>
      </c>
      <c r="L56" s="20" t="n">
        <v>0.68569994</v>
      </c>
      <c r="M56" s="18" t="n">
        <v>0</v>
      </c>
      <c r="N56" s="20" t="n">
        <v>0</v>
      </c>
      <c r="O56" s="18" t="n">
        <v>0</v>
      </c>
      <c r="P56" s="20" t="n">
        <v>0</v>
      </c>
      <c r="Q56" s="18" t="n">
        <v>1.49846063</v>
      </c>
      <c r="R56" s="20" t="n">
        <v>0.41835755</v>
      </c>
    </row>
    <row r="57" spans="1:18">
      <c r="A57" s="15" t="s">
        <v>480</v>
      </c>
      <c r="B57" s="17" t="n">
        <v>7267</v>
      </c>
      <c r="C57" s="18">
        <f>(6058.0/B57*100)</f>
        <v/>
      </c>
      <c r="D57" s="19" t="n">
        <v>1209</v>
      </c>
      <c r="E57" s="18" t="n">
        <v>31.64320728</v>
      </c>
      <c r="F57" s="20" t="n">
        <v>1.70140058</v>
      </c>
      <c r="G57" s="18" t="n">
        <v>60.42540438</v>
      </c>
      <c r="H57" s="20" t="n">
        <v>1.8251487</v>
      </c>
      <c r="I57" s="18" t="n">
        <v>0</v>
      </c>
      <c r="J57" s="20" t="n">
        <v>0</v>
      </c>
      <c r="K57" s="18" t="n">
        <v>5.09589397</v>
      </c>
      <c r="L57" s="20" t="n">
        <v>0.75470516</v>
      </c>
      <c r="M57" s="18" t="n">
        <v>0</v>
      </c>
      <c r="N57" s="20" t="n">
        <v>0</v>
      </c>
      <c r="O57" s="18" t="n">
        <v>0.18087219</v>
      </c>
      <c r="P57" s="20" t="n">
        <v>0.12284566</v>
      </c>
      <c r="Q57" s="18" t="n">
        <v>2.65462218</v>
      </c>
      <c r="R57" s="20" t="n">
        <v>0.55557965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45.78461544</v>
      </c>
      <c r="F59" s="20" t="n">
        <v>2.14474348</v>
      </c>
      <c r="G59" s="18" t="n">
        <v>47.55805905</v>
      </c>
      <c r="H59" s="20" t="n">
        <v>2.27659277</v>
      </c>
      <c r="I59" s="18" t="n">
        <v>0</v>
      </c>
      <c r="J59" s="20" t="n">
        <v>0</v>
      </c>
      <c r="K59" s="18" t="n">
        <v>1.6095365</v>
      </c>
      <c r="L59" s="20" t="n">
        <v>0.5157333200000001</v>
      </c>
      <c r="M59" s="18" t="n">
        <v>0</v>
      </c>
      <c r="N59" s="20" t="n">
        <v>0</v>
      </c>
      <c r="O59" s="18" t="n">
        <v>2.85041564</v>
      </c>
      <c r="P59" s="20" t="n">
        <v>0.71668547</v>
      </c>
      <c r="Q59" s="18" t="n">
        <v>2.19737337</v>
      </c>
      <c r="R59" s="20" t="n">
        <v>0.5063957</v>
      </c>
    </row>
    <row r="60" spans="1:18">
      <c r="A60" s="15" t="s">
        <v>484</v>
      </c>
      <c r="B60" s="17" t="n">
        <v>4546</v>
      </c>
      <c r="C60" s="18">
        <f>(3786.0/B60*100)</f>
        <v/>
      </c>
      <c r="D60" s="19" t="n">
        <v>760</v>
      </c>
      <c r="E60" s="18" t="n">
        <v>36.61019124</v>
      </c>
      <c r="F60" s="20" t="n">
        <v>2.37453837</v>
      </c>
      <c r="G60" s="18" t="n">
        <v>43.11627382</v>
      </c>
      <c r="H60" s="20" t="n">
        <v>2.24804822</v>
      </c>
      <c r="I60" s="18" t="n">
        <v>0</v>
      </c>
      <c r="J60" s="20" t="n">
        <v>0</v>
      </c>
      <c r="K60" s="18" t="n">
        <v>11.92171042</v>
      </c>
      <c r="L60" s="20" t="n">
        <v>1.26449931</v>
      </c>
      <c r="M60" s="18" t="n">
        <v>0</v>
      </c>
      <c r="N60" s="20" t="n">
        <v>0</v>
      </c>
      <c r="O60" s="18" t="n">
        <v>1.67366183</v>
      </c>
      <c r="P60" s="20" t="n">
        <v>0.56544116</v>
      </c>
      <c r="Q60" s="18" t="n">
        <v>6.67816268</v>
      </c>
      <c r="R60" s="20" t="n">
        <v>1.14127328</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35.3180351</v>
      </c>
      <c r="F63" s="20" t="n">
        <v>1.8163953</v>
      </c>
      <c r="G63" s="18" t="n">
        <v>49.82592386</v>
      </c>
      <c r="H63" s="20" t="n">
        <v>1.79798663</v>
      </c>
      <c r="I63" s="18" t="n">
        <v>0</v>
      </c>
      <c r="J63" s="20" t="n">
        <v>0</v>
      </c>
      <c r="K63" s="18" t="n">
        <v>6.51539118</v>
      </c>
      <c r="L63" s="20" t="n">
        <v>0.80590569</v>
      </c>
      <c r="M63" s="18" t="n">
        <v>0</v>
      </c>
      <c r="N63" s="20" t="n">
        <v>0</v>
      </c>
      <c r="O63" s="18" t="n">
        <v>0.66199938</v>
      </c>
      <c r="P63" s="20" t="n">
        <v>0.26101035</v>
      </c>
      <c r="Q63" s="18" t="n">
        <v>7.67865048</v>
      </c>
      <c r="R63" s="20" t="n">
        <v>0.91232319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21.27587954</v>
      </c>
      <c r="F65" s="20" t="n">
        <v>1.75054533</v>
      </c>
      <c r="G65" s="18" t="n">
        <v>72.2471774</v>
      </c>
      <c r="H65" s="20" t="n">
        <v>2.03757271</v>
      </c>
      <c r="I65" s="18" t="n">
        <v>0</v>
      </c>
      <c r="J65" s="20" t="n">
        <v>0</v>
      </c>
      <c r="K65" s="18" t="n">
        <v>5.04674724</v>
      </c>
      <c r="L65" s="20" t="n">
        <v>0.92591217</v>
      </c>
      <c r="M65" s="18" t="n">
        <v>0</v>
      </c>
      <c r="N65" s="20" t="n">
        <v>0</v>
      </c>
      <c r="O65" s="18" t="n">
        <v>0.14264879</v>
      </c>
      <c r="P65" s="20" t="n">
        <v>0.14244991</v>
      </c>
      <c r="Q65" s="18" t="n">
        <v>1.28754703</v>
      </c>
      <c r="R65" s="20" t="n">
        <v>0.48573496</v>
      </c>
    </row>
    <row r="66" spans="1:18">
      <c r="A66" s="15" t="s">
        <v>490</v>
      </c>
      <c r="B66" s="17" t="n">
        <v>5325</v>
      </c>
      <c r="C66" s="18">
        <f>(4438.0/B66*100)</f>
        <v/>
      </c>
      <c r="D66" s="19" t="n">
        <v>887</v>
      </c>
      <c r="E66" s="18" t="n">
        <v>26.34322997</v>
      </c>
      <c r="F66" s="20" t="n">
        <v>1.46060727</v>
      </c>
      <c r="G66" s="18" t="n">
        <v>58.70243968</v>
      </c>
      <c r="H66" s="20" t="n">
        <v>1.70829268</v>
      </c>
      <c r="I66" s="18" t="n">
        <v>0</v>
      </c>
      <c r="J66" s="20" t="n">
        <v>0</v>
      </c>
      <c r="K66" s="18" t="n">
        <v>8.612495060000001</v>
      </c>
      <c r="L66" s="20" t="n">
        <v>1.11217283</v>
      </c>
      <c r="M66" s="18" t="n">
        <v>2.54997377</v>
      </c>
      <c r="N66" s="20" t="n">
        <v>0.59080923</v>
      </c>
      <c r="O66" s="18" t="n">
        <v>0</v>
      </c>
      <c r="P66" s="20" t="n">
        <v>0</v>
      </c>
      <c r="Q66" s="18" t="n">
        <v>3.79186152</v>
      </c>
      <c r="R66" s="20" t="n">
        <v>0.59153346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30.9462865</v>
      </c>
      <c r="F69" s="20" t="n">
        <v>3.92703373</v>
      </c>
      <c r="G69" s="18" t="n">
        <v>65.80526691999999</v>
      </c>
      <c r="H69" s="20" t="n">
        <v>4.38526031</v>
      </c>
      <c r="I69" s="18" t="n">
        <v>0</v>
      </c>
      <c r="J69" s="20" t="n">
        <v>0</v>
      </c>
      <c r="K69" s="18" t="n">
        <v>0.91987684</v>
      </c>
      <c r="L69" s="20" t="n">
        <v>0.88945846</v>
      </c>
      <c r="M69" s="18" t="n">
        <v>0</v>
      </c>
      <c r="N69" s="20" t="n">
        <v>0</v>
      </c>
      <c r="O69" s="18" t="n">
        <v>0.40224721</v>
      </c>
      <c r="P69" s="20" t="n">
        <v>0.42139244</v>
      </c>
      <c r="Q69" s="18" t="n">
        <v>1.92632253</v>
      </c>
      <c r="R69" s="20" t="n">
        <v>1.11470552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39.75485498</v>
      </c>
      <c r="F71" s="20" t="n">
        <v>1.62880427</v>
      </c>
      <c r="G71" s="18" t="n">
        <v>59.88988121</v>
      </c>
      <c r="H71" s="20" t="n">
        <v>1.67531636</v>
      </c>
      <c r="I71" s="18" t="n">
        <v>0</v>
      </c>
      <c r="J71" s="20" t="n">
        <v>0</v>
      </c>
      <c r="K71" s="18" t="n">
        <v>0.12241202</v>
      </c>
      <c r="L71" s="20" t="n">
        <v>0.12197718</v>
      </c>
      <c r="M71" s="18" t="n">
        <v>0</v>
      </c>
      <c r="N71" s="20" t="n">
        <v>0</v>
      </c>
      <c r="O71" s="18" t="n">
        <v>0</v>
      </c>
      <c r="P71" s="20" t="n">
        <v>0</v>
      </c>
      <c r="Q71" s="18" t="n">
        <v>0.23285179</v>
      </c>
      <c r="R71" s="20" t="n">
        <v>0.16425011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20.23050505</v>
      </c>
      <c r="F76" s="20" t="n">
        <v>1.37053313</v>
      </c>
      <c r="G76" s="18" t="n">
        <v>62.01807093</v>
      </c>
      <c r="H76" s="20" t="n">
        <v>1.82197982</v>
      </c>
      <c r="I76" s="18" t="n">
        <v>0</v>
      </c>
      <c r="J76" s="20" t="n">
        <v>0</v>
      </c>
      <c r="K76" s="18" t="n">
        <v>12.56791958</v>
      </c>
      <c r="L76" s="20" t="n">
        <v>1.29482436</v>
      </c>
      <c r="M76" s="18" t="n">
        <v>0</v>
      </c>
      <c r="N76" s="20" t="n">
        <v>0</v>
      </c>
      <c r="O76" s="18" t="n">
        <v>0</v>
      </c>
      <c r="P76" s="20" t="n">
        <v>0</v>
      </c>
      <c r="Q76" s="18" t="n">
        <v>5.18350444</v>
      </c>
      <c r="R76" s="20" t="n">
        <v>0.96317509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24.43690791</v>
      </c>
      <c r="F80" s="20" t="n">
        <v>1.88124718</v>
      </c>
      <c r="G80" s="18" t="n">
        <v>75.29136475</v>
      </c>
      <c r="H80" s="20" t="n">
        <v>1.88098306</v>
      </c>
      <c r="I80" s="18" t="n">
        <v>0</v>
      </c>
      <c r="J80" s="20" t="n">
        <v>0</v>
      </c>
      <c r="K80" s="18" t="n">
        <v>0.07650367</v>
      </c>
      <c r="L80" s="20" t="n">
        <v>0.05433606</v>
      </c>
      <c r="M80" s="18" t="n">
        <v>0</v>
      </c>
      <c r="N80" s="20" t="n">
        <v>0</v>
      </c>
      <c r="O80" s="18" t="n">
        <v>0</v>
      </c>
      <c r="P80" s="20" t="n">
        <v>0</v>
      </c>
      <c r="Q80" s="18" t="n">
        <v>0.19522367</v>
      </c>
      <c r="R80" s="20" t="n">
        <v>0.14560297</v>
      </c>
    </row>
    <row r="81" spans="1:18">
      <c r="A81" s="15" t="s">
        <v>505</v>
      </c>
      <c r="B81" s="17" t="n">
        <v>1657</v>
      </c>
      <c r="C81" s="18">
        <f>(1389.0/B81*100)</f>
        <v/>
      </c>
      <c r="D81" s="19" t="n">
        <v>268</v>
      </c>
      <c r="E81" s="18" t="n">
        <v>9.66048067</v>
      </c>
      <c r="F81" s="20" t="n">
        <v>2.18708828</v>
      </c>
      <c r="G81" s="18" t="n">
        <v>83.75067074</v>
      </c>
      <c r="H81" s="20" t="n">
        <v>2.59856441</v>
      </c>
      <c r="I81" s="18" t="n">
        <v>0</v>
      </c>
      <c r="J81" s="20" t="n">
        <v>0</v>
      </c>
      <c r="K81" s="18" t="n">
        <v>4.25189021</v>
      </c>
      <c r="L81" s="20" t="n">
        <v>1.36571252</v>
      </c>
      <c r="M81" s="18" t="n">
        <v>0</v>
      </c>
      <c r="N81" s="20" t="n">
        <v>0</v>
      </c>
      <c r="O81" s="18" t="n">
        <v>1.03746801</v>
      </c>
      <c r="P81" s="20" t="n">
        <v>0.69215781</v>
      </c>
      <c r="Q81" s="18" t="n">
        <v>1.29949036</v>
      </c>
      <c r="R81" s="20" t="n">
        <v>0.64335206</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29.00136006</v>
      </c>
      <c r="F44" s="20" t="n">
        <v>1.55742428</v>
      </c>
      <c r="G44" s="18" t="n">
        <v>10.65652617</v>
      </c>
      <c r="H44" s="20" t="n">
        <v>1.29301883</v>
      </c>
      <c r="I44" s="18" t="n">
        <v>0</v>
      </c>
      <c r="J44" s="20" t="n">
        <v>0</v>
      </c>
      <c r="K44" s="18" t="n">
        <v>13.69070644</v>
      </c>
      <c r="L44" s="20" t="n">
        <v>1.44132468</v>
      </c>
      <c r="M44" s="18" t="n">
        <v>0</v>
      </c>
      <c r="N44" s="20" t="n">
        <v>0</v>
      </c>
      <c r="O44" s="18" t="n">
        <v>0</v>
      </c>
      <c r="P44" s="20" t="n">
        <v>0</v>
      </c>
      <c r="Q44" s="18" t="n">
        <v>46.65140733</v>
      </c>
      <c r="R44" s="20" t="n">
        <v>2.21948505</v>
      </c>
    </row>
    <row r="45" spans="1:18">
      <c r="A45" s="15" t="s">
        <v>468</v>
      </c>
      <c r="B45" s="17" t="n">
        <v>5519</v>
      </c>
      <c r="C45" s="18">
        <f>(4590.0/B45*100)</f>
        <v/>
      </c>
      <c r="D45" s="19" t="n">
        <v>929</v>
      </c>
      <c r="E45" s="18" t="n">
        <v>28.11615362</v>
      </c>
      <c r="F45" s="20" t="n">
        <v>1.43653157</v>
      </c>
      <c r="G45" s="18" t="n">
        <v>4.62093645</v>
      </c>
      <c r="H45" s="20" t="n">
        <v>0.74837731</v>
      </c>
      <c r="I45" s="18" t="n">
        <v>0</v>
      </c>
      <c r="J45" s="20" t="n">
        <v>0</v>
      </c>
      <c r="K45" s="18" t="n">
        <v>15.16370899</v>
      </c>
      <c r="L45" s="20" t="n">
        <v>1.45785749</v>
      </c>
      <c r="M45" s="18" t="n">
        <v>0.41015032</v>
      </c>
      <c r="N45" s="20" t="n">
        <v>0.19431166</v>
      </c>
      <c r="O45" s="18" t="n">
        <v>0.29141681</v>
      </c>
      <c r="P45" s="20" t="n">
        <v>0.21649112</v>
      </c>
      <c r="Q45" s="18" t="n">
        <v>51.3976338</v>
      </c>
      <c r="R45" s="20" t="n">
        <v>1.73836747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13.53729028</v>
      </c>
      <c r="F54" s="20" t="n">
        <v>1.31042894</v>
      </c>
      <c r="G54" s="18" t="n">
        <v>14.43282604</v>
      </c>
      <c r="H54" s="20" t="n">
        <v>1.29666697</v>
      </c>
      <c r="I54" s="18" t="n">
        <v>0</v>
      </c>
      <c r="J54" s="20" t="n">
        <v>0</v>
      </c>
      <c r="K54" s="18" t="n">
        <v>8.82476572</v>
      </c>
      <c r="L54" s="20" t="n">
        <v>1.0273032</v>
      </c>
      <c r="M54" s="18" t="n">
        <v>0</v>
      </c>
      <c r="N54" s="20" t="n">
        <v>0</v>
      </c>
      <c r="O54" s="18" t="n">
        <v>0.10463176</v>
      </c>
      <c r="P54" s="20" t="n">
        <v>0.10816343</v>
      </c>
      <c r="Q54" s="18" t="n">
        <v>63.10048621</v>
      </c>
      <c r="R54" s="20" t="n">
        <v>1.93885586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43.77795843</v>
      </c>
      <c r="F56" s="20" t="n">
        <v>2.00385145</v>
      </c>
      <c r="G56" s="18" t="n">
        <v>7.83054564</v>
      </c>
      <c r="H56" s="20" t="n">
        <v>0.83270077</v>
      </c>
      <c r="I56" s="18" t="n">
        <v>0</v>
      </c>
      <c r="J56" s="20" t="n">
        <v>0</v>
      </c>
      <c r="K56" s="18" t="n">
        <v>4.43832066</v>
      </c>
      <c r="L56" s="20" t="n">
        <v>0.77310829</v>
      </c>
      <c r="M56" s="18" t="n">
        <v>0</v>
      </c>
      <c r="N56" s="20" t="n">
        <v>0</v>
      </c>
      <c r="O56" s="18" t="n">
        <v>0</v>
      </c>
      <c r="P56" s="20" t="n">
        <v>0</v>
      </c>
      <c r="Q56" s="18" t="n">
        <v>43.95317527</v>
      </c>
      <c r="R56" s="20" t="n">
        <v>1.70505435</v>
      </c>
    </row>
    <row r="57" spans="1:18">
      <c r="A57" s="15" t="s">
        <v>480</v>
      </c>
      <c r="B57" s="17" t="n">
        <v>7267</v>
      </c>
      <c r="C57" s="18">
        <f>(6058.0/B57*100)</f>
        <v/>
      </c>
      <c r="D57" s="19" t="n">
        <v>1209</v>
      </c>
      <c r="E57" s="18" t="n">
        <v>31.61316106</v>
      </c>
      <c r="F57" s="20" t="n">
        <v>1.65868496</v>
      </c>
      <c r="G57" s="18" t="n">
        <v>8.382103949999999</v>
      </c>
      <c r="H57" s="20" t="n">
        <v>0.89566123</v>
      </c>
      <c r="I57" s="18" t="n">
        <v>0</v>
      </c>
      <c r="J57" s="20" t="n">
        <v>0</v>
      </c>
      <c r="K57" s="18" t="n">
        <v>8.99433627</v>
      </c>
      <c r="L57" s="20" t="n">
        <v>0.99411285</v>
      </c>
      <c r="M57" s="18" t="n">
        <v>0</v>
      </c>
      <c r="N57" s="20" t="n">
        <v>0</v>
      </c>
      <c r="O57" s="18" t="n">
        <v>0</v>
      </c>
      <c r="P57" s="20" t="n">
        <v>0</v>
      </c>
      <c r="Q57" s="18" t="n">
        <v>51.01039872</v>
      </c>
      <c r="R57" s="20" t="n">
        <v>1.88261194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28.90845757</v>
      </c>
      <c r="F59" s="20" t="n">
        <v>1.61549894</v>
      </c>
      <c r="G59" s="18" t="n">
        <v>7.74116396</v>
      </c>
      <c r="H59" s="20" t="n">
        <v>1.14086621</v>
      </c>
      <c r="I59" s="18" t="n">
        <v>0</v>
      </c>
      <c r="J59" s="20" t="n">
        <v>0</v>
      </c>
      <c r="K59" s="18" t="n">
        <v>3.63413556</v>
      </c>
      <c r="L59" s="20" t="n">
        <v>0.72596423</v>
      </c>
      <c r="M59" s="18" t="n">
        <v>0</v>
      </c>
      <c r="N59" s="20" t="n">
        <v>0</v>
      </c>
      <c r="O59" s="18" t="n">
        <v>0</v>
      </c>
      <c r="P59" s="20" t="n">
        <v>0</v>
      </c>
      <c r="Q59" s="18" t="n">
        <v>59.71624291</v>
      </c>
      <c r="R59" s="20" t="n">
        <v>1.76003782</v>
      </c>
    </row>
    <row r="60" spans="1:18">
      <c r="A60" s="15" t="s">
        <v>484</v>
      </c>
      <c r="B60" s="17" t="n">
        <v>4546</v>
      </c>
      <c r="C60" s="18">
        <f>(3786.0/B60*100)</f>
        <v/>
      </c>
      <c r="D60" s="19" t="n">
        <v>760</v>
      </c>
      <c r="E60" s="18" t="n">
        <v>19.12172414</v>
      </c>
      <c r="F60" s="20" t="n">
        <v>1.30311419</v>
      </c>
      <c r="G60" s="18" t="n">
        <v>8.551324899999999</v>
      </c>
      <c r="H60" s="20" t="n">
        <v>1.19793503</v>
      </c>
      <c r="I60" s="18" t="n">
        <v>0</v>
      </c>
      <c r="J60" s="20" t="n">
        <v>0</v>
      </c>
      <c r="K60" s="18" t="n">
        <v>17.55163612</v>
      </c>
      <c r="L60" s="20" t="n">
        <v>1.48024695</v>
      </c>
      <c r="M60" s="18" t="n">
        <v>0</v>
      </c>
      <c r="N60" s="20" t="n">
        <v>0</v>
      </c>
      <c r="O60" s="18" t="n">
        <v>0</v>
      </c>
      <c r="P60" s="20" t="n">
        <v>0</v>
      </c>
      <c r="Q60" s="18" t="n">
        <v>54.77531483</v>
      </c>
      <c r="R60" s="20" t="n">
        <v>1.85044515</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14.85939993</v>
      </c>
      <c r="F63" s="20" t="n">
        <v>1.41501516</v>
      </c>
      <c r="G63" s="18" t="n">
        <v>5.1095174</v>
      </c>
      <c r="H63" s="20" t="n">
        <v>0.80214748</v>
      </c>
      <c r="I63" s="18" t="n">
        <v>0</v>
      </c>
      <c r="J63" s="20" t="n">
        <v>0</v>
      </c>
      <c r="K63" s="18" t="n">
        <v>11.14121724</v>
      </c>
      <c r="L63" s="20" t="n">
        <v>1.16970263</v>
      </c>
      <c r="M63" s="18" t="n">
        <v>0</v>
      </c>
      <c r="N63" s="20" t="n">
        <v>0</v>
      </c>
      <c r="O63" s="18" t="n">
        <v>0</v>
      </c>
      <c r="P63" s="20" t="n">
        <v>0</v>
      </c>
      <c r="Q63" s="18" t="n">
        <v>68.88986542000001</v>
      </c>
      <c r="R63" s="20" t="n">
        <v>1.7322723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31.49903938</v>
      </c>
      <c r="F65" s="20" t="n">
        <v>2.00610585</v>
      </c>
      <c r="G65" s="18" t="n">
        <v>25.06848924</v>
      </c>
      <c r="H65" s="20" t="n">
        <v>1.6698636</v>
      </c>
      <c r="I65" s="18" t="n">
        <v>0</v>
      </c>
      <c r="J65" s="20" t="n">
        <v>0</v>
      </c>
      <c r="K65" s="18" t="n">
        <v>8.491169340000001</v>
      </c>
      <c r="L65" s="20" t="n">
        <v>1.11694522</v>
      </c>
      <c r="M65" s="18" t="n">
        <v>0</v>
      </c>
      <c r="N65" s="20" t="n">
        <v>0</v>
      </c>
      <c r="O65" s="18" t="n">
        <v>0</v>
      </c>
      <c r="P65" s="20" t="n">
        <v>0</v>
      </c>
      <c r="Q65" s="18" t="n">
        <v>34.94130204</v>
      </c>
      <c r="R65" s="20" t="n">
        <v>1.87432473</v>
      </c>
    </row>
    <row r="66" spans="1:18">
      <c r="A66" s="15" t="s">
        <v>490</v>
      </c>
      <c r="B66" s="17" t="n">
        <v>5325</v>
      </c>
      <c r="C66" s="18">
        <f>(4438.0/B66*100)</f>
        <v/>
      </c>
      <c r="D66" s="19" t="n">
        <v>887</v>
      </c>
      <c r="E66" s="18" t="n">
        <v>19.32037907</v>
      </c>
      <c r="F66" s="20" t="n">
        <v>1.32832073</v>
      </c>
      <c r="G66" s="18" t="n">
        <v>20.31355728</v>
      </c>
      <c r="H66" s="20" t="n">
        <v>1.50221225</v>
      </c>
      <c r="I66" s="18" t="n">
        <v>0</v>
      </c>
      <c r="J66" s="20" t="n">
        <v>0</v>
      </c>
      <c r="K66" s="18" t="n">
        <v>15.12244504</v>
      </c>
      <c r="L66" s="20" t="n">
        <v>1.58835424</v>
      </c>
      <c r="M66" s="18" t="n">
        <v>0.11602116</v>
      </c>
      <c r="N66" s="20" t="n">
        <v>0.11155472</v>
      </c>
      <c r="O66" s="18" t="n">
        <v>0</v>
      </c>
      <c r="P66" s="20" t="n">
        <v>0</v>
      </c>
      <c r="Q66" s="18" t="n">
        <v>45.12759745</v>
      </c>
      <c r="R66" s="20" t="n">
        <v>2.09596452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30.49238867</v>
      </c>
      <c r="F69" s="20" t="n">
        <v>3.04888207</v>
      </c>
      <c r="G69" s="18" t="n">
        <v>11.95327389</v>
      </c>
      <c r="H69" s="20" t="n">
        <v>2.64933467</v>
      </c>
      <c r="I69" s="18" t="n">
        <v>0</v>
      </c>
      <c r="J69" s="20" t="n">
        <v>0</v>
      </c>
      <c r="K69" s="18" t="n">
        <v>2.52406217</v>
      </c>
      <c r="L69" s="20" t="n">
        <v>1.04328754</v>
      </c>
      <c r="M69" s="18" t="n">
        <v>0</v>
      </c>
      <c r="N69" s="20" t="n">
        <v>0</v>
      </c>
      <c r="O69" s="18" t="n">
        <v>0</v>
      </c>
      <c r="P69" s="20" t="n">
        <v>0</v>
      </c>
      <c r="Q69" s="18" t="n">
        <v>55.03027526</v>
      </c>
      <c r="R69" s="20" t="n">
        <v>3.25316011</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42.31346522</v>
      </c>
      <c r="F71" s="20" t="n">
        <v>1.97982467</v>
      </c>
      <c r="G71" s="18" t="n">
        <v>49.48309148</v>
      </c>
      <c r="H71" s="20" t="n">
        <v>2.00994089</v>
      </c>
      <c r="I71" s="18" t="n">
        <v>0</v>
      </c>
      <c r="J71" s="20" t="n">
        <v>0</v>
      </c>
      <c r="K71" s="18" t="n">
        <v>0.2422427</v>
      </c>
      <c r="L71" s="20" t="n">
        <v>0.17058807</v>
      </c>
      <c r="M71" s="18" t="n">
        <v>0</v>
      </c>
      <c r="N71" s="20" t="n">
        <v>0</v>
      </c>
      <c r="O71" s="18" t="n">
        <v>0</v>
      </c>
      <c r="P71" s="20" t="n">
        <v>0</v>
      </c>
      <c r="Q71" s="18" t="n">
        <v>7.9612006</v>
      </c>
      <c r="R71" s="20" t="n">
        <v>0.8710847900000001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20.92182831</v>
      </c>
      <c r="F76" s="20" t="n">
        <v>1.52892287</v>
      </c>
      <c r="G76" s="18" t="n">
        <v>12.70144351</v>
      </c>
      <c r="H76" s="20" t="n">
        <v>1.14628437</v>
      </c>
      <c r="I76" s="18" t="n">
        <v>0</v>
      </c>
      <c r="J76" s="20" t="n">
        <v>0</v>
      </c>
      <c r="K76" s="18" t="n">
        <v>20.64962121</v>
      </c>
      <c r="L76" s="20" t="n">
        <v>1.64193035</v>
      </c>
      <c r="M76" s="18" t="n">
        <v>0</v>
      </c>
      <c r="N76" s="20" t="n">
        <v>0</v>
      </c>
      <c r="O76" s="18" t="n">
        <v>0</v>
      </c>
      <c r="P76" s="20" t="n">
        <v>0</v>
      </c>
      <c r="Q76" s="18" t="n">
        <v>45.72710696</v>
      </c>
      <c r="R76" s="20" t="n">
        <v>1.5997788</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62.50686024</v>
      </c>
      <c r="F80" s="20" t="n">
        <v>2.01809365</v>
      </c>
      <c r="G80" s="18" t="n">
        <v>17.74750996</v>
      </c>
      <c r="H80" s="20" t="n">
        <v>1.54326611</v>
      </c>
      <c r="I80" s="18" t="n">
        <v>0</v>
      </c>
      <c r="J80" s="20" t="n">
        <v>0</v>
      </c>
      <c r="K80" s="18" t="n">
        <v>0.07650367</v>
      </c>
      <c r="L80" s="20" t="n">
        <v>0.05433606</v>
      </c>
      <c r="M80" s="18" t="n">
        <v>0</v>
      </c>
      <c r="N80" s="20" t="n">
        <v>0</v>
      </c>
      <c r="O80" s="18" t="n">
        <v>0</v>
      </c>
      <c r="P80" s="20" t="n">
        <v>0</v>
      </c>
      <c r="Q80" s="18" t="n">
        <v>19.66912613</v>
      </c>
      <c r="R80" s="20" t="n">
        <v>1.75141989</v>
      </c>
    </row>
    <row r="81" spans="1:18">
      <c r="A81" s="15" t="s">
        <v>505</v>
      </c>
      <c r="B81" s="17" t="n">
        <v>1657</v>
      </c>
      <c r="C81" s="18">
        <f>(1389.0/B81*100)</f>
        <v/>
      </c>
      <c r="D81" s="19" t="n">
        <v>268</v>
      </c>
      <c r="E81" s="18" t="n">
        <v>25.70008963</v>
      </c>
      <c r="F81" s="20" t="n">
        <v>3.01915516</v>
      </c>
      <c r="G81" s="18" t="n">
        <v>36.62645888</v>
      </c>
      <c r="H81" s="20" t="n">
        <v>3.16313347</v>
      </c>
      <c r="I81" s="18" t="n">
        <v>0</v>
      </c>
      <c r="J81" s="20" t="n">
        <v>0</v>
      </c>
      <c r="K81" s="18" t="n">
        <v>12.98275337</v>
      </c>
      <c r="L81" s="20" t="n">
        <v>2.03322991</v>
      </c>
      <c r="M81" s="18" t="n">
        <v>0</v>
      </c>
      <c r="N81" s="20" t="n">
        <v>0</v>
      </c>
      <c r="O81" s="18" t="n">
        <v>0</v>
      </c>
      <c r="P81" s="20" t="n">
        <v>0</v>
      </c>
      <c r="Q81" s="18" t="n">
        <v>24.69069812</v>
      </c>
      <c r="R81" s="20" t="n">
        <v>2.53104913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46.52668031</v>
      </c>
      <c r="F44" s="20" t="n">
        <v>2.02734889</v>
      </c>
      <c r="G44" s="18" t="n">
        <v>34.03188603</v>
      </c>
      <c r="H44" s="20" t="n">
        <v>2.10842179</v>
      </c>
      <c r="I44" s="18" t="n">
        <v>0</v>
      </c>
      <c r="J44" s="20" t="n">
        <v>0</v>
      </c>
      <c r="K44" s="18" t="n">
        <v>13.86368527</v>
      </c>
      <c r="L44" s="20" t="n">
        <v>1.4495606</v>
      </c>
      <c r="M44" s="18" t="n">
        <v>0</v>
      </c>
      <c r="N44" s="20" t="n">
        <v>0</v>
      </c>
      <c r="O44" s="18" t="n">
        <v>0.11377204</v>
      </c>
      <c r="P44" s="20" t="n">
        <v>0.11511816</v>
      </c>
      <c r="Q44" s="18" t="n">
        <v>5.46397635</v>
      </c>
      <c r="R44" s="20" t="n">
        <v>0.8244546699999999</v>
      </c>
    </row>
    <row r="45" spans="1:18">
      <c r="A45" s="15" t="s">
        <v>468</v>
      </c>
      <c r="B45" s="17" t="n">
        <v>5519</v>
      </c>
      <c r="C45" s="18">
        <f>(4590.0/B45*100)</f>
        <v/>
      </c>
      <c r="D45" s="19" t="n">
        <v>929</v>
      </c>
      <c r="E45" s="18" t="n">
        <v>47.01139101</v>
      </c>
      <c r="F45" s="20" t="n">
        <v>1.72687628</v>
      </c>
      <c r="G45" s="18" t="n">
        <v>31.05629476</v>
      </c>
      <c r="H45" s="20" t="n">
        <v>1.54252118</v>
      </c>
      <c r="I45" s="18" t="n">
        <v>0</v>
      </c>
      <c r="J45" s="20" t="n">
        <v>0</v>
      </c>
      <c r="K45" s="18" t="n">
        <v>15.47633018</v>
      </c>
      <c r="L45" s="20" t="n">
        <v>1.47198321</v>
      </c>
      <c r="M45" s="18" t="n">
        <v>0.87885884</v>
      </c>
      <c r="N45" s="20" t="n">
        <v>0.32121715</v>
      </c>
      <c r="O45" s="18" t="n">
        <v>1.90598113</v>
      </c>
      <c r="P45" s="20" t="n">
        <v>0.45827037</v>
      </c>
      <c r="Q45" s="18" t="n">
        <v>3.67114409</v>
      </c>
      <c r="R45" s="20" t="n">
        <v>0.69669516</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55.26014044</v>
      </c>
      <c r="F54" s="20" t="n">
        <v>1.90781787</v>
      </c>
      <c r="G54" s="18" t="n">
        <v>32.11217874</v>
      </c>
      <c r="H54" s="20" t="n">
        <v>1.51371956</v>
      </c>
      <c r="I54" s="18" t="n">
        <v>0</v>
      </c>
      <c r="J54" s="20" t="n">
        <v>0</v>
      </c>
      <c r="K54" s="18" t="n">
        <v>9.220453089999999</v>
      </c>
      <c r="L54" s="20" t="n">
        <v>1.06192265</v>
      </c>
      <c r="M54" s="18" t="n">
        <v>0</v>
      </c>
      <c r="N54" s="20" t="n">
        <v>0</v>
      </c>
      <c r="O54" s="18" t="n">
        <v>0.21874596</v>
      </c>
      <c r="P54" s="20" t="n">
        <v>0.15836339</v>
      </c>
      <c r="Q54" s="18" t="n">
        <v>3.18848177</v>
      </c>
      <c r="R54" s="20" t="n">
        <v>0.61662757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60.84856593</v>
      </c>
      <c r="F56" s="20" t="n">
        <v>1.86293944</v>
      </c>
      <c r="G56" s="18" t="n">
        <v>33.03811893</v>
      </c>
      <c r="H56" s="20" t="n">
        <v>1.94663112</v>
      </c>
      <c r="I56" s="18" t="n">
        <v>0</v>
      </c>
      <c r="J56" s="20" t="n">
        <v>0</v>
      </c>
      <c r="K56" s="18" t="n">
        <v>4.65685385</v>
      </c>
      <c r="L56" s="20" t="n">
        <v>0.8016617700000001</v>
      </c>
      <c r="M56" s="18" t="n">
        <v>0</v>
      </c>
      <c r="N56" s="20" t="n">
        <v>0</v>
      </c>
      <c r="O56" s="18" t="n">
        <v>0</v>
      </c>
      <c r="P56" s="20" t="n">
        <v>0</v>
      </c>
      <c r="Q56" s="18" t="n">
        <v>1.45646129</v>
      </c>
      <c r="R56" s="20" t="n">
        <v>0.44379819</v>
      </c>
    </row>
    <row r="57" spans="1:18">
      <c r="A57" s="15" t="s">
        <v>480</v>
      </c>
      <c r="B57" s="17" t="n">
        <v>7267</v>
      </c>
      <c r="C57" s="18">
        <f>(6058.0/B57*100)</f>
        <v/>
      </c>
      <c r="D57" s="19" t="n">
        <v>1209</v>
      </c>
      <c r="E57" s="18" t="n">
        <v>53.32572977</v>
      </c>
      <c r="F57" s="20" t="n">
        <v>1.62902826</v>
      </c>
      <c r="G57" s="18" t="n">
        <v>34.90532572</v>
      </c>
      <c r="H57" s="20" t="n">
        <v>1.44651274</v>
      </c>
      <c r="I57" s="18" t="n">
        <v>0</v>
      </c>
      <c r="J57" s="20" t="n">
        <v>0</v>
      </c>
      <c r="K57" s="18" t="n">
        <v>9.2420977</v>
      </c>
      <c r="L57" s="20" t="n">
        <v>1.00556344</v>
      </c>
      <c r="M57" s="18" t="n">
        <v>0</v>
      </c>
      <c r="N57" s="20" t="n">
        <v>0</v>
      </c>
      <c r="O57" s="18" t="n">
        <v>0.09900486</v>
      </c>
      <c r="P57" s="20" t="n">
        <v>0.09896033</v>
      </c>
      <c r="Q57" s="18" t="n">
        <v>2.42784194</v>
      </c>
      <c r="R57" s="20" t="n">
        <v>0.54682728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60.07163813</v>
      </c>
      <c r="F59" s="20" t="n">
        <v>2.2745399</v>
      </c>
      <c r="G59" s="18" t="n">
        <v>33.6204325</v>
      </c>
      <c r="H59" s="20" t="n">
        <v>2.08370219</v>
      </c>
      <c r="I59" s="18" t="n">
        <v>0</v>
      </c>
      <c r="J59" s="20" t="n">
        <v>0</v>
      </c>
      <c r="K59" s="18" t="n">
        <v>3.63413556</v>
      </c>
      <c r="L59" s="20" t="n">
        <v>0.72596423</v>
      </c>
      <c r="M59" s="18" t="n">
        <v>0</v>
      </c>
      <c r="N59" s="20" t="n">
        <v>0</v>
      </c>
      <c r="O59" s="18" t="n">
        <v>0.7247055999999999</v>
      </c>
      <c r="P59" s="20" t="n">
        <v>0.32211888</v>
      </c>
      <c r="Q59" s="18" t="n">
        <v>1.94908822</v>
      </c>
      <c r="R59" s="20" t="n">
        <v>0.64858095</v>
      </c>
    </row>
    <row r="60" spans="1:18">
      <c r="A60" s="15" t="s">
        <v>484</v>
      </c>
      <c r="B60" s="17" t="n">
        <v>4546</v>
      </c>
      <c r="C60" s="18">
        <f>(3786.0/B60*100)</f>
        <v/>
      </c>
      <c r="D60" s="19" t="n">
        <v>760</v>
      </c>
      <c r="E60" s="18" t="n">
        <v>49.34517927</v>
      </c>
      <c r="F60" s="20" t="n">
        <v>2.20467774</v>
      </c>
      <c r="G60" s="18" t="n">
        <v>26.5021477</v>
      </c>
      <c r="H60" s="20" t="n">
        <v>1.80444235</v>
      </c>
      <c r="I60" s="18" t="n">
        <v>0</v>
      </c>
      <c r="J60" s="20" t="n">
        <v>0</v>
      </c>
      <c r="K60" s="18" t="n">
        <v>18.33553716</v>
      </c>
      <c r="L60" s="20" t="n">
        <v>1.48651324</v>
      </c>
      <c r="M60" s="18" t="n">
        <v>0</v>
      </c>
      <c r="N60" s="20" t="n">
        <v>0</v>
      </c>
      <c r="O60" s="18" t="n">
        <v>2.26571338</v>
      </c>
      <c r="P60" s="20" t="n">
        <v>0.63633284</v>
      </c>
      <c r="Q60" s="18" t="n">
        <v>3.55142249</v>
      </c>
      <c r="R60" s="20" t="n">
        <v>0.72072274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47.58005087</v>
      </c>
      <c r="F63" s="20" t="n">
        <v>2.13101571</v>
      </c>
      <c r="G63" s="18" t="n">
        <v>35.17856877</v>
      </c>
      <c r="H63" s="20" t="n">
        <v>2.02335884</v>
      </c>
      <c r="I63" s="18" t="n">
        <v>0</v>
      </c>
      <c r="J63" s="20" t="n">
        <v>0</v>
      </c>
      <c r="K63" s="18" t="n">
        <v>11.30147529</v>
      </c>
      <c r="L63" s="20" t="n">
        <v>1.17574775</v>
      </c>
      <c r="M63" s="18" t="n">
        <v>0</v>
      </c>
      <c r="N63" s="20" t="n">
        <v>0</v>
      </c>
      <c r="O63" s="18" t="n">
        <v>0.31492639</v>
      </c>
      <c r="P63" s="20" t="n">
        <v>0.18803812</v>
      </c>
      <c r="Q63" s="18" t="n">
        <v>5.62497869</v>
      </c>
      <c r="R63" s="20" t="n">
        <v>0.86660689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42.28263062</v>
      </c>
      <c r="F65" s="20" t="n">
        <v>1.96886971</v>
      </c>
      <c r="G65" s="18" t="n">
        <v>47.13538238</v>
      </c>
      <c r="H65" s="20" t="n">
        <v>1.94617858</v>
      </c>
      <c r="I65" s="18" t="n">
        <v>0</v>
      </c>
      <c r="J65" s="20" t="n">
        <v>0</v>
      </c>
      <c r="K65" s="18" t="n">
        <v>8.491169340000001</v>
      </c>
      <c r="L65" s="20" t="n">
        <v>1.11694522</v>
      </c>
      <c r="M65" s="18" t="n">
        <v>0</v>
      </c>
      <c r="N65" s="20" t="n">
        <v>0</v>
      </c>
      <c r="O65" s="18" t="n">
        <v>0</v>
      </c>
      <c r="P65" s="20" t="n">
        <v>0</v>
      </c>
      <c r="Q65" s="18" t="n">
        <v>2.09081767</v>
      </c>
      <c r="R65" s="20" t="n">
        <v>0.53304159</v>
      </c>
    </row>
    <row r="66" spans="1:18">
      <c r="A66" s="15" t="s">
        <v>490</v>
      </c>
      <c r="B66" s="17" t="n">
        <v>5325</v>
      </c>
      <c r="C66" s="18">
        <f>(4438.0/B66*100)</f>
        <v/>
      </c>
      <c r="D66" s="19" t="n">
        <v>887</v>
      </c>
      <c r="E66" s="18" t="n">
        <v>36.70861296</v>
      </c>
      <c r="F66" s="20" t="n">
        <v>1.76255709</v>
      </c>
      <c r="G66" s="18" t="n">
        <v>43.53782275</v>
      </c>
      <c r="H66" s="20" t="n">
        <v>2.06042556</v>
      </c>
      <c r="I66" s="18" t="n">
        <v>0</v>
      </c>
      <c r="J66" s="20" t="n">
        <v>0</v>
      </c>
      <c r="K66" s="18" t="n">
        <v>15.60887717</v>
      </c>
      <c r="L66" s="20" t="n">
        <v>1.60973177</v>
      </c>
      <c r="M66" s="18" t="n">
        <v>1.28473641</v>
      </c>
      <c r="N66" s="20" t="n">
        <v>0.38037022</v>
      </c>
      <c r="O66" s="18" t="n">
        <v>0</v>
      </c>
      <c r="P66" s="20" t="n">
        <v>0</v>
      </c>
      <c r="Q66" s="18" t="n">
        <v>2.85995071</v>
      </c>
      <c r="R66" s="20" t="n">
        <v>0.50561183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56.50746644</v>
      </c>
      <c r="F69" s="20" t="n">
        <v>3.7329873</v>
      </c>
      <c r="G69" s="18" t="n">
        <v>38.19017307</v>
      </c>
      <c r="H69" s="20" t="n">
        <v>3.70127133</v>
      </c>
      <c r="I69" s="18" t="n">
        <v>0</v>
      </c>
      <c r="J69" s="20" t="n">
        <v>0</v>
      </c>
      <c r="K69" s="18" t="n">
        <v>2.52406217</v>
      </c>
      <c r="L69" s="20" t="n">
        <v>1.04328754</v>
      </c>
      <c r="M69" s="18" t="n">
        <v>0</v>
      </c>
      <c r="N69" s="20" t="n">
        <v>0</v>
      </c>
      <c r="O69" s="18" t="n">
        <v>0</v>
      </c>
      <c r="P69" s="20" t="n">
        <v>0</v>
      </c>
      <c r="Q69" s="18" t="n">
        <v>2.77829832</v>
      </c>
      <c r="R69" s="20" t="n">
        <v>1.64332962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54.81458528</v>
      </c>
      <c r="F71" s="20" t="n">
        <v>1.85590513</v>
      </c>
      <c r="G71" s="18" t="n">
        <v>44.69778242</v>
      </c>
      <c r="H71" s="20" t="n">
        <v>1.88594714</v>
      </c>
      <c r="I71" s="18" t="n">
        <v>0</v>
      </c>
      <c r="J71" s="20" t="n">
        <v>0</v>
      </c>
      <c r="K71" s="18" t="n">
        <v>0.2422427</v>
      </c>
      <c r="L71" s="20" t="n">
        <v>0.17058807</v>
      </c>
      <c r="M71" s="18" t="n">
        <v>0</v>
      </c>
      <c r="N71" s="20" t="n">
        <v>0</v>
      </c>
      <c r="O71" s="18" t="n">
        <v>0</v>
      </c>
      <c r="P71" s="20" t="n">
        <v>0</v>
      </c>
      <c r="Q71" s="18" t="n">
        <v>0.24538961</v>
      </c>
      <c r="R71" s="20" t="n">
        <v>0.17347073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35.52965982</v>
      </c>
      <c r="F76" s="20" t="n">
        <v>1.66084177</v>
      </c>
      <c r="G76" s="18" t="n">
        <v>40.23253217</v>
      </c>
      <c r="H76" s="20" t="n">
        <v>1.83942836</v>
      </c>
      <c r="I76" s="18" t="n">
        <v>0</v>
      </c>
      <c r="J76" s="20" t="n">
        <v>0</v>
      </c>
      <c r="K76" s="18" t="n">
        <v>20.95637166</v>
      </c>
      <c r="L76" s="20" t="n">
        <v>1.64892324</v>
      </c>
      <c r="M76" s="18" t="n">
        <v>0</v>
      </c>
      <c r="N76" s="20" t="n">
        <v>0</v>
      </c>
      <c r="O76" s="18" t="n">
        <v>0.1067634</v>
      </c>
      <c r="P76" s="20" t="n">
        <v>0.10644367</v>
      </c>
      <c r="Q76" s="18" t="n">
        <v>3.17467296</v>
      </c>
      <c r="R76" s="20" t="n">
        <v>0.74920376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30.8973141</v>
      </c>
      <c r="F80" s="20" t="n">
        <v>1.83570441</v>
      </c>
      <c r="G80" s="18" t="n">
        <v>69.02618222</v>
      </c>
      <c r="H80" s="20" t="n">
        <v>1.82980417</v>
      </c>
      <c r="I80" s="18" t="n">
        <v>0</v>
      </c>
      <c r="J80" s="20" t="n">
        <v>0</v>
      </c>
      <c r="K80" s="18" t="n">
        <v>0.07650367</v>
      </c>
      <c r="L80" s="20" t="n">
        <v>0.05433606</v>
      </c>
      <c r="M80" s="18" t="n">
        <v>0</v>
      </c>
      <c r="N80" s="20" t="n">
        <v>0</v>
      </c>
      <c r="O80" s="18" t="n">
        <v>0</v>
      </c>
      <c r="P80" s="20" t="n">
        <v>0</v>
      </c>
      <c r="Q80" s="18" t="n">
        <v>0</v>
      </c>
      <c r="R80" s="20" t="n">
        <v>0</v>
      </c>
    </row>
    <row r="81" spans="1:18">
      <c r="A81" s="15" t="s">
        <v>505</v>
      </c>
      <c r="B81" s="17" t="n">
        <v>1657</v>
      </c>
      <c r="C81" s="18">
        <f>(1389.0/B81*100)</f>
        <v/>
      </c>
      <c r="D81" s="19" t="n">
        <v>268</v>
      </c>
      <c r="E81" s="18" t="n">
        <v>31.57116255</v>
      </c>
      <c r="F81" s="20" t="n">
        <v>2.30352813</v>
      </c>
      <c r="G81" s="18" t="n">
        <v>52.10955398</v>
      </c>
      <c r="H81" s="20" t="n">
        <v>2.61615744</v>
      </c>
      <c r="I81" s="18" t="n">
        <v>0</v>
      </c>
      <c r="J81" s="20" t="n">
        <v>0</v>
      </c>
      <c r="K81" s="18" t="n">
        <v>13.36691418</v>
      </c>
      <c r="L81" s="20" t="n">
        <v>2.06558129</v>
      </c>
      <c r="M81" s="18" t="n">
        <v>0</v>
      </c>
      <c r="N81" s="20" t="n">
        <v>0</v>
      </c>
      <c r="O81" s="18" t="n">
        <v>0</v>
      </c>
      <c r="P81" s="20" t="n">
        <v>0</v>
      </c>
      <c r="Q81" s="18" t="n">
        <v>2.95236928</v>
      </c>
      <c r="R81" s="20" t="n">
        <v>0.93709214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33.53487319</v>
      </c>
      <c r="F44" s="20" t="n">
        <v>1.93933233</v>
      </c>
      <c r="G44" s="18" t="n">
        <v>49.22317402</v>
      </c>
      <c r="H44" s="20" t="n">
        <v>2.37918067</v>
      </c>
      <c r="I44" s="18" t="n">
        <v>0</v>
      </c>
      <c r="J44" s="20" t="n">
        <v>0</v>
      </c>
      <c r="K44" s="18" t="n">
        <v>14.53530582</v>
      </c>
      <c r="L44" s="20" t="n">
        <v>1.43113898</v>
      </c>
      <c r="M44" s="18" t="n">
        <v>0</v>
      </c>
      <c r="N44" s="20" t="n">
        <v>0</v>
      </c>
      <c r="O44" s="18" t="n">
        <v>0.4320076</v>
      </c>
      <c r="P44" s="20" t="n">
        <v>0.21623904</v>
      </c>
      <c r="Q44" s="18" t="n">
        <v>2.27463937</v>
      </c>
      <c r="R44" s="20" t="n">
        <v>0.59808765</v>
      </c>
    </row>
    <row r="45" spans="1:18">
      <c r="A45" s="15" t="s">
        <v>468</v>
      </c>
      <c r="B45" s="17" t="n">
        <v>5519</v>
      </c>
      <c r="C45" s="18">
        <f>(4590.0/B45*100)</f>
        <v/>
      </c>
      <c r="D45" s="19" t="n">
        <v>929</v>
      </c>
      <c r="E45" s="18" t="n">
        <v>50.44161328</v>
      </c>
      <c r="F45" s="20" t="n">
        <v>1.90686617</v>
      </c>
      <c r="G45" s="18" t="n">
        <v>28.50009609</v>
      </c>
      <c r="H45" s="20" t="n">
        <v>1.73155277</v>
      </c>
      <c r="I45" s="18" t="n">
        <v>0</v>
      </c>
      <c r="J45" s="20" t="n">
        <v>0</v>
      </c>
      <c r="K45" s="18" t="n">
        <v>16.02014432</v>
      </c>
      <c r="L45" s="20" t="n">
        <v>1.50896391</v>
      </c>
      <c r="M45" s="18" t="n">
        <v>0.3391994</v>
      </c>
      <c r="N45" s="20" t="n">
        <v>0.19538843</v>
      </c>
      <c r="O45" s="18" t="n">
        <v>2.43025947</v>
      </c>
      <c r="P45" s="20" t="n">
        <v>0.54306557</v>
      </c>
      <c r="Q45" s="18" t="n">
        <v>2.26868743</v>
      </c>
      <c r="R45" s="20" t="n">
        <v>0.4990339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47.76029326</v>
      </c>
      <c r="F54" s="20" t="n">
        <v>1.92846702</v>
      </c>
      <c r="G54" s="18" t="n">
        <v>40.29853041</v>
      </c>
      <c r="H54" s="20" t="n">
        <v>1.61897722</v>
      </c>
      <c r="I54" s="18" t="n">
        <v>0</v>
      </c>
      <c r="J54" s="20" t="n">
        <v>0</v>
      </c>
      <c r="K54" s="18" t="n">
        <v>9.63952613</v>
      </c>
      <c r="L54" s="20" t="n">
        <v>1.10918078</v>
      </c>
      <c r="M54" s="18" t="n">
        <v>0.16233345</v>
      </c>
      <c r="N54" s="20" t="n">
        <v>0.16980113</v>
      </c>
      <c r="O54" s="18" t="n">
        <v>0.33739046</v>
      </c>
      <c r="P54" s="20" t="n">
        <v>0.19031856</v>
      </c>
      <c r="Q54" s="18" t="n">
        <v>1.8019263</v>
      </c>
      <c r="R54" s="20" t="n">
        <v>0.44928938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44.65951791</v>
      </c>
      <c r="F56" s="20" t="n">
        <v>1.82094633</v>
      </c>
      <c r="G56" s="18" t="n">
        <v>49.58026573</v>
      </c>
      <c r="H56" s="20" t="n">
        <v>1.77859209</v>
      </c>
      <c r="I56" s="18" t="n">
        <v>0</v>
      </c>
      <c r="J56" s="20" t="n">
        <v>0</v>
      </c>
      <c r="K56" s="18" t="n">
        <v>4.93887137</v>
      </c>
      <c r="L56" s="20" t="n">
        <v>0.80684129</v>
      </c>
      <c r="M56" s="18" t="n">
        <v>0</v>
      </c>
      <c r="N56" s="20" t="n">
        <v>0</v>
      </c>
      <c r="O56" s="18" t="n">
        <v>0</v>
      </c>
      <c r="P56" s="20" t="n">
        <v>0</v>
      </c>
      <c r="Q56" s="18" t="n">
        <v>0.8213449900000001</v>
      </c>
      <c r="R56" s="20" t="n">
        <v>0.29503528</v>
      </c>
    </row>
    <row r="57" spans="1:18">
      <c r="A57" s="15" t="s">
        <v>480</v>
      </c>
      <c r="B57" s="17" t="n">
        <v>7267</v>
      </c>
      <c r="C57" s="18">
        <f>(6058.0/B57*100)</f>
        <v/>
      </c>
      <c r="D57" s="19" t="n">
        <v>1209</v>
      </c>
      <c r="E57" s="18" t="n">
        <v>55.87808912</v>
      </c>
      <c r="F57" s="20" t="n">
        <v>1.59240997</v>
      </c>
      <c r="G57" s="18" t="n">
        <v>33.31724985</v>
      </c>
      <c r="H57" s="20" t="n">
        <v>1.51009326</v>
      </c>
      <c r="I57" s="18" t="n">
        <v>0</v>
      </c>
      <c r="J57" s="20" t="n">
        <v>0</v>
      </c>
      <c r="K57" s="18" t="n">
        <v>9.457480240000001</v>
      </c>
      <c r="L57" s="20" t="n">
        <v>0.98627699</v>
      </c>
      <c r="M57" s="18" t="n">
        <v>0</v>
      </c>
      <c r="N57" s="20" t="n">
        <v>0</v>
      </c>
      <c r="O57" s="18" t="n">
        <v>0.13270848</v>
      </c>
      <c r="P57" s="20" t="n">
        <v>0.10447778</v>
      </c>
      <c r="Q57" s="18" t="n">
        <v>1.21447231</v>
      </c>
      <c r="R57" s="20" t="n">
        <v>0.34550406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55.54165316</v>
      </c>
      <c r="F59" s="20" t="n">
        <v>2.29600779</v>
      </c>
      <c r="G59" s="18" t="n">
        <v>38.28705839</v>
      </c>
      <c r="H59" s="20" t="n">
        <v>2.27217795</v>
      </c>
      <c r="I59" s="18" t="n">
        <v>0</v>
      </c>
      <c r="J59" s="20" t="n">
        <v>0</v>
      </c>
      <c r="K59" s="18" t="n">
        <v>3.79570503</v>
      </c>
      <c r="L59" s="20" t="n">
        <v>0.72959506</v>
      </c>
      <c r="M59" s="18" t="n">
        <v>0</v>
      </c>
      <c r="N59" s="20" t="n">
        <v>0</v>
      </c>
      <c r="O59" s="18" t="n">
        <v>1.36965027</v>
      </c>
      <c r="P59" s="20" t="n">
        <v>0.37355313</v>
      </c>
      <c r="Q59" s="18" t="n">
        <v>1.00593315</v>
      </c>
      <c r="R59" s="20" t="n">
        <v>0.34670706</v>
      </c>
    </row>
    <row r="60" spans="1:18">
      <c r="A60" s="15" t="s">
        <v>484</v>
      </c>
      <c r="B60" s="17" t="n">
        <v>4546</v>
      </c>
      <c r="C60" s="18">
        <f>(3786.0/B60*100)</f>
        <v/>
      </c>
      <c r="D60" s="19" t="n">
        <v>760</v>
      </c>
      <c r="E60" s="18" t="n">
        <v>50.06626919</v>
      </c>
      <c r="F60" s="20" t="n">
        <v>2.22378917</v>
      </c>
      <c r="G60" s="18" t="n">
        <v>26.09939427</v>
      </c>
      <c r="H60" s="20" t="n">
        <v>2.01309813</v>
      </c>
      <c r="I60" s="18" t="n">
        <v>0</v>
      </c>
      <c r="J60" s="20" t="n">
        <v>0</v>
      </c>
      <c r="K60" s="18" t="n">
        <v>19.52254911</v>
      </c>
      <c r="L60" s="20" t="n">
        <v>1.55285988</v>
      </c>
      <c r="M60" s="18" t="n">
        <v>0</v>
      </c>
      <c r="N60" s="20" t="n">
        <v>0</v>
      </c>
      <c r="O60" s="18" t="n">
        <v>2.92752956</v>
      </c>
      <c r="P60" s="20" t="n">
        <v>0.9752216</v>
      </c>
      <c r="Q60" s="18" t="n">
        <v>1.38425787</v>
      </c>
      <c r="R60" s="20" t="n">
        <v>0.47419816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59.40642049</v>
      </c>
      <c r="F63" s="20" t="n">
        <v>1.90576251</v>
      </c>
      <c r="G63" s="18" t="n">
        <v>23.94230148</v>
      </c>
      <c r="H63" s="20" t="n">
        <v>1.48434075</v>
      </c>
      <c r="I63" s="18" t="n">
        <v>0</v>
      </c>
      <c r="J63" s="20" t="n">
        <v>0</v>
      </c>
      <c r="K63" s="18" t="n">
        <v>12.23294291</v>
      </c>
      <c r="L63" s="20" t="n">
        <v>1.24953997</v>
      </c>
      <c r="M63" s="18" t="n">
        <v>0</v>
      </c>
      <c r="N63" s="20" t="n">
        <v>0</v>
      </c>
      <c r="O63" s="18" t="n">
        <v>0.13235903</v>
      </c>
      <c r="P63" s="20" t="n">
        <v>0.13327813</v>
      </c>
      <c r="Q63" s="18" t="n">
        <v>4.28597609</v>
      </c>
      <c r="R63" s="20" t="n">
        <v>0.82542763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46.17213107</v>
      </c>
      <c r="F65" s="20" t="n">
        <v>2.16239211</v>
      </c>
      <c r="G65" s="18" t="n">
        <v>43.95745771</v>
      </c>
      <c r="H65" s="20" t="n">
        <v>2.10372702</v>
      </c>
      <c r="I65" s="18" t="n">
        <v>0</v>
      </c>
      <c r="J65" s="20" t="n">
        <v>0</v>
      </c>
      <c r="K65" s="18" t="n">
        <v>8.65206644</v>
      </c>
      <c r="L65" s="20" t="n">
        <v>1.14737758</v>
      </c>
      <c r="M65" s="18" t="n">
        <v>0</v>
      </c>
      <c r="N65" s="20" t="n">
        <v>0</v>
      </c>
      <c r="O65" s="18" t="n">
        <v>0</v>
      </c>
      <c r="P65" s="20" t="n">
        <v>0</v>
      </c>
      <c r="Q65" s="18" t="n">
        <v>1.21834478</v>
      </c>
      <c r="R65" s="20" t="n">
        <v>0.46741829</v>
      </c>
    </row>
    <row r="66" spans="1:18">
      <c r="A66" s="15" t="s">
        <v>490</v>
      </c>
      <c r="B66" s="17" t="n">
        <v>5325</v>
      </c>
      <c r="C66" s="18">
        <f>(4438.0/B66*100)</f>
        <v/>
      </c>
      <c r="D66" s="19" t="n">
        <v>887</v>
      </c>
      <c r="E66" s="18" t="n">
        <v>36.15629972</v>
      </c>
      <c r="F66" s="20" t="n">
        <v>1.8223443</v>
      </c>
      <c r="G66" s="18" t="n">
        <v>43.24465282</v>
      </c>
      <c r="H66" s="20" t="n">
        <v>1.94789841</v>
      </c>
      <c r="I66" s="18" t="n">
        <v>0</v>
      </c>
      <c r="J66" s="20" t="n">
        <v>0</v>
      </c>
      <c r="K66" s="18" t="n">
        <v>16.68892064</v>
      </c>
      <c r="L66" s="20" t="n">
        <v>1.62204323</v>
      </c>
      <c r="M66" s="18" t="n">
        <v>2.49216732</v>
      </c>
      <c r="N66" s="20" t="n">
        <v>0.57609996</v>
      </c>
      <c r="O66" s="18" t="n">
        <v>0</v>
      </c>
      <c r="P66" s="20" t="n">
        <v>0</v>
      </c>
      <c r="Q66" s="18" t="n">
        <v>1.41795951</v>
      </c>
      <c r="R66" s="20" t="n">
        <v>0.35390221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58.34248403</v>
      </c>
      <c r="F69" s="20" t="n">
        <v>2.81853221</v>
      </c>
      <c r="G69" s="18" t="n">
        <v>37.07399351</v>
      </c>
      <c r="H69" s="20" t="n">
        <v>3.13329082</v>
      </c>
      <c r="I69" s="18" t="n">
        <v>0</v>
      </c>
      <c r="J69" s="20" t="n">
        <v>0</v>
      </c>
      <c r="K69" s="18" t="n">
        <v>2.52406217</v>
      </c>
      <c r="L69" s="20" t="n">
        <v>1.04328754</v>
      </c>
      <c r="M69" s="18" t="n">
        <v>0</v>
      </c>
      <c r="N69" s="20" t="n">
        <v>0</v>
      </c>
      <c r="O69" s="18" t="n">
        <v>0</v>
      </c>
      <c r="P69" s="20" t="n">
        <v>0</v>
      </c>
      <c r="Q69" s="18" t="n">
        <v>2.05946029</v>
      </c>
      <c r="R69" s="20" t="n">
        <v>1.55062352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57.64543808</v>
      </c>
      <c r="F71" s="20" t="n">
        <v>1.9271908</v>
      </c>
      <c r="G71" s="18" t="n">
        <v>41.87345468</v>
      </c>
      <c r="H71" s="20" t="n">
        <v>1.95016573</v>
      </c>
      <c r="I71" s="18" t="n">
        <v>0</v>
      </c>
      <c r="J71" s="20" t="n">
        <v>0</v>
      </c>
      <c r="K71" s="18" t="n">
        <v>0.3634999</v>
      </c>
      <c r="L71" s="20" t="n">
        <v>0.20848629</v>
      </c>
      <c r="M71" s="18" t="n">
        <v>0</v>
      </c>
      <c r="N71" s="20" t="n">
        <v>0</v>
      </c>
      <c r="O71" s="18" t="n">
        <v>0</v>
      </c>
      <c r="P71" s="20" t="n">
        <v>0</v>
      </c>
      <c r="Q71" s="18" t="n">
        <v>0.11760733</v>
      </c>
      <c r="R71" s="20" t="n">
        <v>0.11725775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45.21955531</v>
      </c>
      <c r="F76" s="20" t="n">
        <v>2.06278344</v>
      </c>
      <c r="G76" s="18" t="n">
        <v>30.97180272</v>
      </c>
      <c r="H76" s="20" t="n">
        <v>1.69127516</v>
      </c>
      <c r="I76" s="18" t="n">
        <v>0</v>
      </c>
      <c r="J76" s="20" t="n">
        <v>0</v>
      </c>
      <c r="K76" s="18" t="n">
        <v>21.39803447</v>
      </c>
      <c r="L76" s="20" t="n">
        <v>1.65331447</v>
      </c>
      <c r="M76" s="18" t="n">
        <v>0</v>
      </c>
      <c r="N76" s="20" t="n">
        <v>0</v>
      </c>
      <c r="O76" s="18" t="n">
        <v>0.08736866</v>
      </c>
      <c r="P76" s="20" t="n">
        <v>0.08784251999999999</v>
      </c>
      <c r="Q76" s="18" t="n">
        <v>2.32323884</v>
      </c>
      <c r="R76" s="20" t="n">
        <v>0.73523888</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1657</v>
      </c>
      <c r="C81" s="18">
        <f>(1389.0/B81*100)</f>
        <v/>
      </c>
      <c r="D81" s="19" t="n">
        <v>268</v>
      </c>
      <c r="E81" s="18" t="n">
        <v>34.50402877</v>
      </c>
      <c r="F81" s="20" t="n">
        <v>3.29530854</v>
      </c>
      <c r="G81" s="18" t="n">
        <v>50.99565086</v>
      </c>
      <c r="H81" s="20" t="n">
        <v>3.43503797</v>
      </c>
      <c r="I81" s="18" t="n">
        <v>0</v>
      </c>
      <c r="J81" s="20" t="n">
        <v>0</v>
      </c>
      <c r="K81" s="18" t="n">
        <v>13.36691418</v>
      </c>
      <c r="L81" s="20" t="n">
        <v>2.06558129</v>
      </c>
      <c r="M81" s="18" t="n">
        <v>0</v>
      </c>
      <c r="N81" s="20" t="n">
        <v>0</v>
      </c>
      <c r="O81" s="18" t="n">
        <v>0</v>
      </c>
      <c r="P81" s="20" t="n">
        <v>0</v>
      </c>
      <c r="Q81" s="18" t="n">
        <v>1.13340619</v>
      </c>
      <c r="R81" s="20" t="n">
        <v>0.57928214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26.54049832</v>
      </c>
      <c r="F44" s="20" t="n">
        <v>1.86808666</v>
      </c>
      <c r="G44" s="18" t="n">
        <v>56.63474963</v>
      </c>
      <c r="H44" s="20" t="n">
        <v>2.11374731</v>
      </c>
      <c r="I44" s="18" t="n">
        <v>0</v>
      </c>
      <c r="J44" s="20" t="n">
        <v>0</v>
      </c>
      <c r="K44" s="18" t="n">
        <v>15.97762799</v>
      </c>
      <c r="L44" s="20" t="n">
        <v>1.54766422</v>
      </c>
      <c r="M44" s="18" t="n">
        <v>0</v>
      </c>
      <c r="N44" s="20" t="n">
        <v>0</v>
      </c>
      <c r="O44" s="18" t="n">
        <v>0.52999687</v>
      </c>
      <c r="P44" s="20" t="n">
        <v>0.23664085</v>
      </c>
      <c r="Q44" s="18" t="n">
        <v>0.31712719</v>
      </c>
      <c r="R44" s="20" t="n">
        <v>0.18393428</v>
      </c>
    </row>
    <row r="45" spans="1:18">
      <c r="A45" s="15" t="s">
        <v>468</v>
      </c>
      <c r="B45" s="17" t="n">
        <v>5519</v>
      </c>
      <c r="C45" s="18">
        <f>(4590.0/B45*100)</f>
        <v/>
      </c>
      <c r="D45" s="19" t="n">
        <v>929</v>
      </c>
      <c r="E45" s="18" t="n">
        <v>39.35072108</v>
      </c>
      <c r="F45" s="20" t="n">
        <v>1.69103654</v>
      </c>
      <c r="G45" s="18" t="n">
        <v>38.75866024</v>
      </c>
      <c r="H45" s="20" t="n">
        <v>1.71104085</v>
      </c>
      <c r="I45" s="18" t="n">
        <v>0</v>
      </c>
      <c r="J45" s="20" t="n">
        <v>0</v>
      </c>
      <c r="K45" s="18" t="n">
        <v>18.63700519</v>
      </c>
      <c r="L45" s="20" t="n">
        <v>1.61509037</v>
      </c>
      <c r="M45" s="18" t="n">
        <v>0.6491252</v>
      </c>
      <c r="N45" s="20" t="n">
        <v>0.25324235</v>
      </c>
      <c r="O45" s="18" t="n">
        <v>1.73619424</v>
      </c>
      <c r="P45" s="20" t="n">
        <v>0.46631857</v>
      </c>
      <c r="Q45" s="18" t="n">
        <v>0.86829406</v>
      </c>
      <c r="R45" s="20" t="n">
        <v>0.29042635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29.74847667</v>
      </c>
      <c r="F54" s="20" t="n">
        <v>1.80116371</v>
      </c>
      <c r="G54" s="18" t="n">
        <v>60.01152789</v>
      </c>
      <c r="H54" s="20" t="n">
        <v>1.95219339</v>
      </c>
      <c r="I54" s="18" t="n">
        <v>0</v>
      </c>
      <c r="J54" s="20" t="n">
        <v>0</v>
      </c>
      <c r="K54" s="18" t="n">
        <v>9.737013040000001</v>
      </c>
      <c r="L54" s="20" t="n">
        <v>1.0994654</v>
      </c>
      <c r="M54" s="18" t="n">
        <v>0</v>
      </c>
      <c r="N54" s="20" t="n">
        <v>0</v>
      </c>
      <c r="O54" s="18" t="n">
        <v>0.29727201</v>
      </c>
      <c r="P54" s="20" t="n">
        <v>0.21227938</v>
      </c>
      <c r="Q54" s="18" t="n">
        <v>0.20571039</v>
      </c>
      <c r="R54" s="20" t="n">
        <v>0.14745506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27.73541692</v>
      </c>
      <c r="F56" s="20" t="n">
        <v>1.68909659</v>
      </c>
      <c r="G56" s="18" t="n">
        <v>66.7096671</v>
      </c>
      <c r="H56" s="20" t="n">
        <v>1.75047912</v>
      </c>
      <c r="I56" s="18" t="n">
        <v>0</v>
      </c>
      <c r="J56" s="20" t="n">
        <v>0</v>
      </c>
      <c r="K56" s="18" t="n">
        <v>5.41630765</v>
      </c>
      <c r="L56" s="20" t="n">
        <v>0.88969518</v>
      </c>
      <c r="M56" s="18" t="n">
        <v>0</v>
      </c>
      <c r="N56" s="20" t="n">
        <v>0</v>
      </c>
      <c r="O56" s="18" t="n">
        <v>0</v>
      </c>
      <c r="P56" s="20" t="n">
        <v>0</v>
      </c>
      <c r="Q56" s="18" t="n">
        <v>0.13860833</v>
      </c>
      <c r="R56" s="20" t="n">
        <v>0.10336069</v>
      </c>
    </row>
    <row r="57" spans="1:18">
      <c r="A57" s="15" t="s">
        <v>480</v>
      </c>
      <c r="B57" s="17" t="n">
        <v>7267</v>
      </c>
      <c r="C57" s="18">
        <f>(6058.0/B57*100)</f>
        <v/>
      </c>
      <c r="D57" s="19" t="n">
        <v>1209</v>
      </c>
      <c r="E57" s="18" t="n">
        <v>29.58746906</v>
      </c>
      <c r="F57" s="20" t="n">
        <v>1.87346813</v>
      </c>
      <c r="G57" s="18" t="n">
        <v>59.36216766</v>
      </c>
      <c r="H57" s="20" t="n">
        <v>2.00869057</v>
      </c>
      <c r="I57" s="18" t="n">
        <v>0</v>
      </c>
      <c r="J57" s="20" t="n">
        <v>0</v>
      </c>
      <c r="K57" s="18" t="n">
        <v>10.31739024</v>
      </c>
      <c r="L57" s="20" t="n">
        <v>1.07481368</v>
      </c>
      <c r="M57" s="18" t="n">
        <v>0</v>
      </c>
      <c r="N57" s="20" t="n">
        <v>0</v>
      </c>
      <c r="O57" s="18" t="n">
        <v>0.09900486</v>
      </c>
      <c r="P57" s="20" t="n">
        <v>0.09896033</v>
      </c>
      <c r="Q57" s="18" t="n">
        <v>0.6339681700000001</v>
      </c>
      <c r="R57" s="20" t="n">
        <v>0.26325468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43.61267337</v>
      </c>
      <c r="F59" s="20" t="n">
        <v>2.10538809</v>
      </c>
      <c r="G59" s="18" t="n">
        <v>51.16993976</v>
      </c>
      <c r="H59" s="20" t="n">
        <v>2.09828528</v>
      </c>
      <c r="I59" s="18" t="n">
        <v>0</v>
      </c>
      <c r="J59" s="20" t="n">
        <v>0</v>
      </c>
      <c r="K59" s="18" t="n">
        <v>3.97093089</v>
      </c>
      <c r="L59" s="20" t="n">
        <v>0.76308589</v>
      </c>
      <c r="M59" s="18" t="n">
        <v>0</v>
      </c>
      <c r="N59" s="20" t="n">
        <v>0</v>
      </c>
      <c r="O59" s="18" t="n">
        <v>1.24645597</v>
      </c>
      <c r="P59" s="20" t="n">
        <v>0.38746675</v>
      </c>
      <c r="Q59" s="18" t="n">
        <v>0</v>
      </c>
      <c r="R59" s="20" t="n">
        <v>0</v>
      </c>
    </row>
    <row r="60" spans="1:18">
      <c r="A60" s="15" t="s">
        <v>484</v>
      </c>
      <c r="B60" s="17" t="n">
        <v>4546</v>
      </c>
      <c r="C60" s="18">
        <f>(3786.0/B60*100)</f>
        <v/>
      </c>
      <c r="D60" s="19" t="n">
        <v>760</v>
      </c>
      <c r="E60" s="18" t="n">
        <v>33.93013062</v>
      </c>
      <c r="F60" s="20" t="n">
        <v>2.21942886</v>
      </c>
      <c r="G60" s="18" t="n">
        <v>43.31814389</v>
      </c>
      <c r="H60" s="20" t="n">
        <v>1.96429875</v>
      </c>
      <c r="I60" s="18" t="n">
        <v>0</v>
      </c>
      <c r="J60" s="20" t="n">
        <v>0</v>
      </c>
      <c r="K60" s="18" t="n">
        <v>20.24753248</v>
      </c>
      <c r="L60" s="20" t="n">
        <v>1.57097953</v>
      </c>
      <c r="M60" s="18" t="n">
        <v>0</v>
      </c>
      <c r="N60" s="20" t="n">
        <v>0</v>
      </c>
      <c r="O60" s="18" t="n">
        <v>1.47925253</v>
      </c>
      <c r="P60" s="20" t="n">
        <v>0.56621499</v>
      </c>
      <c r="Q60" s="18" t="n">
        <v>1.02494047</v>
      </c>
      <c r="R60" s="20" t="n">
        <v>0.49580623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42.46240322</v>
      </c>
      <c r="F63" s="20" t="n">
        <v>1.87890628</v>
      </c>
      <c r="G63" s="18" t="n">
        <v>42.42234192</v>
      </c>
      <c r="H63" s="20" t="n">
        <v>1.95165979</v>
      </c>
      <c r="I63" s="18" t="n">
        <v>0</v>
      </c>
      <c r="J63" s="20" t="n">
        <v>0</v>
      </c>
      <c r="K63" s="18" t="n">
        <v>13.32943578</v>
      </c>
      <c r="L63" s="20" t="n">
        <v>1.32168614</v>
      </c>
      <c r="M63" s="18" t="n">
        <v>0</v>
      </c>
      <c r="N63" s="20" t="n">
        <v>0</v>
      </c>
      <c r="O63" s="18" t="n">
        <v>0.53597996</v>
      </c>
      <c r="P63" s="20" t="n">
        <v>0.24534992</v>
      </c>
      <c r="Q63" s="18" t="n">
        <v>1.24983912</v>
      </c>
      <c r="R63" s="20" t="n">
        <v>0.38752061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32.63394139</v>
      </c>
      <c r="F65" s="20" t="n">
        <v>1.80896538</v>
      </c>
      <c r="G65" s="18" t="n">
        <v>57.90770901</v>
      </c>
      <c r="H65" s="20" t="n">
        <v>1.98017827</v>
      </c>
      <c r="I65" s="18" t="n">
        <v>0</v>
      </c>
      <c r="J65" s="20" t="n">
        <v>0</v>
      </c>
      <c r="K65" s="18" t="n">
        <v>9.116989459999999</v>
      </c>
      <c r="L65" s="20" t="n">
        <v>1.20071582</v>
      </c>
      <c r="M65" s="18" t="n">
        <v>0</v>
      </c>
      <c r="N65" s="20" t="n">
        <v>0</v>
      </c>
      <c r="O65" s="18" t="n">
        <v>0</v>
      </c>
      <c r="P65" s="20" t="n">
        <v>0</v>
      </c>
      <c r="Q65" s="18" t="n">
        <v>0.34136014</v>
      </c>
      <c r="R65" s="20" t="n">
        <v>0.24259042</v>
      </c>
    </row>
    <row r="66" spans="1:18">
      <c r="A66" s="15" t="s">
        <v>490</v>
      </c>
      <c r="B66" s="17" t="n">
        <v>5325</v>
      </c>
      <c r="C66" s="18">
        <f>(4438.0/B66*100)</f>
        <v/>
      </c>
      <c r="D66" s="19" t="n">
        <v>887</v>
      </c>
      <c r="E66" s="18" t="n">
        <v>28.19121959</v>
      </c>
      <c r="F66" s="20" t="n">
        <v>1.51703632</v>
      </c>
      <c r="G66" s="18" t="n">
        <v>52.92417843</v>
      </c>
      <c r="H66" s="20" t="n">
        <v>1.71370917</v>
      </c>
      <c r="I66" s="18" t="n">
        <v>0</v>
      </c>
      <c r="J66" s="20" t="n">
        <v>0</v>
      </c>
      <c r="K66" s="18" t="n">
        <v>17.39633607</v>
      </c>
      <c r="L66" s="20" t="n">
        <v>1.62170867</v>
      </c>
      <c r="M66" s="18" t="n">
        <v>1.10106414</v>
      </c>
      <c r="N66" s="20" t="n">
        <v>0.36078137</v>
      </c>
      <c r="O66" s="18" t="n">
        <v>0</v>
      </c>
      <c r="P66" s="20" t="n">
        <v>0</v>
      </c>
      <c r="Q66" s="18" t="n">
        <v>0.38720177</v>
      </c>
      <c r="R66" s="20" t="n">
        <v>0.19405055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36.54518226</v>
      </c>
      <c r="F69" s="20" t="n">
        <v>4.05366437</v>
      </c>
      <c r="G69" s="18" t="n">
        <v>60.42246348</v>
      </c>
      <c r="H69" s="20" t="n">
        <v>4.01668711</v>
      </c>
      <c r="I69" s="18" t="n">
        <v>0</v>
      </c>
      <c r="J69" s="20" t="n">
        <v>0</v>
      </c>
      <c r="K69" s="18" t="n">
        <v>2.52406217</v>
      </c>
      <c r="L69" s="20" t="n">
        <v>1.04328754</v>
      </c>
      <c r="M69" s="18" t="n">
        <v>0</v>
      </c>
      <c r="N69" s="20" t="n">
        <v>0</v>
      </c>
      <c r="O69" s="18" t="n">
        <v>0</v>
      </c>
      <c r="P69" s="20" t="n">
        <v>0</v>
      </c>
      <c r="Q69" s="18" t="n">
        <v>0.50829209</v>
      </c>
      <c r="R69" s="20" t="n">
        <v>0.48753306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49.16618583</v>
      </c>
      <c r="F71" s="20" t="n">
        <v>1.67705915</v>
      </c>
      <c r="G71" s="18" t="n">
        <v>50.35270693</v>
      </c>
      <c r="H71" s="20" t="n">
        <v>1.68911221</v>
      </c>
      <c r="I71" s="18" t="n">
        <v>0</v>
      </c>
      <c r="J71" s="20" t="n">
        <v>0</v>
      </c>
      <c r="K71" s="18" t="n">
        <v>0.3634999</v>
      </c>
      <c r="L71" s="20" t="n">
        <v>0.20848629</v>
      </c>
      <c r="M71" s="18" t="n">
        <v>0</v>
      </c>
      <c r="N71" s="20" t="n">
        <v>0</v>
      </c>
      <c r="O71" s="18" t="n">
        <v>0</v>
      </c>
      <c r="P71" s="20" t="n">
        <v>0</v>
      </c>
      <c r="Q71" s="18" t="n">
        <v>0.11760733</v>
      </c>
      <c r="R71" s="20" t="n">
        <v>0.11725775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24.22698726</v>
      </c>
      <c r="F76" s="20" t="n">
        <v>1.59994877</v>
      </c>
      <c r="G76" s="18" t="n">
        <v>54.02355153</v>
      </c>
      <c r="H76" s="20" t="n">
        <v>1.8991903</v>
      </c>
      <c r="I76" s="18" t="n">
        <v>0</v>
      </c>
      <c r="J76" s="20" t="n">
        <v>0</v>
      </c>
      <c r="K76" s="18" t="n">
        <v>21.58102418</v>
      </c>
      <c r="L76" s="20" t="n">
        <v>1.6734786</v>
      </c>
      <c r="M76" s="18" t="n">
        <v>0</v>
      </c>
      <c r="N76" s="20" t="n">
        <v>0</v>
      </c>
      <c r="O76" s="18" t="n">
        <v>0</v>
      </c>
      <c r="P76" s="20" t="n">
        <v>0</v>
      </c>
      <c r="Q76" s="18" t="n">
        <v>0.16843703</v>
      </c>
      <c r="R76" s="20" t="n">
        <v>0.11482455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1657</v>
      </c>
      <c r="C81" s="18">
        <f>(1389.0/B81*100)</f>
        <v/>
      </c>
      <c r="D81" s="19" t="n">
        <v>268</v>
      </c>
      <c r="E81" s="18" t="n">
        <v>16.05767701</v>
      </c>
      <c r="F81" s="20" t="n">
        <v>2.46662094</v>
      </c>
      <c r="G81" s="18" t="n">
        <v>69.96537655</v>
      </c>
      <c r="H81" s="20" t="n">
        <v>2.96402819</v>
      </c>
      <c r="I81" s="18" t="n">
        <v>0</v>
      </c>
      <c r="J81" s="20" t="n">
        <v>0</v>
      </c>
      <c r="K81" s="18" t="n">
        <v>13.547637</v>
      </c>
      <c r="L81" s="20" t="n">
        <v>2.10129299</v>
      </c>
      <c r="M81" s="18" t="n">
        <v>0</v>
      </c>
      <c r="N81" s="20" t="n">
        <v>0</v>
      </c>
      <c r="O81" s="18" t="n">
        <v>0</v>
      </c>
      <c r="P81" s="20" t="n">
        <v>0</v>
      </c>
      <c r="Q81" s="18" t="n">
        <v>0.42930944</v>
      </c>
      <c r="R81" s="20" t="n">
        <v>0.40515186</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639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39.97575349</v>
      </c>
      <c r="F44" s="20" t="n">
        <v>2.57877217</v>
      </c>
      <c r="G44" s="18" t="n">
        <v>41.41377655</v>
      </c>
      <c r="H44" s="20" t="n">
        <v>2.37878569</v>
      </c>
      <c r="I44" s="18" t="n">
        <v>0</v>
      </c>
      <c r="J44" s="20" t="n">
        <v>0</v>
      </c>
      <c r="K44" s="18" t="n">
        <v>17.86992119</v>
      </c>
      <c r="L44" s="20" t="n">
        <v>1.63311997</v>
      </c>
      <c r="M44" s="18" t="n">
        <v>0</v>
      </c>
      <c r="N44" s="20" t="n">
        <v>0</v>
      </c>
      <c r="O44" s="18" t="n">
        <v>0.74054877</v>
      </c>
      <c r="P44" s="20" t="n">
        <v>0.35314341</v>
      </c>
      <c r="Q44" s="18" t="n">
        <v>0</v>
      </c>
      <c r="R44" s="20" t="n">
        <v>0</v>
      </c>
    </row>
    <row r="45" spans="1:18">
      <c r="A45" s="15" t="s">
        <v>468</v>
      </c>
      <c r="B45" s="17" t="n">
        <v>5519</v>
      </c>
      <c r="C45" s="18">
        <f>(4590.0/B45*100)</f>
        <v/>
      </c>
      <c r="D45" s="19" t="n">
        <v>929</v>
      </c>
      <c r="E45" s="18" t="n">
        <v>38.84915652</v>
      </c>
      <c r="F45" s="20" t="n">
        <v>1.7538955</v>
      </c>
      <c r="G45" s="18" t="n">
        <v>39.58083514</v>
      </c>
      <c r="H45" s="20" t="n">
        <v>1.71253302</v>
      </c>
      <c r="I45" s="18" t="n">
        <v>0</v>
      </c>
      <c r="J45" s="20" t="n">
        <v>0</v>
      </c>
      <c r="K45" s="18" t="n">
        <v>19.57115582</v>
      </c>
      <c r="L45" s="20" t="n">
        <v>1.6629121</v>
      </c>
      <c r="M45" s="18" t="n">
        <v>0.89282892</v>
      </c>
      <c r="N45" s="20" t="n">
        <v>0.29826749</v>
      </c>
      <c r="O45" s="18" t="n">
        <v>1.10602359</v>
      </c>
      <c r="P45" s="20" t="n">
        <v>0.3849029</v>
      </c>
      <c r="Q45" s="18" t="n">
        <v>0</v>
      </c>
      <c r="R45" s="20" t="n">
        <v>0</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(4447.0/B54*100)</f>
        <v/>
      </c>
      <c r="D54" s="19" t="n">
        <v>869</v>
      </c>
      <c r="E54" s="18" t="n">
        <v>44.58083719</v>
      </c>
      <c r="F54" s="20" t="n">
        <v>2.09866097</v>
      </c>
      <c r="G54" s="18" t="n">
        <v>43.00917374</v>
      </c>
      <c r="H54" s="20" t="n">
        <v>2.05328481</v>
      </c>
      <c r="I54" s="18" t="n">
        <v>0</v>
      </c>
      <c r="J54" s="20" t="n">
        <v>0</v>
      </c>
      <c r="K54" s="18" t="n">
        <v>11.92317174</v>
      </c>
      <c r="L54" s="20" t="n">
        <v>1.21576648</v>
      </c>
      <c r="M54" s="18" t="n">
        <v>0</v>
      </c>
      <c r="N54" s="20" t="n">
        <v>0</v>
      </c>
      <c r="O54" s="18" t="n">
        <v>0.48681733</v>
      </c>
      <c r="P54" s="20" t="n">
        <v>0.24509389</v>
      </c>
      <c r="Q54" s="18" t="n">
        <v>0</v>
      </c>
      <c r="R54" s="20" t="n">
        <v>0</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(5405.0/B56*100)</f>
        <v/>
      </c>
      <c r="D56" s="19" t="n">
        <v>1108</v>
      </c>
      <c r="E56" s="18" t="n">
        <v>36.40372877</v>
      </c>
      <c r="F56" s="20" t="n">
        <v>1.62438359</v>
      </c>
      <c r="G56" s="18" t="n">
        <v>57.24802695</v>
      </c>
      <c r="H56" s="20" t="n">
        <v>1.67066578</v>
      </c>
      <c r="I56" s="18" t="n">
        <v>0</v>
      </c>
      <c r="J56" s="20" t="n">
        <v>0</v>
      </c>
      <c r="K56" s="18" t="n">
        <v>6.34824427</v>
      </c>
      <c r="L56" s="20" t="n">
        <v>0.92763373</v>
      </c>
      <c r="M56" s="18" t="n">
        <v>0</v>
      </c>
      <c r="N56" s="20" t="n">
        <v>0</v>
      </c>
      <c r="O56" s="18" t="n">
        <v>0</v>
      </c>
      <c r="P56" s="20" t="n">
        <v>0</v>
      </c>
      <c r="Q56" s="18" t="n">
        <v>0</v>
      </c>
      <c r="R56" s="20" t="n">
        <v>0</v>
      </c>
    </row>
    <row r="57" spans="1:18">
      <c r="A57" s="15" t="s">
        <v>480</v>
      </c>
      <c r="B57" s="17" t="n">
        <v>7267</v>
      </c>
      <c r="C57" s="18">
        <f>(6058.0/B57*100)</f>
        <v/>
      </c>
      <c r="D57" s="19" t="n">
        <v>1209</v>
      </c>
      <c r="E57" s="18" t="n">
        <v>44.76615078</v>
      </c>
      <c r="F57" s="20" t="n">
        <v>1.66881014</v>
      </c>
      <c r="G57" s="18" t="n">
        <v>43.27396853</v>
      </c>
      <c r="H57" s="20" t="n">
        <v>1.74513641</v>
      </c>
      <c r="I57" s="18" t="n">
        <v>0</v>
      </c>
      <c r="J57" s="20" t="n">
        <v>0</v>
      </c>
      <c r="K57" s="18" t="n">
        <v>11.63084274</v>
      </c>
      <c r="L57" s="20" t="n">
        <v>1.18933803</v>
      </c>
      <c r="M57" s="18" t="n">
        <v>0</v>
      </c>
      <c r="N57" s="20" t="n">
        <v>0</v>
      </c>
      <c r="O57" s="18" t="n">
        <v>0.32903795</v>
      </c>
      <c r="P57" s="20" t="n">
        <v>0.19067931</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(4033.0/B59*100)</f>
        <v/>
      </c>
      <c r="D59" s="19" t="n">
        <v>793</v>
      </c>
      <c r="E59" s="18" t="n">
        <v>53.74626787</v>
      </c>
      <c r="F59" s="20" t="n">
        <v>2.07518566</v>
      </c>
      <c r="G59" s="18" t="n">
        <v>39.63191259</v>
      </c>
      <c r="H59" s="20" t="n">
        <v>1.96845247</v>
      </c>
      <c r="I59" s="18" t="n">
        <v>0</v>
      </c>
      <c r="J59" s="20" t="n">
        <v>0</v>
      </c>
      <c r="K59" s="18" t="n">
        <v>4.46396014</v>
      </c>
      <c r="L59" s="20" t="n">
        <v>0.76290272</v>
      </c>
      <c r="M59" s="18" t="n">
        <v>0</v>
      </c>
      <c r="N59" s="20" t="n">
        <v>0</v>
      </c>
      <c r="O59" s="18" t="n">
        <v>2.1578594</v>
      </c>
      <c r="P59" s="20" t="n">
        <v>0.47459765</v>
      </c>
      <c r="Q59" s="18" t="n">
        <v>0</v>
      </c>
      <c r="R59" s="20" t="n">
        <v>0</v>
      </c>
    </row>
    <row r="60" spans="1:18">
      <c r="A60" s="15" t="s">
        <v>484</v>
      </c>
      <c r="B60" s="17" t="n">
        <v>4546</v>
      </c>
      <c r="C60" s="18">
        <f>(3786.0/B60*100)</f>
        <v/>
      </c>
      <c r="D60" s="19" t="n">
        <v>760</v>
      </c>
      <c r="E60" s="18" t="n">
        <v>41.71345402</v>
      </c>
      <c r="F60" s="20" t="n">
        <v>1.94392874</v>
      </c>
      <c r="G60" s="18" t="n">
        <v>34.09107894</v>
      </c>
      <c r="H60" s="20" t="n">
        <v>1.95115493</v>
      </c>
      <c r="I60" s="18" t="n">
        <v>0</v>
      </c>
      <c r="J60" s="20" t="n">
        <v>0</v>
      </c>
      <c r="K60" s="18" t="n">
        <v>21.75465917</v>
      </c>
      <c r="L60" s="20" t="n">
        <v>1.58589046</v>
      </c>
      <c r="M60" s="18" t="n">
        <v>0</v>
      </c>
      <c r="N60" s="20" t="n">
        <v>0</v>
      </c>
      <c r="O60" s="18" t="n">
        <v>2.44080787</v>
      </c>
      <c r="P60" s="20" t="n">
        <v>0.6291046</v>
      </c>
      <c r="Q60" s="18" t="n">
        <v>0</v>
      </c>
      <c r="R60" s="20" t="n">
        <v>0</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48.62655021</v>
      </c>
      <c r="F63" s="20" t="n">
        <v>2.1099826</v>
      </c>
      <c r="G63" s="18" t="n">
        <v>35.95946891</v>
      </c>
      <c r="H63" s="20" t="n">
        <v>1.91246056</v>
      </c>
      <c r="I63" s="18" t="n">
        <v>0</v>
      </c>
      <c r="J63" s="20" t="n">
        <v>0</v>
      </c>
      <c r="K63" s="18" t="n">
        <v>14.87737316</v>
      </c>
      <c r="L63" s="20" t="n">
        <v>1.38096669</v>
      </c>
      <c r="M63" s="18" t="n">
        <v>0</v>
      </c>
      <c r="N63" s="20" t="n">
        <v>0</v>
      </c>
      <c r="O63" s="18" t="n">
        <v>0.53660772</v>
      </c>
      <c r="P63" s="20" t="n">
        <v>0.24262215</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(3031.0/B65*100)</f>
        <v/>
      </c>
      <c r="D65" s="19" t="n">
        <v>603</v>
      </c>
      <c r="E65" s="18" t="n">
        <v>43.86272218</v>
      </c>
      <c r="F65" s="20" t="n">
        <v>2.05901453</v>
      </c>
      <c r="G65" s="18" t="n">
        <v>46.55571586</v>
      </c>
      <c r="H65" s="20" t="n">
        <v>1.98250772</v>
      </c>
      <c r="I65" s="18" t="n">
        <v>0</v>
      </c>
      <c r="J65" s="20" t="n">
        <v>0</v>
      </c>
      <c r="K65" s="18" t="n">
        <v>9.438913169999999</v>
      </c>
      <c r="L65" s="20" t="n">
        <v>1.20906708</v>
      </c>
      <c r="M65" s="18" t="n">
        <v>0</v>
      </c>
      <c r="N65" s="20" t="n">
        <v>0</v>
      </c>
      <c r="O65" s="18" t="n">
        <v>0.14264879</v>
      </c>
      <c r="P65" s="20" t="n">
        <v>0.14244991</v>
      </c>
      <c r="Q65" s="18" t="n">
        <v>0</v>
      </c>
      <c r="R65" s="20" t="n">
        <v>0</v>
      </c>
    </row>
    <row r="66" spans="1:18">
      <c r="A66" s="15" t="s">
        <v>490</v>
      </c>
      <c r="B66" s="17" t="n">
        <v>5325</v>
      </c>
      <c r="C66" s="18">
        <f>(4438.0/B66*100)</f>
        <v/>
      </c>
      <c r="D66" s="19" t="n">
        <v>887</v>
      </c>
      <c r="E66" s="18" t="n">
        <v>39.27645824</v>
      </c>
      <c r="F66" s="20" t="n">
        <v>1.8854876</v>
      </c>
      <c r="G66" s="18" t="n">
        <v>40.28409812</v>
      </c>
      <c r="H66" s="20" t="n">
        <v>1.95259727</v>
      </c>
      <c r="I66" s="18" t="n">
        <v>0</v>
      </c>
      <c r="J66" s="20" t="n">
        <v>0</v>
      </c>
      <c r="K66" s="18" t="n">
        <v>18.2730007</v>
      </c>
      <c r="L66" s="20" t="n">
        <v>1.59897932</v>
      </c>
      <c r="M66" s="18" t="n">
        <v>2.16644293</v>
      </c>
      <c r="N66" s="20" t="n">
        <v>0.54200615</v>
      </c>
      <c r="O66" s="18" t="n">
        <v>0</v>
      </c>
      <c r="P66" s="20" t="n">
        <v>0</v>
      </c>
      <c r="Q66" s="18" t="n">
        <v>0</v>
      </c>
      <c r="R66" s="20" t="n">
        <v>0</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(1175.0/B69*100)</f>
        <v/>
      </c>
      <c r="D69" s="19" t="n">
        <v>223</v>
      </c>
      <c r="E69" s="18" t="n">
        <v>49.11090076</v>
      </c>
      <c r="F69" s="20" t="n">
        <v>3.26837714</v>
      </c>
      <c r="G69" s="18" t="n">
        <v>47.80418918</v>
      </c>
      <c r="H69" s="20" t="n">
        <v>3.89117084</v>
      </c>
      <c r="I69" s="18" t="n">
        <v>0</v>
      </c>
      <c r="J69" s="20" t="n">
        <v>0</v>
      </c>
      <c r="K69" s="18" t="n">
        <v>3.08491006</v>
      </c>
      <c r="L69" s="20" t="n">
        <v>1.43091615</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(4073.0/B71*100)</f>
        <v/>
      </c>
      <c r="D71" s="19" t="n">
        <v>803</v>
      </c>
      <c r="E71" s="18" t="n">
        <v>54.14051752</v>
      </c>
      <c r="F71" s="20" t="n">
        <v>1.74086709</v>
      </c>
      <c r="G71" s="18" t="n">
        <v>45.37472537</v>
      </c>
      <c r="H71" s="20" t="n">
        <v>1.70929244</v>
      </c>
      <c r="I71" s="18" t="n">
        <v>0</v>
      </c>
      <c r="J71" s="20" t="n">
        <v>0</v>
      </c>
      <c r="K71" s="18" t="n">
        <v>0.48475711</v>
      </c>
      <c r="L71" s="20" t="n">
        <v>0.24058385</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(3892.0/B76*100)</f>
        <v/>
      </c>
      <c r="D76" s="19" t="n">
        <v>800</v>
      </c>
      <c r="E76" s="18" t="n">
        <v>40.81534358</v>
      </c>
      <c r="F76" s="20" t="n">
        <v>1.8570362</v>
      </c>
      <c r="G76" s="18" t="n">
        <v>36.64413951</v>
      </c>
      <c r="H76" s="20" t="n">
        <v>1.8811085</v>
      </c>
      <c r="I76" s="18" t="n">
        <v>0</v>
      </c>
      <c r="J76" s="20" t="n">
        <v>0</v>
      </c>
      <c r="K76" s="18" t="n">
        <v>22.54051691</v>
      </c>
      <c r="L76" s="20" t="n">
        <v>1.63420108</v>
      </c>
      <c r="M76" s="18" t="n">
        <v>0</v>
      </c>
      <c r="N76" s="20" t="n">
        <v>0</v>
      </c>
      <c r="O76" s="18" t="n">
        <v>0</v>
      </c>
      <c r="P76" s="20" t="n">
        <v>0</v>
      </c>
      <c r="Q76" s="18" t="n">
        <v>0</v>
      </c>
      <c r="R76" s="20" t="n">
        <v>0</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(4860.0/B80*100)</f>
        <v/>
      </c>
      <c r="D80" s="19" t="n">
        <v>966</v>
      </c>
      <c r="E80" s="18" t="n">
        <v>35.65551296</v>
      </c>
      <c r="F80" s="20" t="n">
        <v>1.70354309</v>
      </c>
      <c r="G80" s="18" t="n">
        <v>64.26798336</v>
      </c>
      <c r="H80" s="20" t="n">
        <v>1.69829035</v>
      </c>
      <c r="I80" s="18" t="n">
        <v>0</v>
      </c>
      <c r="J80" s="20" t="n">
        <v>0</v>
      </c>
      <c r="K80" s="18" t="n">
        <v>0.07650367</v>
      </c>
      <c r="L80" s="20" t="n">
        <v>0.05433606</v>
      </c>
      <c r="M80" s="18" t="n">
        <v>0</v>
      </c>
      <c r="N80" s="20" t="n">
        <v>0</v>
      </c>
      <c r="O80" s="18" t="n">
        <v>0</v>
      </c>
      <c r="P80" s="20" t="n">
        <v>0</v>
      </c>
      <c r="Q80" s="18" t="n">
        <v>0</v>
      </c>
      <c r="R80" s="20" t="n">
        <v>0</v>
      </c>
    </row>
    <row r="81" spans="1:18">
      <c r="A81" s="15" t="s">
        <v>505</v>
      </c>
      <c r="B81" s="17" t="n">
        <v>1657</v>
      </c>
      <c r="C81" s="18">
        <f>(1389.0/B81*100)</f>
        <v/>
      </c>
      <c r="D81" s="19" t="n">
        <v>268</v>
      </c>
      <c r="E81" s="18" t="n">
        <v>25.41763895</v>
      </c>
      <c r="F81" s="20" t="n">
        <v>2.6703507</v>
      </c>
      <c r="G81" s="18" t="n">
        <v>60.42243375</v>
      </c>
      <c r="H81" s="20" t="n">
        <v>3.05377649</v>
      </c>
      <c r="I81" s="18" t="n">
        <v>0</v>
      </c>
      <c r="J81" s="20" t="n">
        <v>0</v>
      </c>
      <c r="K81" s="18" t="n">
        <v>14.1599273</v>
      </c>
      <c r="L81" s="20" t="n">
        <v>2.28152823</v>
      </c>
      <c r="M81" s="18" t="n">
        <v>0</v>
      </c>
      <c r="N81" s="20" t="n">
        <v>0</v>
      </c>
      <c r="O81" s="18" t="n">
        <v>0</v>
      </c>
      <c r="P81" s="20" t="n">
        <v>0</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58.87014003</v>
      </c>
      <c r="F44" s="20" t="n">
        <v>1.81274771</v>
      </c>
      <c r="G44" s="18" t="n">
        <v>29.71984146</v>
      </c>
      <c r="H44" s="20" t="n">
        <v>1.90405003</v>
      </c>
      <c r="I44" s="18" t="n">
        <v>0</v>
      </c>
      <c r="J44" s="20" t="n">
        <v>0</v>
      </c>
      <c r="K44" s="18" t="n">
        <v>2.31218654</v>
      </c>
      <c r="L44" s="20" t="n">
        <v>0.50213662</v>
      </c>
      <c r="M44" s="18" t="n">
        <v>0</v>
      </c>
      <c r="N44" s="20" t="n">
        <v>0</v>
      </c>
      <c r="O44" s="18" t="n">
        <v>1.47462116</v>
      </c>
      <c r="P44" s="20" t="n">
        <v>0.47731622</v>
      </c>
      <c r="Q44" s="18" t="n">
        <v>7.62321081</v>
      </c>
      <c r="R44" s="20" t="n">
        <v>1.25800343</v>
      </c>
    </row>
    <row r="45" spans="1:18">
      <c r="A45" s="15" t="s">
        <v>468</v>
      </c>
      <c r="B45" s="17" t="n">
        <v>5519</v>
      </c>
      <c r="C45" s="18">
        <f>(4604.0/B45*100)</f>
        <v/>
      </c>
      <c r="D45" s="19" t="n">
        <v>915</v>
      </c>
      <c r="E45" s="18" t="n">
        <v>61.5075456</v>
      </c>
      <c r="F45" s="20" t="n">
        <v>1.8321932</v>
      </c>
      <c r="G45" s="18" t="n">
        <v>23.82463485</v>
      </c>
      <c r="H45" s="20" t="n">
        <v>1.53379294</v>
      </c>
      <c r="I45" s="18" t="n">
        <v>0</v>
      </c>
      <c r="J45" s="20" t="n">
        <v>0</v>
      </c>
      <c r="K45" s="18" t="n">
        <v>6.06705646</v>
      </c>
      <c r="L45" s="20" t="n">
        <v>0.98240604</v>
      </c>
      <c r="M45" s="18" t="n">
        <v>0.25304816</v>
      </c>
      <c r="N45" s="20" t="n">
        <v>0.17787972</v>
      </c>
      <c r="O45" s="18" t="n">
        <v>3.32524363</v>
      </c>
      <c r="P45" s="20" t="n">
        <v>0.7069530000000001</v>
      </c>
      <c r="Q45" s="18" t="n">
        <v>5.0224713</v>
      </c>
      <c r="R45" s="20" t="n">
        <v>0.73149092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42.01757655</v>
      </c>
      <c r="F54" s="20" t="n">
        <v>1.52668713</v>
      </c>
      <c r="G54" s="18" t="n">
        <v>51.55669515</v>
      </c>
      <c r="H54" s="20" t="n">
        <v>1.51825998</v>
      </c>
      <c r="I54" s="18" t="n">
        <v>0</v>
      </c>
      <c r="J54" s="20" t="n">
        <v>0</v>
      </c>
      <c r="K54" s="18" t="n">
        <v>1.48909571</v>
      </c>
      <c r="L54" s="20" t="n">
        <v>0.39278462</v>
      </c>
      <c r="M54" s="18" t="n">
        <v>0</v>
      </c>
      <c r="N54" s="20" t="n">
        <v>0</v>
      </c>
      <c r="O54" s="18" t="n">
        <v>0.77835742</v>
      </c>
      <c r="P54" s="20" t="n">
        <v>0.30119524</v>
      </c>
      <c r="Q54" s="18" t="n">
        <v>4.15827517</v>
      </c>
      <c r="R54" s="20" t="n">
        <v>0.7436645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78.86769449000001</v>
      </c>
      <c r="F56" s="20" t="n">
        <v>1.30065942</v>
      </c>
      <c r="G56" s="18" t="n">
        <v>18.81715255</v>
      </c>
      <c r="H56" s="20" t="n">
        <v>1.22891627</v>
      </c>
      <c r="I56" s="18" t="n">
        <v>0</v>
      </c>
      <c r="J56" s="20" t="n">
        <v>0</v>
      </c>
      <c r="K56" s="18" t="n">
        <v>1.34499037</v>
      </c>
      <c r="L56" s="20" t="n">
        <v>0.38556529</v>
      </c>
      <c r="M56" s="18" t="n">
        <v>0</v>
      </c>
      <c r="N56" s="20" t="n">
        <v>0</v>
      </c>
      <c r="O56" s="18" t="n">
        <v>0</v>
      </c>
      <c r="P56" s="20" t="n">
        <v>0</v>
      </c>
      <c r="Q56" s="18" t="n">
        <v>0.97016259</v>
      </c>
      <c r="R56" s="20" t="n">
        <v>0.3079098</v>
      </c>
    </row>
    <row r="57" spans="1:18">
      <c r="A57" s="15" t="s">
        <v>480</v>
      </c>
      <c r="B57" s="17" t="n">
        <v>7267</v>
      </c>
      <c r="C57" s="18">
        <f>(6065.0/B57*100)</f>
        <v/>
      </c>
      <c r="D57" s="19" t="n">
        <v>1202</v>
      </c>
      <c r="E57" s="18" t="n">
        <v>65.35993406999999</v>
      </c>
      <c r="F57" s="20" t="n">
        <v>1.74338996</v>
      </c>
      <c r="G57" s="18" t="n">
        <v>28.74364123</v>
      </c>
      <c r="H57" s="20" t="n">
        <v>1.53411762</v>
      </c>
      <c r="I57" s="18" t="n">
        <v>0</v>
      </c>
      <c r="J57" s="20" t="n">
        <v>0</v>
      </c>
      <c r="K57" s="18" t="n">
        <v>1.91376382</v>
      </c>
      <c r="L57" s="20" t="n">
        <v>0.46052854</v>
      </c>
      <c r="M57" s="18" t="n">
        <v>0</v>
      </c>
      <c r="N57" s="20" t="n">
        <v>0</v>
      </c>
      <c r="O57" s="18" t="n">
        <v>0.70932514</v>
      </c>
      <c r="P57" s="20" t="n">
        <v>0.28437934</v>
      </c>
      <c r="Q57" s="18" t="n">
        <v>3.27333574</v>
      </c>
      <c r="R57" s="20" t="n">
        <v>0.6222181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66.04352691</v>
      </c>
      <c r="F59" s="20" t="n">
        <v>1.79569478</v>
      </c>
      <c r="G59" s="18" t="n">
        <v>24.74753358</v>
      </c>
      <c r="H59" s="20" t="n">
        <v>1.66749565</v>
      </c>
      <c r="I59" s="18" t="n">
        <v>0</v>
      </c>
      <c r="J59" s="20" t="n">
        <v>0</v>
      </c>
      <c r="K59" s="18" t="n">
        <v>0.3960658</v>
      </c>
      <c r="L59" s="20" t="n">
        <v>0.23046433</v>
      </c>
      <c r="M59" s="18" t="n">
        <v>1.37445084</v>
      </c>
      <c r="N59" s="20" t="n">
        <v>0.54346134</v>
      </c>
      <c r="O59" s="18" t="n">
        <v>4.34477146</v>
      </c>
      <c r="P59" s="20" t="n">
        <v>0.87808709</v>
      </c>
      <c r="Q59" s="18" t="n">
        <v>3.09365141</v>
      </c>
      <c r="R59" s="20" t="n">
        <v>0.63249968</v>
      </c>
    </row>
    <row r="60" spans="1:18">
      <c r="A60" s="15" t="s">
        <v>484</v>
      </c>
      <c r="B60" s="17" t="n">
        <v>4546</v>
      </c>
      <c r="C60" s="18">
        <f>(3783.0/B60*100)</f>
        <v/>
      </c>
      <c r="D60" s="19" t="n">
        <v>763</v>
      </c>
      <c r="E60" s="18" t="n">
        <v>57.38700541</v>
      </c>
      <c r="F60" s="20" t="n">
        <v>2.11902832</v>
      </c>
      <c r="G60" s="18" t="n">
        <v>25.77292858</v>
      </c>
      <c r="H60" s="20" t="n">
        <v>1.92311914</v>
      </c>
      <c r="I60" s="18" t="n">
        <v>0</v>
      </c>
      <c r="J60" s="20" t="n">
        <v>0</v>
      </c>
      <c r="K60" s="18" t="n">
        <v>4.89750527</v>
      </c>
      <c r="L60" s="20" t="n">
        <v>0.9145529</v>
      </c>
      <c r="M60" s="18" t="n">
        <v>0</v>
      </c>
      <c r="N60" s="20" t="n">
        <v>0</v>
      </c>
      <c r="O60" s="18" t="n">
        <v>5.32678187</v>
      </c>
      <c r="P60" s="20" t="n">
        <v>0.9944347100000001</v>
      </c>
      <c r="Q60" s="18" t="n">
        <v>6.61577886</v>
      </c>
      <c r="R60" s="20" t="n">
        <v>1.0046136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59.66860724</v>
      </c>
      <c r="F63" s="20" t="n">
        <v>1.91548176</v>
      </c>
      <c r="G63" s="18" t="n">
        <v>28.32831002</v>
      </c>
      <c r="H63" s="20" t="n">
        <v>1.76931572</v>
      </c>
      <c r="I63" s="18" t="n">
        <v>0</v>
      </c>
      <c r="J63" s="20" t="n">
        <v>0</v>
      </c>
      <c r="K63" s="18" t="n">
        <v>2.89456489</v>
      </c>
      <c r="L63" s="20" t="n">
        <v>0.53892808</v>
      </c>
      <c r="M63" s="18" t="n">
        <v>0</v>
      </c>
      <c r="N63" s="20" t="n">
        <v>0</v>
      </c>
      <c r="O63" s="18" t="n">
        <v>1.56499837</v>
      </c>
      <c r="P63" s="20" t="n">
        <v>0.49656107</v>
      </c>
      <c r="Q63" s="18" t="n">
        <v>7.54351947</v>
      </c>
      <c r="R63" s="20" t="n">
        <v>0.80024417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56.58284925</v>
      </c>
      <c r="F65" s="20" t="n">
        <v>2.05867408</v>
      </c>
      <c r="G65" s="18" t="n">
        <v>37.50896358</v>
      </c>
      <c r="H65" s="20" t="n">
        <v>2.21829832</v>
      </c>
      <c r="I65" s="18" t="n">
        <v>0</v>
      </c>
      <c r="J65" s="20" t="n">
        <v>0</v>
      </c>
      <c r="K65" s="18" t="n">
        <v>1.94494128</v>
      </c>
      <c r="L65" s="20" t="n">
        <v>0.59559678</v>
      </c>
      <c r="M65" s="18" t="n">
        <v>0</v>
      </c>
      <c r="N65" s="20" t="n">
        <v>0</v>
      </c>
      <c r="O65" s="18" t="n">
        <v>0</v>
      </c>
      <c r="P65" s="20" t="n">
        <v>0</v>
      </c>
      <c r="Q65" s="18" t="n">
        <v>3.96324588</v>
      </c>
      <c r="R65" s="20" t="n">
        <v>0.94529578</v>
      </c>
    </row>
    <row r="66" spans="1:18">
      <c r="A66" s="15" t="s">
        <v>490</v>
      </c>
      <c r="B66" s="17" t="n">
        <v>5325</v>
      </c>
      <c r="C66" s="18">
        <f>(4429.0/B66*100)</f>
        <v/>
      </c>
      <c r="D66" s="19" t="n">
        <v>896</v>
      </c>
      <c r="E66" s="18" t="n">
        <v>60.95131469</v>
      </c>
      <c r="F66" s="20" t="n">
        <v>1.79972441</v>
      </c>
      <c r="G66" s="18" t="n">
        <v>26.20406289</v>
      </c>
      <c r="H66" s="20" t="n">
        <v>1.6161837</v>
      </c>
      <c r="I66" s="18" t="n">
        <v>0</v>
      </c>
      <c r="J66" s="20" t="n">
        <v>0</v>
      </c>
      <c r="K66" s="18" t="n">
        <v>5.165378</v>
      </c>
      <c r="L66" s="20" t="n">
        <v>0.75567014</v>
      </c>
      <c r="M66" s="18" t="n">
        <v>1.9741899</v>
      </c>
      <c r="N66" s="20" t="n">
        <v>0.49601756</v>
      </c>
      <c r="O66" s="18" t="n">
        <v>0</v>
      </c>
      <c r="P66" s="20" t="n">
        <v>0</v>
      </c>
      <c r="Q66" s="18" t="n">
        <v>5.70505453</v>
      </c>
      <c r="R66" s="20" t="n">
        <v>0.79024164</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49.06554077</v>
      </c>
      <c r="F69" s="20" t="n">
        <v>4.84605673</v>
      </c>
      <c r="G69" s="18" t="n">
        <v>48.37703274</v>
      </c>
      <c r="H69" s="20" t="n">
        <v>5.0457232</v>
      </c>
      <c r="I69" s="18" t="n">
        <v>0</v>
      </c>
      <c r="J69" s="20" t="n">
        <v>0</v>
      </c>
      <c r="K69" s="18" t="n">
        <v>0.89240413</v>
      </c>
      <c r="L69" s="20" t="n">
        <v>0.87357859</v>
      </c>
      <c r="M69" s="18" t="n">
        <v>0</v>
      </c>
      <c r="N69" s="20" t="n">
        <v>0</v>
      </c>
      <c r="O69" s="18" t="n">
        <v>1.33282736</v>
      </c>
      <c r="P69" s="20" t="n">
        <v>0.96951774</v>
      </c>
      <c r="Q69" s="18" t="n">
        <v>0.332195</v>
      </c>
      <c r="R69" s="20" t="n">
        <v>0.33649116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72.15228616</v>
      </c>
      <c r="F71" s="20" t="n">
        <v>1.90140174</v>
      </c>
      <c r="G71" s="18" t="n">
        <v>27.60167492</v>
      </c>
      <c r="H71" s="20" t="n">
        <v>1.86747263</v>
      </c>
      <c r="I71" s="18" t="n">
        <v>0</v>
      </c>
      <c r="J71" s="20" t="n">
        <v>0</v>
      </c>
      <c r="K71" s="18" t="n">
        <v>0.13224912</v>
      </c>
      <c r="L71" s="20" t="n">
        <v>0.13189151</v>
      </c>
      <c r="M71" s="18" t="n">
        <v>0</v>
      </c>
      <c r="N71" s="20" t="n">
        <v>0</v>
      </c>
      <c r="O71" s="18" t="n">
        <v>0</v>
      </c>
      <c r="P71" s="20" t="n">
        <v>0</v>
      </c>
      <c r="Q71" s="18" t="n">
        <v>0.1137898</v>
      </c>
      <c r="R71" s="20" t="n">
        <v>0.11417304</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58.53352408</v>
      </c>
      <c r="F76" s="20" t="n">
        <v>1.73541377</v>
      </c>
      <c r="G76" s="18" t="n">
        <v>31.17691157</v>
      </c>
      <c r="H76" s="20" t="n">
        <v>1.58727833</v>
      </c>
      <c r="I76" s="18" t="n">
        <v>0</v>
      </c>
      <c r="J76" s="20" t="n">
        <v>0</v>
      </c>
      <c r="K76" s="18" t="n">
        <v>6.87306886</v>
      </c>
      <c r="L76" s="20" t="n">
        <v>0.94276193</v>
      </c>
      <c r="M76" s="18" t="n">
        <v>0</v>
      </c>
      <c r="N76" s="20" t="n">
        <v>0</v>
      </c>
      <c r="O76" s="18" t="n">
        <v>0</v>
      </c>
      <c r="P76" s="20" t="n">
        <v>0</v>
      </c>
      <c r="Q76" s="18" t="n">
        <v>3.4164955</v>
      </c>
      <c r="R76" s="20" t="n">
        <v>0.70489186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31.44076306</v>
      </c>
      <c r="F80" s="20" t="n">
        <v>1.60402401</v>
      </c>
      <c r="G80" s="18" t="n">
        <v>68.46882991</v>
      </c>
      <c r="H80" s="20" t="n">
        <v>1.61514479</v>
      </c>
      <c r="I80" s="18" t="n">
        <v>0</v>
      </c>
      <c r="J80" s="20" t="n">
        <v>0</v>
      </c>
      <c r="K80" s="18" t="n">
        <v>0</v>
      </c>
      <c r="L80" s="20" t="n">
        <v>0</v>
      </c>
      <c r="M80" s="18" t="n">
        <v>0</v>
      </c>
      <c r="N80" s="20" t="n">
        <v>0</v>
      </c>
      <c r="O80" s="18" t="n">
        <v>0</v>
      </c>
      <c r="P80" s="20" t="n">
        <v>0</v>
      </c>
      <c r="Q80" s="18" t="n">
        <v>0.09040703</v>
      </c>
      <c r="R80" s="20" t="n">
        <v>0.08163216</v>
      </c>
    </row>
    <row r="81" spans="1:18">
      <c r="A81" s="15" t="s">
        <v>505</v>
      </c>
      <c r="B81" s="17" t="n">
        <v>1657</v>
      </c>
      <c r="C81" s="18">
        <f>(1391.0/B81*100)</f>
        <v/>
      </c>
      <c r="D81" s="19" t="n">
        <v>266</v>
      </c>
      <c r="E81" s="18" t="n">
        <v>68.09639845</v>
      </c>
      <c r="F81" s="20" t="n">
        <v>3.08091599</v>
      </c>
      <c r="G81" s="18" t="n">
        <v>22.8615057</v>
      </c>
      <c r="H81" s="20" t="n">
        <v>2.72708681</v>
      </c>
      <c r="I81" s="18" t="n">
        <v>0</v>
      </c>
      <c r="J81" s="20" t="n">
        <v>0</v>
      </c>
      <c r="K81" s="18" t="n">
        <v>2.58422076</v>
      </c>
      <c r="L81" s="20" t="n">
        <v>0.96477609</v>
      </c>
      <c r="M81" s="18" t="n">
        <v>0</v>
      </c>
      <c r="N81" s="20" t="n">
        <v>0</v>
      </c>
      <c r="O81" s="18" t="n">
        <v>1.27421504</v>
      </c>
      <c r="P81" s="20" t="n">
        <v>0.98994294</v>
      </c>
      <c r="Q81" s="18" t="n">
        <v>5.18366005</v>
      </c>
      <c r="R81" s="20" t="n">
        <v>1.59681584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641</v>
      </c>
    </row>
    <row customHeight="1" ht="30" r="4" spans="1:20">
      <c r="A4" s="6" t="n"/>
      <c r="B4" s="7" t="s">
        <v>415</v>
      </c>
      <c r="C4" s="7" t="s">
        <v>416</v>
      </c>
      <c r="D4" s="8" t="s">
        <v>415</v>
      </c>
      <c r="E4" s="9" t="s">
        <v>521</v>
      </c>
      <c r="F4" s="10" t="n"/>
      <c r="G4" s="9" t="s">
        <v>537</v>
      </c>
      <c r="H4" s="10" t="n"/>
      <c r="I4" s="9" t="s">
        <v>522</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(4364.0/B44*100)</f>
        <v/>
      </c>
      <c r="D44" s="19" t="n">
        <v>851</v>
      </c>
      <c r="E44" s="18" t="n">
        <v>36.63981541</v>
      </c>
      <c r="F44" s="20" t="n">
        <v>2.27533455</v>
      </c>
      <c r="G44" s="18" t="n">
        <v>53.84444602</v>
      </c>
      <c r="H44" s="20" t="n">
        <v>1.97593929</v>
      </c>
      <c r="I44" s="18" t="n">
        <v>5.02864241</v>
      </c>
      <c r="J44" s="20" t="n">
        <v>1.05280389</v>
      </c>
      <c r="K44" s="18" t="n">
        <v>0</v>
      </c>
      <c r="L44" s="20" t="n">
        <v>0</v>
      </c>
      <c r="M44" s="18" t="n">
        <v>2.76164586</v>
      </c>
      <c r="N44" s="20" t="n">
        <v>0.52952203</v>
      </c>
      <c r="O44" s="18" t="n">
        <v>0</v>
      </c>
      <c r="P44" s="20" t="n">
        <v>0</v>
      </c>
      <c r="Q44" s="18" t="n">
        <v>0</v>
      </c>
      <c r="R44" s="20" t="n">
        <v>0</v>
      </c>
      <c r="S44" s="18" t="n">
        <v>1.72545029</v>
      </c>
      <c r="T44" s="20" t="n">
        <v>0.48384821</v>
      </c>
    </row>
    <row r="45" spans="1:20">
      <c r="A45" s="15" t="s">
        <v>468</v>
      </c>
      <c r="B45" s="17" t="n">
        <v>5519</v>
      </c>
      <c r="C45" s="18">
        <f>(4604.0/B45*100)</f>
        <v/>
      </c>
      <c r="D45" s="19" t="n">
        <v>915</v>
      </c>
      <c r="E45" s="18" t="n">
        <v>43.92580084</v>
      </c>
      <c r="F45" s="20" t="n">
        <v>1.86249736</v>
      </c>
      <c r="G45" s="18" t="n">
        <v>41.63667989</v>
      </c>
      <c r="H45" s="20" t="n">
        <v>1.88755303</v>
      </c>
      <c r="I45" s="18" t="n">
        <v>6.22827884</v>
      </c>
      <c r="J45" s="20" t="n">
        <v>0.7190152</v>
      </c>
      <c r="K45" s="18" t="n">
        <v>0</v>
      </c>
      <c r="L45" s="20" t="n">
        <v>0</v>
      </c>
      <c r="M45" s="18" t="n">
        <v>6.16307538</v>
      </c>
      <c r="N45" s="20" t="n">
        <v>0.98987555</v>
      </c>
      <c r="O45" s="18" t="n">
        <v>0</v>
      </c>
      <c r="P45" s="20" t="n">
        <v>0</v>
      </c>
      <c r="Q45" s="18" t="n">
        <v>0</v>
      </c>
      <c r="R45" s="20" t="n">
        <v>0</v>
      </c>
      <c r="S45" s="18" t="n">
        <v>2.04616505</v>
      </c>
      <c r="T45" s="20" t="n">
        <v>0.55933187</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(4424.0/B54*100)</f>
        <v/>
      </c>
      <c r="D54" s="19" t="n">
        <v>892</v>
      </c>
      <c r="E54" s="18" t="n">
        <v>44.41697776</v>
      </c>
      <c r="F54" s="20" t="n">
        <v>1.86613682</v>
      </c>
      <c r="G54" s="18" t="n">
        <v>44.54725173</v>
      </c>
      <c r="H54" s="20" t="n">
        <v>2.0687231</v>
      </c>
      <c r="I54" s="18" t="n">
        <v>7.40068573</v>
      </c>
      <c r="J54" s="20" t="n">
        <v>0.9660457</v>
      </c>
      <c r="K54" s="18" t="n">
        <v>0</v>
      </c>
      <c r="L54" s="20" t="n">
        <v>0</v>
      </c>
      <c r="M54" s="18" t="n">
        <v>1.66511218</v>
      </c>
      <c r="N54" s="20" t="n">
        <v>0.41156566</v>
      </c>
      <c r="O54" s="18" t="n">
        <v>0</v>
      </c>
      <c r="P54" s="20" t="n">
        <v>0</v>
      </c>
      <c r="Q54" s="18" t="n">
        <v>0.11018625</v>
      </c>
      <c r="R54" s="20" t="n">
        <v>0.10160508</v>
      </c>
      <c r="S54" s="18" t="n">
        <v>1.85978634</v>
      </c>
      <c r="T54" s="20" t="n">
        <v>0.50434637</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(5421.0/B56*100)</f>
        <v/>
      </c>
      <c r="D56" s="19" t="n">
        <v>1092</v>
      </c>
      <c r="E56" s="18" t="n">
        <v>56.02905614</v>
      </c>
      <c r="F56" s="20" t="n">
        <v>1.92084391</v>
      </c>
      <c r="G56" s="18" t="n">
        <v>39.02320392</v>
      </c>
      <c r="H56" s="20" t="n">
        <v>1.88601522</v>
      </c>
      <c r="I56" s="18" t="n">
        <v>2.82007344</v>
      </c>
      <c r="J56" s="20" t="n">
        <v>0.54150501</v>
      </c>
      <c r="K56" s="18" t="n">
        <v>0</v>
      </c>
      <c r="L56" s="20" t="n">
        <v>0</v>
      </c>
      <c r="M56" s="18" t="n">
        <v>1.34499037</v>
      </c>
      <c r="N56" s="20" t="n">
        <v>0.38556529</v>
      </c>
      <c r="O56" s="18" t="n">
        <v>0</v>
      </c>
      <c r="P56" s="20" t="n">
        <v>0</v>
      </c>
      <c r="Q56" s="18" t="n">
        <v>0</v>
      </c>
      <c r="R56" s="20" t="n">
        <v>0</v>
      </c>
      <c r="S56" s="18" t="n">
        <v>0.78267614</v>
      </c>
      <c r="T56" s="20" t="n">
        <v>0.28247163</v>
      </c>
    </row>
    <row r="57" spans="1:20">
      <c r="A57" s="15" t="s">
        <v>480</v>
      </c>
      <c r="B57" s="17" t="n">
        <v>7267</v>
      </c>
      <c r="C57" s="18">
        <f>(6065.0/B57*100)</f>
        <v/>
      </c>
      <c r="D57" s="19" t="n">
        <v>1202</v>
      </c>
      <c r="E57" s="18" t="n">
        <v>42.32131843</v>
      </c>
      <c r="F57" s="20" t="n">
        <v>1.84845895</v>
      </c>
      <c r="G57" s="18" t="n">
        <v>45.9162473</v>
      </c>
      <c r="H57" s="20" t="n">
        <v>1.70688293</v>
      </c>
      <c r="I57" s="18" t="n">
        <v>8.39751117</v>
      </c>
      <c r="J57" s="20" t="n">
        <v>0.93894121</v>
      </c>
      <c r="K57" s="18" t="n">
        <v>0</v>
      </c>
      <c r="L57" s="20" t="n">
        <v>0</v>
      </c>
      <c r="M57" s="18" t="n">
        <v>2.06056146</v>
      </c>
      <c r="N57" s="20" t="n">
        <v>0.45463747</v>
      </c>
      <c r="O57" s="18" t="n">
        <v>0</v>
      </c>
      <c r="P57" s="20" t="n">
        <v>0</v>
      </c>
      <c r="Q57" s="18" t="n">
        <v>0.26285566</v>
      </c>
      <c r="R57" s="20" t="n">
        <v>0.1848993</v>
      </c>
      <c r="S57" s="18" t="n">
        <v>1.04150599</v>
      </c>
      <c r="T57" s="20" t="n">
        <v>0.32163584</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(4021.0/B59*100)</f>
        <v/>
      </c>
      <c r="D59" s="19" t="n">
        <v>805</v>
      </c>
      <c r="E59" s="18" t="n">
        <v>49.65373365</v>
      </c>
      <c r="F59" s="20" t="n">
        <v>2.32237019</v>
      </c>
      <c r="G59" s="18" t="n">
        <v>44.4398144</v>
      </c>
      <c r="H59" s="20" t="n">
        <v>2.29902987</v>
      </c>
      <c r="I59" s="18" t="n">
        <v>4.2534221</v>
      </c>
      <c r="J59" s="20" t="n">
        <v>0.74260137</v>
      </c>
      <c r="K59" s="18" t="n">
        <v>0</v>
      </c>
      <c r="L59" s="20" t="n">
        <v>0</v>
      </c>
      <c r="M59" s="18" t="n">
        <v>0.3960658</v>
      </c>
      <c r="N59" s="20" t="n">
        <v>0.23046433</v>
      </c>
      <c r="O59" s="18" t="n">
        <v>0</v>
      </c>
      <c r="P59" s="20" t="n">
        <v>0</v>
      </c>
      <c r="Q59" s="18" t="n">
        <v>0.03828208</v>
      </c>
      <c r="R59" s="20" t="n">
        <v>0.03851533</v>
      </c>
      <c r="S59" s="18" t="n">
        <v>1.21868197</v>
      </c>
      <c r="T59" s="20" t="n">
        <v>0.37736971</v>
      </c>
    </row>
    <row r="60" spans="1:20">
      <c r="A60" s="15" t="s">
        <v>484</v>
      </c>
      <c r="B60" s="17" t="n">
        <v>4546</v>
      </c>
      <c r="C60" s="18">
        <f>(3783.0/B60*100)</f>
        <v/>
      </c>
      <c r="D60" s="19" t="n">
        <v>763</v>
      </c>
      <c r="E60" s="18" t="n">
        <v>56.78974804</v>
      </c>
      <c r="F60" s="20" t="n">
        <v>2.19336112</v>
      </c>
      <c r="G60" s="18" t="n">
        <v>28.93600636</v>
      </c>
      <c r="H60" s="20" t="n">
        <v>1.92727491</v>
      </c>
      <c r="I60" s="18" t="n">
        <v>5.49706217</v>
      </c>
      <c r="J60" s="20" t="n">
        <v>1.00734399</v>
      </c>
      <c r="K60" s="18" t="n">
        <v>0</v>
      </c>
      <c r="L60" s="20" t="n">
        <v>0</v>
      </c>
      <c r="M60" s="18" t="n">
        <v>4.911707</v>
      </c>
      <c r="N60" s="20" t="n">
        <v>0.91470511</v>
      </c>
      <c r="O60" s="18" t="n">
        <v>0</v>
      </c>
      <c r="P60" s="20" t="n">
        <v>0</v>
      </c>
      <c r="Q60" s="18" t="n">
        <v>0</v>
      </c>
      <c r="R60" s="20" t="n">
        <v>0</v>
      </c>
      <c r="S60" s="18" t="n">
        <v>3.86547643</v>
      </c>
      <c r="T60" s="20" t="n">
        <v>0.80014956</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(4430.0/B63*100)</f>
        <v/>
      </c>
      <c r="D63" s="19" t="n">
        <v>894</v>
      </c>
      <c r="E63" s="18" t="n">
        <v>43.30378768</v>
      </c>
      <c r="F63" s="20" t="n">
        <v>1.88543045</v>
      </c>
      <c r="G63" s="18" t="n">
        <v>41.51021335</v>
      </c>
      <c r="H63" s="20" t="n">
        <v>1.60593288</v>
      </c>
      <c r="I63" s="18" t="n">
        <v>9.12605626</v>
      </c>
      <c r="J63" s="20" t="n">
        <v>0.98487989</v>
      </c>
      <c r="K63" s="18" t="n">
        <v>0</v>
      </c>
      <c r="L63" s="20" t="n">
        <v>0</v>
      </c>
      <c r="M63" s="18" t="n">
        <v>2.89456489</v>
      </c>
      <c r="N63" s="20" t="n">
        <v>0.53892808</v>
      </c>
      <c r="O63" s="18" t="n">
        <v>0</v>
      </c>
      <c r="P63" s="20" t="n">
        <v>0</v>
      </c>
      <c r="Q63" s="18" t="n">
        <v>0</v>
      </c>
      <c r="R63" s="20" t="n">
        <v>0</v>
      </c>
      <c r="S63" s="18" t="n">
        <v>3.16537781</v>
      </c>
      <c r="T63" s="20" t="n">
        <v>0.60835319</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(3039.0/B65*100)</f>
        <v/>
      </c>
      <c r="D65" s="19" t="n">
        <v>595</v>
      </c>
      <c r="E65" s="18" t="n">
        <v>43.05571389</v>
      </c>
      <c r="F65" s="20" t="n">
        <v>1.87708797</v>
      </c>
      <c r="G65" s="18" t="n">
        <v>34.84496059</v>
      </c>
      <c r="H65" s="20" t="n">
        <v>1.91407179</v>
      </c>
      <c r="I65" s="18" t="n">
        <v>18.14552203</v>
      </c>
      <c r="J65" s="20" t="n">
        <v>1.74498019</v>
      </c>
      <c r="K65" s="18" t="n">
        <v>0</v>
      </c>
      <c r="L65" s="20" t="n">
        <v>0</v>
      </c>
      <c r="M65" s="18" t="n">
        <v>2.44126156</v>
      </c>
      <c r="N65" s="20" t="n">
        <v>0.64882971</v>
      </c>
      <c r="O65" s="18" t="n">
        <v>0</v>
      </c>
      <c r="P65" s="20" t="n">
        <v>0</v>
      </c>
      <c r="Q65" s="18" t="n">
        <v>0</v>
      </c>
      <c r="R65" s="20" t="n">
        <v>0</v>
      </c>
      <c r="S65" s="18" t="n">
        <v>1.51254193</v>
      </c>
      <c r="T65" s="20" t="n">
        <v>0.52015495</v>
      </c>
    </row>
    <row r="66" spans="1:20">
      <c r="A66" s="15" t="s">
        <v>490</v>
      </c>
      <c r="B66" s="17" t="n">
        <v>5325</v>
      </c>
      <c r="C66" s="18">
        <f>(4429.0/B66*100)</f>
        <v/>
      </c>
      <c r="D66" s="19" t="n">
        <v>896</v>
      </c>
      <c r="E66" s="18" t="n">
        <v>42.0185002</v>
      </c>
      <c r="F66" s="20" t="n">
        <v>1.86301565</v>
      </c>
      <c r="G66" s="18" t="n">
        <v>40.805814</v>
      </c>
      <c r="H66" s="20" t="n">
        <v>1.80572225</v>
      </c>
      <c r="I66" s="18" t="n">
        <v>8.249866020000001</v>
      </c>
      <c r="J66" s="20" t="n">
        <v>0.9617650599999999</v>
      </c>
      <c r="K66" s="18" t="n">
        <v>0</v>
      </c>
      <c r="L66" s="20" t="n">
        <v>0</v>
      </c>
      <c r="M66" s="18" t="n">
        <v>5.165378</v>
      </c>
      <c r="N66" s="20" t="n">
        <v>0.75567014</v>
      </c>
      <c r="O66" s="18" t="n">
        <v>0</v>
      </c>
      <c r="P66" s="20" t="n">
        <v>0</v>
      </c>
      <c r="Q66" s="18" t="n">
        <v>0</v>
      </c>
      <c r="R66" s="20" t="n">
        <v>0</v>
      </c>
      <c r="S66" s="18" t="n">
        <v>3.76044179</v>
      </c>
      <c r="T66" s="20" t="n">
        <v>0.66777789</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(1166.0/B69*100)</f>
        <v/>
      </c>
      <c r="D69" s="19" t="n">
        <v>232</v>
      </c>
      <c r="E69" s="18" t="n">
        <v>43.29165552</v>
      </c>
      <c r="F69" s="20" t="n">
        <v>2.90058941</v>
      </c>
      <c r="G69" s="18" t="n">
        <v>49.15474364</v>
      </c>
      <c r="H69" s="20" t="n">
        <v>3.4093729</v>
      </c>
      <c r="I69" s="18" t="n">
        <v>5.67538914</v>
      </c>
      <c r="J69" s="20" t="n">
        <v>1.31430028</v>
      </c>
      <c r="K69" s="18" t="n">
        <v>0</v>
      </c>
      <c r="L69" s="20" t="n">
        <v>0</v>
      </c>
      <c r="M69" s="18" t="n">
        <v>1.43040495</v>
      </c>
      <c r="N69" s="20" t="n">
        <v>0.97060709</v>
      </c>
      <c r="O69" s="18" t="n">
        <v>0</v>
      </c>
      <c r="P69" s="20" t="n">
        <v>0</v>
      </c>
      <c r="Q69" s="18" t="n">
        <v>0</v>
      </c>
      <c r="R69" s="20" t="n">
        <v>0</v>
      </c>
      <c r="S69" s="18" t="n">
        <v>0.44780676</v>
      </c>
      <c r="T69" s="20" t="n">
        <v>0.44439776</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(4051.0/B71*100)</f>
        <v/>
      </c>
      <c r="D71" s="19" t="n">
        <v>825</v>
      </c>
      <c r="E71" s="18" t="n">
        <v>51.70427956</v>
      </c>
      <c r="F71" s="20" t="n">
        <v>1.96492677</v>
      </c>
      <c r="G71" s="18" t="n">
        <v>37.85258217</v>
      </c>
      <c r="H71" s="20" t="n">
        <v>1.69389242</v>
      </c>
      <c r="I71" s="18" t="n">
        <v>10.19709934</v>
      </c>
      <c r="J71" s="20" t="n">
        <v>1.21163347</v>
      </c>
      <c r="K71" s="18" t="n">
        <v>0</v>
      </c>
      <c r="L71" s="20" t="n">
        <v>0</v>
      </c>
      <c r="M71" s="18" t="n">
        <v>0.13224912</v>
      </c>
      <c r="N71" s="20" t="n">
        <v>0.13189151</v>
      </c>
      <c r="O71" s="18" t="n">
        <v>0</v>
      </c>
      <c r="P71" s="20" t="n">
        <v>0</v>
      </c>
      <c r="Q71" s="18" t="n">
        <v>0</v>
      </c>
      <c r="R71" s="20" t="n">
        <v>0</v>
      </c>
      <c r="S71" s="18" t="n">
        <v>0.1137898</v>
      </c>
      <c r="T71" s="20" t="n">
        <v>0.11417304</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(3904.0/B76*100)</f>
        <v/>
      </c>
      <c r="D76" s="19" t="n">
        <v>788</v>
      </c>
      <c r="E76" s="18" t="n">
        <v>49.16652913</v>
      </c>
      <c r="F76" s="20" t="n">
        <v>2.28521144</v>
      </c>
      <c r="G76" s="18" t="n">
        <v>32.49825311</v>
      </c>
      <c r="H76" s="20" t="n">
        <v>1.96616407</v>
      </c>
      <c r="I76" s="18" t="n">
        <v>9.596798509999999</v>
      </c>
      <c r="J76" s="20" t="n">
        <v>1.18253382</v>
      </c>
      <c r="K76" s="18" t="n">
        <v>0</v>
      </c>
      <c r="L76" s="20" t="n">
        <v>0</v>
      </c>
      <c r="M76" s="18" t="n">
        <v>7.40193405</v>
      </c>
      <c r="N76" s="20" t="n">
        <v>1.0848304</v>
      </c>
      <c r="O76" s="18" t="n">
        <v>0</v>
      </c>
      <c r="P76" s="20" t="n">
        <v>0</v>
      </c>
      <c r="Q76" s="18" t="n">
        <v>0</v>
      </c>
      <c r="R76" s="20" t="n">
        <v>0</v>
      </c>
      <c r="S76" s="18" t="n">
        <v>1.33648521</v>
      </c>
      <c r="T76" s="20" t="n">
        <v>0.48334534</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(4843.0/B80*100)</f>
        <v/>
      </c>
      <c r="D80" s="19" t="n">
        <v>983</v>
      </c>
      <c r="E80" s="18" t="n">
        <v>20.0978169</v>
      </c>
      <c r="F80" s="20" t="n">
        <v>1.22157899</v>
      </c>
      <c r="G80" s="18" t="n">
        <v>52.24319889</v>
      </c>
      <c r="H80" s="20" t="n">
        <v>1.75489699</v>
      </c>
      <c r="I80" s="18" t="n">
        <v>27.16530464</v>
      </c>
      <c r="J80" s="20" t="n">
        <v>1.59487047</v>
      </c>
      <c r="K80" s="18" t="n">
        <v>0</v>
      </c>
      <c r="L80" s="20" t="n">
        <v>0</v>
      </c>
      <c r="M80" s="18" t="n">
        <v>0</v>
      </c>
      <c r="N80" s="20" t="n">
        <v>0</v>
      </c>
      <c r="O80" s="18" t="n">
        <v>0</v>
      </c>
      <c r="P80" s="20" t="n">
        <v>0</v>
      </c>
      <c r="Q80" s="18" t="n">
        <v>0</v>
      </c>
      <c r="R80" s="20" t="n">
        <v>0</v>
      </c>
      <c r="S80" s="18" t="n">
        <v>0.49367957</v>
      </c>
      <c r="T80" s="20" t="n">
        <v>0.2183159</v>
      </c>
    </row>
    <row r="81" spans="1:20">
      <c r="A81" s="15" t="s">
        <v>505</v>
      </c>
      <c r="B81" s="17" t="n">
        <v>1657</v>
      </c>
      <c r="C81" s="18">
        <f>(1391.0/B81*100)</f>
        <v/>
      </c>
      <c r="D81" s="19" t="n">
        <v>266</v>
      </c>
      <c r="E81" s="18" t="n">
        <v>31.4699657</v>
      </c>
      <c r="F81" s="20" t="n">
        <v>3.45412469</v>
      </c>
      <c r="G81" s="18" t="n">
        <v>45.14269977</v>
      </c>
      <c r="H81" s="20" t="n">
        <v>2.87368199</v>
      </c>
      <c r="I81" s="18" t="n">
        <v>17.46923475</v>
      </c>
      <c r="J81" s="20" t="n">
        <v>2.13879779</v>
      </c>
      <c r="K81" s="18" t="n">
        <v>0</v>
      </c>
      <c r="L81" s="20" t="n">
        <v>0</v>
      </c>
      <c r="M81" s="18" t="n">
        <v>3.04216354</v>
      </c>
      <c r="N81" s="20" t="n">
        <v>1.05087193</v>
      </c>
      <c r="O81" s="18" t="n">
        <v>0</v>
      </c>
      <c r="P81" s="20" t="n">
        <v>0</v>
      </c>
      <c r="Q81" s="18" t="n">
        <v>0</v>
      </c>
      <c r="R81" s="20" t="n">
        <v>0</v>
      </c>
      <c r="S81" s="18" t="n">
        <v>2.87593624</v>
      </c>
      <c r="T81" s="20" t="n">
        <v>1.50017362</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22.37038946</v>
      </c>
      <c r="F44" s="20" t="n">
        <v>1.69745026</v>
      </c>
      <c r="G44" s="18" t="n">
        <v>42.19779822</v>
      </c>
      <c r="H44" s="20" t="n">
        <v>2.39554266</v>
      </c>
      <c r="I44" s="18" t="n">
        <v>0</v>
      </c>
      <c r="J44" s="20" t="n">
        <v>0</v>
      </c>
      <c r="K44" s="18" t="n">
        <v>4.78317189</v>
      </c>
      <c r="L44" s="20" t="n">
        <v>0.71874081</v>
      </c>
      <c r="M44" s="18" t="n">
        <v>0</v>
      </c>
      <c r="N44" s="20" t="n">
        <v>0</v>
      </c>
      <c r="O44" s="18" t="n">
        <v>0</v>
      </c>
      <c r="P44" s="20" t="n">
        <v>0</v>
      </c>
      <c r="Q44" s="18" t="n">
        <v>30.64864044</v>
      </c>
      <c r="R44" s="20" t="n">
        <v>2.29266366</v>
      </c>
    </row>
    <row r="45" spans="1:18">
      <c r="A45" s="15" t="s">
        <v>468</v>
      </c>
      <c r="B45" s="17" t="n">
        <v>5519</v>
      </c>
      <c r="C45" s="18">
        <f>(4604.0/B45*100)</f>
        <v/>
      </c>
      <c r="D45" s="19" t="n">
        <v>915</v>
      </c>
      <c r="E45" s="18" t="n">
        <v>32.12337819</v>
      </c>
      <c r="F45" s="20" t="n">
        <v>1.60428794</v>
      </c>
      <c r="G45" s="18" t="n">
        <v>40.71761783</v>
      </c>
      <c r="H45" s="20" t="n">
        <v>1.70184996</v>
      </c>
      <c r="I45" s="18" t="n">
        <v>0</v>
      </c>
      <c r="J45" s="20" t="n">
        <v>0</v>
      </c>
      <c r="K45" s="18" t="n">
        <v>6.99768687</v>
      </c>
      <c r="L45" s="20" t="n">
        <v>0.98593823</v>
      </c>
      <c r="M45" s="18" t="n">
        <v>0.62648264</v>
      </c>
      <c r="N45" s="20" t="n">
        <v>0.2705911</v>
      </c>
      <c r="O45" s="18" t="n">
        <v>0.06892942000000001</v>
      </c>
      <c r="P45" s="20" t="n">
        <v>0.06695105</v>
      </c>
      <c r="Q45" s="18" t="n">
        <v>19.46590506</v>
      </c>
      <c r="R45" s="20" t="n">
        <v>1.64648164</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21.62540039</v>
      </c>
      <c r="F54" s="20" t="n">
        <v>1.55296477</v>
      </c>
      <c r="G54" s="18" t="n">
        <v>32.92383708</v>
      </c>
      <c r="H54" s="20" t="n">
        <v>1.80095162</v>
      </c>
      <c r="I54" s="18" t="n">
        <v>0</v>
      </c>
      <c r="J54" s="20" t="n">
        <v>0</v>
      </c>
      <c r="K54" s="18" t="n">
        <v>2.90203774</v>
      </c>
      <c r="L54" s="20" t="n">
        <v>0.5462243</v>
      </c>
      <c r="M54" s="18" t="n">
        <v>0</v>
      </c>
      <c r="N54" s="20" t="n">
        <v>0</v>
      </c>
      <c r="O54" s="18" t="n">
        <v>0.10481798</v>
      </c>
      <c r="P54" s="20" t="n">
        <v>0.10749304</v>
      </c>
      <c r="Q54" s="18" t="n">
        <v>42.44390681</v>
      </c>
      <c r="R54" s="20" t="n">
        <v>1.84120349</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58.53373017</v>
      </c>
      <c r="F56" s="20" t="n">
        <v>1.64133504</v>
      </c>
      <c r="G56" s="18" t="n">
        <v>26.90839377</v>
      </c>
      <c r="H56" s="20" t="n">
        <v>1.4730815</v>
      </c>
      <c r="I56" s="18" t="n">
        <v>0</v>
      </c>
      <c r="J56" s="20" t="n">
        <v>0</v>
      </c>
      <c r="K56" s="18" t="n">
        <v>1.9078842</v>
      </c>
      <c r="L56" s="20" t="n">
        <v>0.43908902</v>
      </c>
      <c r="M56" s="18" t="n">
        <v>0</v>
      </c>
      <c r="N56" s="20" t="n">
        <v>0</v>
      </c>
      <c r="O56" s="18" t="n">
        <v>0</v>
      </c>
      <c r="P56" s="20" t="n">
        <v>0</v>
      </c>
      <c r="Q56" s="18" t="n">
        <v>12.64999186</v>
      </c>
      <c r="R56" s="20" t="n">
        <v>1.27801027</v>
      </c>
    </row>
    <row r="57" spans="1:18">
      <c r="A57" s="15" t="s">
        <v>480</v>
      </c>
      <c r="B57" s="17" t="n">
        <v>7267</v>
      </c>
      <c r="C57" s="18">
        <f>(6065.0/B57*100)</f>
        <v/>
      </c>
      <c r="D57" s="19" t="n">
        <v>1202</v>
      </c>
      <c r="E57" s="18" t="n">
        <v>28.05375761</v>
      </c>
      <c r="F57" s="20" t="n">
        <v>1.45498683</v>
      </c>
      <c r="G57" s="18" t="n">
        <v>50.80697349</v>
      </c>
      <c r="H57" s="20" t="n">
        <v>1.59736332</v>
      </c>
      <c r="I57" s="18" t="n">
        <v>0</v>
      </c>
      <c r="J57" s="20" t="n">
        <v>0</v>
      </c>
      <c r="K57" s="18" t="n">
        <v>2.75257598</v>
      </c>
      <c r="L57" s="20" t="n">
        <v>0.49907583</v>
      </c>
      <c r="M57" s="18" t="n">
        <v>0</v>
      </c>
      <c r="N57" s="20" t="n">
        <v>0</v>
      </c>
      <c r="O57" s="18" t="n">
        <v>0.24202652</v>
      </c>
      <c r="P57" s="20" t="n">
        <v>0.24782063</v>
      </c>
      <c r="Q57" s="18" t="n">
        <v>18.1446664</v>
      </c>
      <c r="R57" s="20" t="n">
        <v>1.49518131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48.26250895</v>
      </c>
      <c r="F59" s="20" t="n">
        <v>1.98664683</v>
      </c>
      <c r="G59" s="18" t="n">
        <v>13.52304697</v>
      </c>
      <c r="H59" s="20" t="n">
        <v>1.63081018</v>
      </c>
      <c r="I59" s="18" t="n">
        <v>0</v>
      </c>
      <c r="J59" s="20" t="n">
        <v>0</v>
      </c>
      <c r="K59" s="18" t="n">
        <v>0.7698290800000001</v>
      </c>
      <c r="L59" s="20" t="n">
        <v>0.36526576</v>
      </c>
      <c r="M59" s="18" t="n">
        <v>0</v>
      </c>
      <c r="N59" s="20" t="n">
        <v>0</v>
      </c>
      <c r="O59" s="18" t="n">
        <v>0</v>
      </c>
      <c r="P59" s="20" t="n">
        <v>0</v>
      </c>
      <c r="Q59" s="18" t="n">
        <v>37.444615</v>
      </c>
      <c r="R59" s="20" t="n">
        <v>2.25865784</v>
      </c>
    </row>
    <row r="60" spans="1:18">
      <c r="A60" s="15" t="s">
        <v>484</v>
      </c>
      <c r="B60" s="17" t="n">
        <v>4546</v>
      </c>
      <c r="C60" s="18">
        <f>(3783.0/B60*100)</f>
        <v/>
      </c>
      <c r="D60" s="19" t="n">
        <v>763</v>
      </c>
      <c r="E60" s="18" t="n">
        <v>25.87573325</v>
      </c>
      <c r="F60" s="20" t="n">
        <v>1.5979348</v>
      </c>
      <c r="G60" s="18" t="n">
        <v>22.79417469</v>
      </c>
      <c r="H60" s="20" t="n">
        <v>1.62953487</v>
      </c>
      <c r="I60" s="18" t="n">
        <v>0</v>
      </c>
      <c r="J60" s="20" t="n">
        <v>0</v>
      </c>
      <c r="K60" s="18" t="n">
        <v>7.44650855</v>
      </c>
      <c r="L60" s="20" t="n">
        <v>1.15754292</v>
      </c>
      <c r="M60" s="18" t="n">
        <v>0</v>
      </c>
      <c r="N60" s="20" t="n">
        <v>0</v>
      </c>
      <c r="O60" s="18" t="n">
        <v>0.11553651</v>
      </c>
      <c r="P60" s="20" t="n">
        <v>0.11793882</v>
      </c>
      <c r="Q60" s="18" t="n">
        <v>43.768047</v>
      </c>
      <c r="R60" s="20" t="n">
        <v>1.86804189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22.00397515</v>
      </c>
      <c r="F63" s="20" t="n">
        <v>1.52206412</v>
      </c>
      <c r="G63" s="18" t="n">
        <v>11.95045073</v>
      </c>
      <c r="H63" s="20" t="n">
        <v>1.1280646</v>
      </c>
      <c r="I63" s="18" t="n">
        <v>0</v>
      </c>
      <c r="J63" s="20" t="n">
        <v>0</v>
      </c>
      <c r="K63" s="18" t="n">
        <v>3.7018913</v>
      </c>
      <c r="L63" s="20" t="n">
        <v>0.60385319</v>
      </c>
      <c r="M63" s="18" t="n">
        <v>0</v>
      </c>
      <c r="N63" s="20" t="n">
        <v>0</v>
      </c>
      <c r="O63" s="18" t="n">
        <v>0</v>
      </c>
      <c r="P63" s="20" t="n">
        <v>0</v>
      </c>
      <c r="Q63" s="18" t="n">
        <v>62.34368282</v>
      </c>
      <c r="R63" s="20" t="n">
        <v>2.01347815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28.50309534</v>
      </c>
      <c r="F65" s="20" t="n">
        <v>1.92192401</v>
      </c>
      <c r="G65" s="18" t="n">
        <v>33.54486331</v>
      </c>
      <c r="H65" s="20" t="n">
        <v>1.78548991</v>
      </c>
      <c r="I65" s="18" t="n">
        <v>0</v>
      </c>
      <c r="J65" s="20" t="n">
        <v>0</v>
      </c>
      <c r="K65" s="18" t="n">
        <v>4.73964691</v>
      </c>
      <c r="L65" s="20" t="n">
        <v>1.04310139</v>
      </c>
      <c r="M65" s="18" t="n">
        <v>0</v>
      </c>
      <c r="N65" s="20" t="n">
        <v>0</v>
      </c>
      <c r="O65" s="18" t="n">
        <v>0</v>
      </c>
      <c r="P65" s="20" t="n">
        <v>0</v>
      </c>
      <c r="Q65" s="18" t="n">
        <v>33.21239444</v>
      </c>
      <c r="R65" s="20" t="n">
        <v>2.09726724</v>
      </c>
    </row>
    <row r="66" spans="1:18">
      <c r="A66" s="15" t="s">
        <v>490</v>
      </c>
      <c r="B66" s="17" t="n">
        <v>5325</v>
      </c>
      <c r="C66" s="18">
        <f>(4429.0/B66*100)</f>
        <v/>
      </c>
      <c r="D66" s="19" t="n">
        <v>896</v>
      </c>
      <c r="E66" s="18" t="n">
        <v>20.53400506</v>
      </c>
      <c r="F66" s="20" t="n">
        <v>1.58577986</v>
      </c>
      <c r="G66" s="18" t="n">
        <v>29.38902897</v>
      </c>
      <c r="H66" s="20" t="n">
        <v>1.61930094</v>
      </c>
      <c r="I66" s="18" t="n">
        <v>0</v>
      </c>
      <c r="J66" s="20" t="n">
        <v>0</v>
      </c>
      <c r="K66" s="18" t="n">
        <v>6.43652228</v>
      </c>
      <c r="L66" s="20" t="n">
        <v>0.82935132</v>
      </c>
      <c r="M66" s="18" t="n">
        <v>0</v>
      </c>
      <c r="N66" s="20" t="n">
        <v>0</v>
      </c>
      <c r="O66" s="18" t="n">
        <v>0</v>
      </c>
      <c r="P66" s="20" t="n">
        <v>0</v>
      </c>
      <c r="Q66" s="18" t="n">
        <v>43.64044369</v>
      </c>
      <c r="R66" s="20" t="n">
        <v>1.8414995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30.90248747</v>
      </c>
      <c r="F69" s="20" t="n">
        <v>3.68964698</v>
      </c>
      <c r="G69" s="18" t="n">
        <v>40.29338873</v>
      </c>
      <c r="H69" s="20" t="n">
        <v>3.65347099</v>
      </c>
      <c r="I69" s="18" t="n">
        <v>0</v>
      </c>
      <c r="J69" s="20" t="n">
        <v>0</v>
      </c>
      <c r="K69" s="18" t="n">
        <v>1.43040495</v>
      </c>
      <c r="L69" s="20" t="n">
        <v>0.97060709</v>
      </c>
      <c r="M69" s="18" t="n">
        <v>0</v>
      </c>
      <c r="N69" s="20" t="n">
        <v>0</v>
      </c>
      <c r="O69" s="18" t="n">
        <v>0</v>
      </c>
      <c r="P69" s="20" t="n">
        <v>0</v>
      </c>
      <c r="Q69" s="18" t="n">
        <v>27.37371885</v>
      </c>
      <c r="R69" s="20" t="n">
        <v>3.07429277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44.97094455</v>
      </c>
      <c r="F71" s="20" t="n">
        <v>2.16705005</v>
      </c>
      <c r="G71" s="18" t="n">
        <v>47.31129298</v>
      </c>
      <c r="H71" s="20" t="n">
        <v>2.14751211</v>
      </c>
      <c r="I71" s="18" t="n">
        <v>0</v>
      </c>
      <c r="J71" s="20" t="n">
        <v>0</v>
      </c>
      <c r="K71" s="18" t="n">
        <v>0.24778619</v>
      </c>
      <c r="L71" s="20" t="n">
        <v>0.17460316</v>
      </c>
      <c r="M71" s="18" t="n">
        <v>0</v>
      </c>
      <c r="N71" s="20" t="n">
        <v>0</v>
      </c>
      <c r="O71" s="18" t="n">
        <v>0</v>
      </c>
      <c r="P71" s="20" t="n">
        <v>0</v>
      </c>
      <c r="Q71" s="18" t="n">
        <v>7.46997628</v>
      </c>
      <c r="R71" s="20" t="n">
        <v>1.11061473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27.40505472</v>
      </c>
      <c r="F76" s="20" t="n">
        <v>1.73217452</v>
      </c>
      <c r="G76" s="18" t="n">
        <v>25.76384012</v>
      </c>
      <c r="H76" s="20" t="n">
        <v>1.88521283</v>
      </c>
      <c r="I76" s="18" t="n">
        <v>0</v>
      </c>
      <c r="J76" s="20" t="n">
        <v>0</v>
      </c>
      <c r="K76" s="18" t="n">
        <v>9.413020449999999</v>
      </c>
      <c r="L76" s="20" t="n">
        <v>1.14949869</v>
      </c>
      <c r="M76" s="18" t="n">
        <v>0</v>
      </c>
      <c r="N76" s="20" t="n">
        <v>0</v>
      </c>
      <c r="O76" s="18" t="n">
        <v>0</v>
      </c>
      <c r="P76" s="20" t="n">
        <v>0</v>
      </c>
      <c r="Q76" s="18" t="n">
        <v>37.41808471</v>
      </c>
      <c r="R76" s="20" t="n">
        <v>1.9733187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24.95555233</v>
      </c>
      <c r="F80" s="20" t="n">
        <v>1.43158561</v>
      </c>
      <c r="G80" s="18" t="n">
        <v>73.00335732000001</v>
      </c>
      <c r="H80" s="20" t="n">
        <v>1.45100133</v>
      </c>
      <c r="I80" s="18" t="n">
        <v>0</v>
      </c>
      <c r="J80" s="20" t="n">
        <v>0</v>
      </c>
      <c r="K80" s="18" t="n">
        <v>0.2070189</v>
      </c>
      <c r="L80" s="20" t="n">
        <v>0.14850883</v>
      </c>
      <c r="M80" s="18" t="n">
        <v>0</v>
      </c>
      <c r="N80" s="20" t="n">
        <v>0</v>
      </c>
      <c r="O80" s="18" t="n">
        <v>0</v>
      </c>
      <c r="P80" s="20" t="n">
        <v>0</v>
      </c>
      <c r="Q80" s="18" t="n">
        <v>1.83407145</v>
      </c>
      <c r="R80" s="20" t="n">
        <v>0.41903547</v>
      </c>
    </row>
    <row r="81" spans="1:18">
      <c r="A81" s="15" t="s">
        <v>505</v>
      </c>
      <c r="B81" s="17" t="n">
        <v>1657</v>
      </c>
      <c r="C81" s="18">
        <f>(1391.0/B81*100)</f>
        <v/>
      </c>
      <c r="D81" s="19" t="n">
        <v>266</v>
      </c>
      <c r="E81" s="18" t="n">
        <v>22.12376785</v>
      </c>
      <c r="F81" s="20" t="n">
        <v>3.27888452</v>
      </c>
      <c r="G81" s="18" t="n">
        <v>53.61068886</v>
      </c>
      <c r="H81" s="20" t="n">
        <v>3.34209644</v>
      </c>
      <c r="I81" s="18" t="n">
        <v>0</v>
      </c>
      <c r="J81" s="20" t="n">
        <v>0</v>
      </c>
      <c r="K81" s="18" t="n">
        <v>6.16905075</v>
      </c>
      <c r="L81" s="20" t="n">
        <v>2.37094604</v>
      </c>
      <c r="M81" s="18" t="n">
        <v>0</v>
      </c>
      <c r="N81" s="20" t="n">
        <v>0</v>
      </c>
      <c r="O81" s="18" t="n">
        <v>0</v>
      </c>
      <c r="P81" s="20" t="n">
        <v>0</v>
      </c>
      <c r="Q81" s="18" t="n">
        <v>18.09649253</v>
      </c>
      <c r="R81" s="20" t="n">
        <v>2.51542589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23.26722315</v>
      </c>
      <c r="F44" s="20" t="n">
        <v>1.92706065</v>
      </c>
      <c r="G44" s="18" t="n">
        <v>59.05237082</v>
      </c>
      <c r="H44" s="20" t="n">
        <v>2.57485529</v>
      </c>
      <c r="I44" s="18" t="n">
        <v>0</v>
      </c>
      <c r="J44" s="20" t="n">
        <v>0</v>
      </c>
      <c r="K44" s="18" t="n">
        <v>5.05736764</v>
      </c>
      <c r="L44" s="20" t="n">
        <v>0.74769852</v>
      </c>
      <c r="M44" s="18" t="n">
        <v>0</v>
      </c>
      <c r="N44" s="20" t="n">
        <v>0</v>
      </c>
      <c r="O44" s="18" t="n">
        <v>0</v>
      </c>
      <c r="P44" s="20" t="n">
        <v>0</v>
      </c>
      <c r="Q44" s="18" t="n">
        <v>12.62303839</v>
      </c>
      <c r="R44" s="20" t="n">
        <v>1.40373197</v>
      </c>
    </row>
    <row r="45" spans="1:18">
      <c r="A45" s="15" t="s">
        <v>468</v>
      </c>
      <c r="B45" s="17" t="n">
        <v>5519</v>
      </c>
      <c r="C45" s="18">
        <f>(4604.0/B45*100)</f>
        <v/>
      </c>
      <c r="D45" s="19" t="n">
        <v>915</v>
      </c>
      <c r="E45" s="18" t="n">
        <v>48.30037735</v>
      </c>
      <c r="F45" s="20" t="n">
        <v>1.59492111</v>
      </c>
      <c r="G45" s="18" t="n">
        <v>32.64644857</v>
      </c>
      <c r="H45" s="20" t="n">
        <v>1.59826521</v>
      </c>
      <c r="I45" s="18" t="n">
        <v>0</v>
      </c>
      <c r="J45" s="20" t="n">
        <v>0</v>
      </c>
      <c r="K45" s="18" t="n">
        <v>7.89970161</v>
      </c>
      <c r="L45" s="20" t="n">
        <v>0.99084759</v>
      </c>
      <c r="M45" s="18" t="n">
        <v>0.64339254</v>
      </c>
      <c r="N45" s="20" t="n">
        <v>0.26204104</v>
      </c>
      <c r="O45" s="18" t="n">
        <v>0.13257075</v>
      </c>
      <c r="P45" s="20" t="n">
        <v>0.09058876</v>
      </c>
      <c r="Q45" s="18" t="n">
        <v>10.37750919</v>
      </c>
      <c r="R45" s="20" t="n">
        <v>1.09029442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44.37478621</v>
      </c>
      <c r="F54" s="20" t="n">
        <v>1.71837531</v>
      </c>
      <c r="G54" s="18" t="n">
        <v>29.01153736</v>
      </c>
      <c r="H54" s="20" t="n">
        <v>1.72632418</v>
      </c>
      <c r="I54" s="18" t="n">
        <v>0</v>
      </c>
      <c r="J54" s="20" t="n">
        <v>0</v>
      </c>
      <c r="K54" s="18" t="n">
        <v>2.90203774</v>
      </c>
      <c r="L54" s="20" t="n">
        <v>0.5462243</v>
      </c>
      <c r="M54" s="18" t="n">
        <v>0</v>
      </c>
      <c r="N54" s="20" t="n">
        <v>0</v>
      </c>
      <c r="O54" s="18" t="n">
        <v>0</v>
      </c>
      <c r="P54" s="20" t="n">
        <v>0</v>
      </c>
      <c r="Q54" s="18" t="n">
        <v>23.71163869</v>
      </c>
      <c r="R54" s="20" t="n">
        <v>1.7502067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43.01876754</v>
      </c>
      <c r="F56" s="20" t="n">
        <v>1.67667561</v>
      </c>
      <c r="G56" s="18" t="n">
        <v>49.57342542</v>
      </c>
      <c r="H56" s="20" t="n">
        <v>1.78134544</v>
      </c>
      <c r="I56" s="18" t="n">
        <v>0</v>
      </c>
      <c r="J56" s="20" t="n">
        <v>0</v>
      </c>
      <c r="K56" s="18" t="n">
        <v>2.23100047</v>
      </c>
      <c r="L56" s="20" t="n">
        <v>0.44898816</v>
      </c>
      <c r="M56" s="18" t="n">
        <v>0</v>
      </c>
      <c r="N56" s="20" t="n">
        <v>0</v>
      </c>
      <c r="O56" s="18" t="n">
        <v>0</v>
      </c>
      <c r="P56" s="20" t="n">
        <v>0</v>
      </c>
      <c r="Q56" s="18" t="n">
        <v>5.17680657</v>
      </c>
      <c r="R56" s="20" t="n">
        <v>0.76820153</v>
      </c>
    </row>
    <row r="57" spans="1:18">
      <c r="A57" s="15" t="s">
        <v>480</v>
      </c>
      <c r="B57" s="17" t="n">
        <v>7267</v>
      </c>
      <c r="C57" s="18">
        <f>(6065.0/B57*100)</f>
        <v/>
      </c>
      <c r="D57" s="19" t="n">
        <v>1202</v>
      </c>
      <c r="E57" s="18" t="n">
        <v>24.09541077</v>
      </c>
      <c r="F57" s="20" t="n">
        <v>1.40085876</v>
      </c>
      <c r="G57" s="18" t="n">
        <v>64.04083846</v>
      </c>
      <c r="H57" s="20" t="n">
        <v>1.49742994</v>
      </c>
      <c r="I57" s="18" t="n">
        <v>0</v>
      </c>
      <c r="J57" s="20" t="n">
        <v>0</v>
      </c>
      <c r="K57" s="18" t="n">
        <v>2.86027741</v>
      </c>
      <c r="L57" s="20" t="n">
        <v>0.51102285</v>
      </c>
      <c r="M57" s="18" t="n">
        <v>0</v>
      </c>
      <c r="N57" s="20" t="n">
        <v>0</v>
      </c>
      <c r="O57" s="18" t="n">
        <v>0.24202652</v>
      </c>
      <c r="P57" s="20" t="n">
        <v>0.24782063</v>
      </c>
      <c r="Q57" s="18" t="n">
        <v>8.761446830000001</v>
      </c>
      <c r="R57" s="20" t="n">
        <v>0.91607002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55.9143087</v>
      </c>
      <c r="F59" s="20" t="n">
        <v>2.0725293</v>
      </c>
      <c r="G59" s="18" t="n">
        <v>27.69329288</v>
      </c>
      <c r="H59" s="20" t="n">
        <v>2.15984921</v>
      </c>
      <c r="I59" s="18" t="n">
        <v>0</v>
      </c>
      <c r="J59" s="20" t="n">
        <v>0</v>
      </c>
      <c r="K59" s="18" t="n">
        <v>0.7698290800000001</v>
      </c>
      <c r="L59" s="20" t="n">
        <v>0.36526576</v>
      </c>
      <c r="M59" s="18" t="n">
        <v>0</v>
      </c>
      <c r="N59" s="20" t="n">
        <v>0</v>
      </c>
      <c r="O59" s="18" t="n">
        <v>0</v>
      </c>
      <c r="P59" s="20" t="n">
        <v>0</v>
      </c>
      <c r="Q59" s="18" t="n">
        <v>15.62256934</v>
      </c>
      <c r="R59" s="20" t="n">
        <v>1.26076369</v>
      </c>
    </row>
    <row r="60" spans="1:18">
      <c r="A60" s="15" t="s">
        <v>484</v>
      </c>
      <c r="B60" s="17" t="n">
        <v>4546</v>
      </c>
      <c r="C60" s="18">
        <f>(3783.0/B60*100)</f>
        <v/>
      </c>
      <c r="D60" s="19" t="n">
        <v>763</v>
      </c>
      <c r="E60" s="18" t="n">
        <v>30.84865479</v>
      </c>
      <c r="F60" s="20" t="n">
        <v>2.08582634</v>
      </c>
      <c r="G60" s="18" t="n">
        <v>38.12765308</v>
      </c>
      <c r="H60" s="20" t="n">
        <v>2.05199574</v>
      </c>
      <c r="I60" s="18" t="n">
        <v>0</v>
      </c>
      <c r="J60" s="20" t="n">
        <v>0</v>
      </c>
      <c r="K60" s="18" t="n">
        <v>7.54270505</v>
      </c>
      <c r="L60" s="20" t="n">
        <v>1.15940584</v>
      </c>
      <c r="M60" s="18" t="n">
        <v>0</v>
      </c>
      <c r="N60" s="20" t="n">
        <v>0</v>
      </c>
      <c r="O60" s="18" t="n">
        <v>0</v>
      </c>
      <c r="P60" s="20" t="n">
        <v>0</v>
      </c>
      <c r="Q60" s="18" t="n">
        <v>23.48098708</v>
      </c>
      <c r="R60" s="20" t="n">
        <v>2.1541992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33.84310151</v>
      </c>
      <c r="F63" s="20" t="n">
        <v>1.56598695</v>
      </c>
      <c r="G63" s="18" t="n">
        <v>26.77455615</v>
      </c>
      <c r="H63" s="20" t="n">
        <v>1.61125366</v>
      </c>
      <c r="I63" s="18" t="n">
        <v>0</v>
      </c>
      <c r="J63" s="20" t="n">
        <v>0</v>
      </c>
      <c r="K63" s="18" t="n">
        <v>3.73952544</v>
      </c>
      <c r="L63" s="20" t="n">
        <v>0.61480093</v>
      </c>
      <c r="M63" s="18" t="n">
        <v>0</v>
      </c>
      <c r="N63" s="20" t="n">
        <v>0</v>
      </c>
      <c r="O63" s="18" t="n">
        <v>0.08584890000000001</v>
      </c>
      <c r="P63" s="20" t="n">
        <v>0.08576955</v>
      </c>
      <c r="Q63" s="18" t="n">
        <v>35.55696801</v>
      </c>
      <c r="R63" s="20" t="n">
        <v>1.70140943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21.86957527</v>
      </c>
      <c r="F65" s="20" t="n">
        <v>1.58430602</v>
      </c>
      <c r="G65" s="18" t="n">
        <v>57.52561928</v>
      </c>
      <c r="H65" s="20" t="n">
        <v>1.91313148</v>
      </c>
      <c r="I65" s="18" t="n">
        <v>0</v>
      </c>
      <c r="J65" s="20" t="n">
        <v>0</v>
      </c>
      <c r="K65" s="18" t="n">
        <v>4.73964691</v>
      </c>
      <c r="L65" s="20" t="n">
        <v>1.04310139</v>
      </c>
      <c r="M65" s="18" t="n">
        <v>0</v>
      </c>
      <c r="N65" s="20" t="n">
        <v>0</v>
      </c>
      <c r="O65" s="18" t="n">
        <v>0</v>
      </c>
      <c r="P65" s="20" t="n">
        <v>0</v>
      </c>
      <c r="Q65" s="18" t="n">
        <v>15.86515855</v>
      </c>
      <c r="R65" s="20" t="n">
        <v>1.56079379</v>
      </c>
    </row>
    <row r="66" spans="1:18">
      <c r="A66" s="15" t="s">
        <v>490</v>
      </c>
      <c r="B66" s="17" t="n">
        <v>5325</v>
      </c>
      <c r="C66" s="18">
        <f>(4429.0/B66*100)</f>
        <v/>
      </c>
      <c r="D66" s="19" t="n">
        <v>896</v>
      </c>
      <c r="E66" s="18" t="n">
        <v>46.48823819</v>
      </c>
      <c r="F66" s="20" t="n">
        <v>1.79317904</v>
      </c>
      <c r="G66" s="18" t="n">
        <v>26.04418582</v>
      </c>
      <c r="H66" s="20" t="n">
        <v>1.53668834</v>
      </c>
      <c r="I66" s="18" t="n">
        <v>0</v>
      </c>
      <c r="J66" s="20" t="n">
        <v>0</v>
      </c>
      <c r="K66" s="18" t="n">
        <v>6.72144492</v>
      </c>
      <c r="L66" s="20" t="n">
        <v>0.84817155</v>
      </c>
      <c r="M66" s="18" t="n">
        <v>0</v>
      </c>
      <c r="N66" s="20" t="n">
        <v>0</v>
      </c>
      <c r="O66" s="18" t="n">
        <v>0</v>
      </c>
      <c r="P66" s="20" t="n">
        <v>0</v>
      </c>
      <c r="Q66" s="18" t="n">
        <v>20.74613107</v>
      </c>
      <c r="R66" s="20" t="n">
        <v>1.55456552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37.49320206</v>
      </c>
      <c r="F69" s="20" t="n">
        <v>3.54441846</v>
      </c>
      <c r="G69" s="18" t="n">
        <v>46.50111493</v>
      </c>
      <c r="H69" s="20" t="n">
        <v>3.9740859</v>
      </c>
      <c r="I69" s="18" t="n">
        <v>0</v>
      </c>
      <c r="J69" s="20" t="n">
        <v>0</v>
      </c>
      <c r="K69" s="18" t="n">
        <v>1.43040495</v>
      </c>
      <c r="L69" s="20" t="n">
        <v>0.97060709</v>
      </c>
      <c r="M69" s="18" t="n">
        <v>0</v>
      </c>
      <c r="N69" s="20" t="n">
        <v>0</v>
      </c>
      <c r="O69" s="18" t="n">
        <v>0</v>
      </c>
      <c r="P69" s="20" t="n">
        <v>0</v>
      </c>
      <c r="Q69" s="18" t="n">
        <v>14.57527807</v>
      </c>
      <c r="R69" s="20" t="n">
        <v>1.86074173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48.39594488</v>
      </c>
      <c r="F71" s="20" t="n">
        <v>2.40299061</v>
      </c>
      <c r="G71" s="18" t="n">
        <v>48.56773393</v>
      </c>
      <c r="H71" s="20" t="n">
        <v>2.33538191</v>
      </c>
      <c r="I71" s="18" t="n">
        <v>0</v>
      </c>
      <c r="J71" s="20" t="n">
        <v>0</v>
      </c>
      <c r="K71" s="18" t="n">
        <v>0.24778619</v>
      </c>
      <c r="L71" s="20" t="n">
        <v>0.17460316</v>
      </c>
      <c r="M71" s="18" t="n">
        <v>0</v>
      </c>
      <c r="N71" s="20" t="n">
        <v>0</v>
      </c>
      <c r="O71" s="18" t="n">
        <v>0</v>
      </c>
      <c r="P71" s="20" t="n">
        <v>0</v>
      </c>
      <c r="Q71" s="18" t="n">
        <v>2.788535</v>
      </c>
      <c r="R71" s="20" t="n">
        <v>0.5638376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24.65558724</v>
      </c>
      <c r="F76" s="20" t="n">
        <v>1.71806801</v>
      </c>
      <c r="G76" s="18" t="n">
        <v>49.05000539</v>
      </c>
      <c r="H76" s="20" t="n">
        <v>1.94688553</v>
      </c>
      <c r="I76" s="18" t="n">
        <v>0</v>
      </c>
      <c r="J76" s="20" t="n">
        <v>0</v>
      </c>
      <c r="K76" s="18" t="n">
        <v>9.413020449999999</v>
      </c>
      <c r="L76" s="20" t="n">
        <v>1.14949869</v>
      </c>
      <c r="M76" s="18" t="n">
        <v>0</v>
      </c>
      <c r="N76" s="20" t="n">
        <v>0</v>
      </c>
      <c r="O76" s="18" t="n">
        <v>0</v>
      </c>
      <c r="P76" s="20" t="n">
        <v>0</v>
      </c>
      <c r="Q76" s="18" t="n">
        <v>16.88138693</v>
      </c>
      <c r="R76" s="20" t="n">
        <v>1.5868173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37.2916042</v>
      </c>
      <c r="F80" s="20" t="n">
        <v>1.83132548</v>
      </c>
      <c r="G80" s="18" t="n">
        <v>61.27798167</v>
      </c>
      <c r="H80" s="20" t="n">
        <v>1.83521222</v>
      </c>
      <c r="I80" s="18" t="n">
        <v>0</v>
      </c>
      <c r="J80" s="20" t="n">
        <v>0</v>
      </c>
      <c r="K80" s="18" t="n">
        <v>0.2070189</v>
      </c>
      <c r="L80" s="20" t="n">
        <v>0.14850883</v>
      </c>
      <c r="M80" s="18" t="n">
        <v>0</v>
      </c>
      <c r="N80" s="20" t="n">
        <v>0</v>
      </c>
      <c r="O80" s="18" t="n">
        <v>0</v>
      </c>
      <c r="P80" s="20" t="n">
        <v>0</v>
      </c>
      <c r="Q80" s="18" t="n">
        <v>1.22339524</v>
      </c>
      <c r="R80" s="20" t="n">
        <v>0.3657697</v>
      </c>
    </row>
    <row r="81" spans="1:18">
      <c r="A81" s="15" t="s">
        <v>505</v>
      </c>
      <c r="B81" s="17" t="n">
        <v>1657</v>
      </c>
      <c r="C81" s="18">
        <f>(1391.0/B81*100)</f>
        <v/>
      </c>
      <c r="D81" s="19" t="n">
        <v>266</v>
      </c>
      <c r="E81" s="18" t="n">
        <v>17.7631951</v>
      </c>
      <c r="F81" s="20" t="n">
        <v>2.93200595</v>
      </c>
      <c r="G81" s="18" t="n">
        <v>69.14998283</v>
      </c>
      <c r="H81" s="20" t="n">
        <v>3.13728166</v>
      </c>
      <c r="I81" s="18" t="n">
        <v>0</v>
      </c>
      <c r="J81" s="20" t="n">
        <v>0</v>
      </c>
      <c r="K81" s="18" t="n">
        <v>6.16905075</v>
      </c>
      <c r="L81" s="20" t="n">
        <v>2.37094604</v>
      </c>
      <c r="M81" s="18" t="n">
        <v>0</v>
      </c>
      <c r="N81" s="20" t="n">
        <v>0</v>
      </c>
      <c r="O81" s="18" t="n">
        <v>0</v>
      </c>
      <c r="P81" s="20" t="n">
        <v>0</v>
      </c>
      <c r="Q81" s="18" t="n">
        <v>6.91777132</v>
      </c>
      <c r="R81" s="20" t="n">
        <v>1.06085203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47.08525721</v>
      </c>
      <c r="F44" s="20" t="n">
        <v>2.21303528</v>
      </c>
      <c r="G44" s="18" t="n">
        <v>37.59278124</v>
      </c>
      <c r="H44" s="20" t="n">
        <v>2.24497973</v>
      </c>
      <c r="I44" s="18" t="n">
        <v>0</v>
      </c>
      <c r="J44" s="20" t="n">
        <v>0</v>
      </c>
      <c r="K44" s="18" t="n">
        <v>5.43740646</v>
      </c>
      <c r="L44" s="20" t="n">
        <v>0.78534905</v>
      </c>
      <c r="M44" s="18" t="n">
        <v>0</v>
      </c>
      <c r="N44" s="20" t="n">
        <v>0</v>
      </c>
      <c r="O44" s="18" t="n">
        <v>0.88874438</v>
      </c>
      <c r="P44" s="20" t="n">
        <v>0.3505579</v>
      </c>
      <c r="Q44" s="18" t="n">
        <v>8.99581072</v>
      </c>
      <c r="R44" s="20" t="n">
        <v>1.32270967</v>
      </c>
    </row>
    <row r="45" spans="1:18">
      <c r="A45" s="15" t="s">
        <v>468</v>
      </c>
      <c r="B45" s="17" t="n">
        <v>5519</v>
      </c>
      <c r="C45" s="18">
        <f>(4604.0/B45*100)</f>
        <v/>
      </c>
      <c r="D45" s="19" t="n">
        <v>915</v>
      </c>
      <c r="E45" s="18" t="n">
        <v>58.14407905</v>
      </c>
      <c r="F45" s="20" t="n">
        <v>1.78364993</v>
      </c>
      <c r="G45" s="18" t="n">
        <v>24.19576077</v>
      </c>
      <c r="H45" s="20" t="n">
        <v>1.49457194</v>
      </c>
      <c r="I45" s="18" t="n">
        <v>0</v>
      </c>
      <c r="J45" s="20" t="n">
        <v>0</v>
      </c>
      <c r="K45" s="18" t="n">
        <v>9.073657819999999</v>
      </c>
      <c r="L45" s="20" t="n">
        <v>1.01478358</v>
      </c>
      <c r="M45" s="18" t="n">
        <v>0.46810864</v>
      </c>
      <c r="N45" s="20" t="n">
        <v>0.21605748</v>
      </c>
      <c r="O45" s="18" t="n">
        <v>3.57490577</v>
      </c>
      <c r="P45" s="20" t="n">
        <v>0.7021553</v>
      </c>
      <c r="Q45" s="18" t="n">
        <v>4.54348797</v>
      </c>
      <c r="R45" s="20" t="n">
        <v>0.64761799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57.32031348</v>
      </c>
      <c r="F54" s="20" t="n">
        <v>1.84052213</v>
      </c>
      <c r="G54" s="18" t="n">
        <v>34.33614163</v>
      </c>
      <c r="H54" s="20" t="n">
        <v>1.80514277</v>
      </c>
      <c r="I54" s="18" t="n">
        <v>0</v>
      </c>
      <c r="J54" s="20" t="n">
        <v>0</v>
      </c>
      <c r="K54" s="18" t="n">
        <v>3.13197428</v>
      </c>
      <c r="L54" s="20" t="n">
        <v>0.53827737</v>
      </c>
      <c r="M54" s="18" t="n">
        <v>0.2690886</v>
      </c>
      <c r="N54" s="20" t="n">
        <v>0.19650302</v>
      </c>
      <c r="O54" s="18" t="n">
        <v>0.66159634</v>
      </c>
      <c r="P54" s="20" t="n">
        <v>0.29155686</v>
      </c>
      <c r="Q54" s="18" t="n">
        <v>4.28088567</v>
      </c>
      <c r="R54" s="20" t="n">
        <v>0.67701568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47.58594106</v>
      </c>
      <c r="F56" s="20" t="n">
        <v>1.84072525</v>
      </c>
      <c r="G56" s="18" t="n">
        <v>48.15752563</v>
      </c>
      <c r="H56" s="20" t="n">
        <v>1.95849947</v>
      </c>
      <c r="I56" s="18" t="n">
        <v>0</v>
      </c>
      <c r="J56" s="20" t="n">
        <v>0</v>
      </c>
      <c r="K56" s="18" t="n">
        <v>2.66732186</v>
      </c>
      <c r="L56" s="20" t="n">
        <v>0.51233472</v>
      </c>
      <c r="M56" s="18" t="n">
        <v>0</v>
      </c>
      <c r="N56" s="20" t="n">
        <v>0</v>
      </c>
      <c r="O56" s="18" t="n">
        <v>0</v>
      </c>
      <c r="P56" s="20" t="n">
        <v>0</v>
      </c>
      <c r="Q56" s="18" t="n">
        <v>1.58921145</v>
      </c>
      <c r="R56" s="20" t="n">
        <v>0.38934487</v>
      </c>
    </row>
    <row r="57" spans="1:18">
      <c r="A57" s="15" t="s">
        <v>480</v>
      </c>
      <c r="B57" s="17" t="n">
        <v>7267</v>
      </c>
      <c r="C57" s="18">
        <f>(6065.0/B57*100)</f>
        <v/>
      </c>
      <c r="D57" s="19" t="n">
        <v>1202</v>
      </c>
      <c r="E57" s="18" t="n">
        <v>50.80994685</v>
      </c>
      <c r="F57" s="20" t="n">
        <v>2.08268748</v>
      </c>
      <c r="G57" s="18" t="n">
        <v>40.38639293</v>
      </c>
      <c r="H57" s="20" t="n">
        <v>1.86818872</v>
      </c>
      <c r="I57" s="18" t="n">
        <v>0</v>
      </c>
      <c r="J57" s="20" t="n">
        <v>0</v>
      </c>
      <c r="K57" s="18" t="n">
        <v>3.83061262</v>
      </c>
      <c r="L57" s="20" t="n">
        <v>0.56805086</v>
      </c>
      <c r="M57" s="18" t="n">
        <v>0</v>
      </c>
      <c r="N57" s="20" t="n">
        <v>0</v>
      </c>
      <c r="O57" s="18" t="n">
        <v>0.46287056</v>
      </c>
      <c r="P57" s="20" t="n">
        <v>0.22225211</v>
      </c>
      <c r="Q57" s="18" t="n">
        <v>4.51017703</v>
      </c>
      <c r="R57" s="20" t="n">
        <v>0.76059289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64.27541501</v>
      </c>
      <c r="F59" s="20" t="n">
        <v>1.8609485</v>
      </c>
      <c r="G59" s="18" t="n">
        <v>27.71652234</v>
      </c>
      <c r="H59" s="20" t="n">
        <v>2.10752231</v>
      </c>
      <c r="I59" s="18" t="n">
        <v>0</v>
      </c>
      <c r="J59" s="20" t="n">
        <v>0</v>
      </c>
      <c r="K59" s="18" t="n">
        <v>0.81689934</v>
      </c>
      <c r="L59" s="20" t="n">
        <v>0.36837013</v>
      </c>
      <c r="M59" s="18" t="n">
        <v>1.2021736</v>
      </c>
      <c r="N59" s="20" t="n">
        <v>0.54909853</v>
      </c>
      <c r="O59" s="18" t="n">
        <v>2.60939583</v>
      </c>
      <c r="P59" s="20" t="n">
        <v>0.71917217</v>
      </c>
      <c r="Q59" s="18" t="n">
        <v>3.37959388</v>
      </c>
      <c r="R59" s="20" t="n">
        <v>0.6898093</v>
      </c>
    </row>
    <row r="60" spans="1:18">
      <c r="A60" s="15" t="s">
        <v>484</v>
      </c>
      <c r="B60" s="17" t="n">
        <v>4546</v>
      </c>
      <c r="C60" s="18">
        <f>(3783.0/B60*100)</f>
        <v/>
      </c>
      <c r="D60" s="19" t="n">
        <v>763</v>
      </c>
      <c r="E60" s="18" t="n">
        <v>49.55708489</v>
      </c>
      <c r="F60" s="20" t="n">
        <v>2.47290957</v>
      </c>
      <c r="G60" s="18" t="n">
        <v>30.40358438</v>
      </c>
      <c r="H60" s="20" t="n">
        <v>2.23477777</v>
      </c>
      <c r="I60" s="18" t="n">
        <v>0</v>
      </c>
      <c r="J60" s="20" t="n">
        <v>0</v>
      </c>
      <c r="K60" s="18" t="n">
        <v>8.59246321</v>
      </c>
      <c r="L60" s="20" t="n">
        <v>1.24141869</v>
      </c>
      <c r="M60" s="18" t="n">
        <v>0</v>
      </c>
      <c r="N60" s="20" t="n">
        <v>0</v>
      </c>
      <c r="O60" s="18" t="n">
        <v>3.04084493</v>
      </c>
      <c r="P60" s="20" t="n">
        <v>0.91109847</v>
      </c>
      <c r="Q60" s="18" t="n">
        <v>8.40602258</v>
      </c>
      <c r="R60" s="20" t="n">
        <v>1.09022591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54.8284122</v>
      </c>
      <c r="F63" s="20" t="n">
        <v>1.63437568</v>
      </c>
      <c r="G63" s="18" t="n">
        <v>31.49947224</v>
      </c>
      <c r="H63" s="20" t="n">
        <v>1.65765002</v>
      </c>
      <c r="I63" s="18" t="n">
        <v>0</v>
      </c>
      <c r="J63" s="20" t="n">
        <v>0</v>
      </c>
      <c r="K63" s="18" t="n">
        <v>4.19517035</v>
      </c>
      <c r="L63" s="20" t="n">
        <v>0.6525554099999999</v>
      </c>
      <c r="M63" s="18" t="n">
        <v>0</v>
      </c>
      <c r="N63" s="20" t="n">
        <v>0</v>
      </c>
      <c r="O63" s="18" t="n">
        <v>1.28654742</v>
      </c>
      <c r="P63" s="20" t="n">
        <v>0.3954049</v>
      </c>
      <c r="Q63" s="18" t="n">
        <v>8.19039778</v>
      </c>
      <c r="R63" s="20" t="n">
        <v>0.96454945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39.76256198</v>
      </c>
      <c r="F65" s="20" t="n">
        <v>2.0335825</v>
      </c>
      <c r="G65" s="18" t="n">
        <v>50.29475483</v>
      </c>
      <c r="H65" s="20" t="n">
        <v>2.06151164</v>
      </c>
      <c r="I65" s="18" t="n">
        <v>0</v>
      </c>
      <c r="J65" s="20" t="n">
        <v>0</v>
      </c>
      <c r="K65" s="18" t="n">
        <v>5.20590133</v>
      </c>
      <c r="L65" s="20" t="n">
        <v>1.08460755</v>
      </c>
      <c r="M65" s="18" t="n">
        <v>0</v>
      </c>
      <c r="N65" s="20" t="n">
        <v>0</v>
      </c>
      <c r="O65" s="18" t="n">
        <v>0.30168248</v>
      </c>
      <c r="P65" s="20" t="n">
        <v>0.21108484</v>
      </c>
      <c r="Q65" s="18" t="n">
        <v>4.43509939</v>
      </c>
      <c r="R65" s="20" t="n">
        <v>0.8031133499999999</v>
      </c>
    </row>
    <row r="66" spans="1:18">
      <c r="A66" s="15" t="s">
        <v>490</v>
      </c>
      <c r="B66" s="17" t="n">
        <v>5325</v>
      </c>
      <c r="C66" s="18">
        <f>(4429.0/B66*100)</f>
        <v/>
      </c>
      <c r="D66" s="19" t="n">
        <v>896</v>
      </c>
      <c r="E66" s="18" t="n">
        <v>52.73723919</v>
      </c>
      <c r="F66" s="20" t="n">
        <v>1.7666524</v>
      </c>
      <c r="G66" s="18" t="n">
        <v>33.47516962</v>
      </c>
      <c r="H66" s="20" t="n">
        <v>1.57356556</v>
      </c>
      <c r="I66" s="18" t="n">
        <v>0</v>
      </c>
      <c r="J66" s="20" t="n">
        <v>0</v>
      </c>
      <c r="K66" s="18" t="n">
        <v>8.01013423</v>
      </c>
      <c r="L66" s="20" t="n">
        <v>0.88287917</v>
      </c>
      <c r="M66" s="18" t="n">
        <v>1.48333308</v>
      </c>
      <c r="N66" s="20" t="n">
        <v>0.41863082</v>
      </c>
      <c r="O66" s="18" t="n">
        <v>0</v>
      </c>
      <c r="P66" s="20" t="n">
        <v>0</v>
      </c>
      <c r="Q66" s="18" t="n">
        <v>4.29412388</v>
      </c>
      <c r="R66" s="20" t="n">
        <v>0.87414135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52.797787</v>
      </c>
      <c r="F69" s="20" t="n">
        <v>3.33200741</v>
      </c>
      <c r="G69" s="18" t="n">
        <v>43.84937454</v>
      </c>
      <c r="H69" s="20" t="n">
        <v>3.63763526</v>
      </c>
      <c r="I69" s="18" t="n">
        <v>0</v>
      </c>
      <c r="J69" s="20" t="n">
        <v>0</v>
      </c>
      <c r="K69" s="18" t="n">
        <v>1.76259995</v>
      </c>
      <c r="L69" s="20" t="n">
        <v>1.01382174</v>
      </c>
      <c r="M69" s="18" t="n">
        <v>0</v>
      </c>
      <c r="N69" s="20" t="n">
        <v>0</v>
      </c>
      <c r="O69" s="18" t="n">
        <v>0</v>
      </c>
      <c r="P69" s="20" t="n">
        <v>0</v>
      </c>
      <c r="Q69" s="18" t="n">
        <v>1.59023851</v>
      </c>
      <c r="R69" s="20" t="n">
        <v>1.11239171</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63.1049137</v>
      </c>
      <c r="F71" s="20" t="n">
        <v>2.06805796</v>
      </c>
      <c r="G71" s="18" t="n">
        <v>35.8209115</v>
      </c>
      <c r="H71" s="20" t="n">
        <v>1.88789662</v>
      </c>
      <c r="I71" s="18" t="n">
        <v>0</v>
      </c>
      <c r="J71" s="20" t="n">
        <v>0</v>
      </c>
      <c r="K71" s="18" t="n">
        <v>0.24778619</v>
      </c>
      <c r="L71" s="20" t="n">
        <v>0.17460316</v>
      </c>
      <c r="M71" s="18" t="n">
        <v>0</v>
      </c>
      <c r="N71" s="20" t="n">
        <v>0</v>
      </c>
      <c r="O71" s="18" t="n">
        <v>0</v>
      </c>
      <c r="P71" s="20" t="n">
        <v>0</v>
      </c>
      <c r="Q71" s="18" t="n">
        <v>0.82638862</v>
      </c>
      <c r="R71" s="20" t="n">
        <v>0.52310201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38.52236523</v>
      </c>
      <c r="F76" s="20" t="n">
        <v>2.03106541</v>
      </c>
      <c r="G76" s="18" t="n">
        <v>46.2749051</v>
      </c>
      <c r="H76" s="20" t="n">
        <v>1.90401704</v>
      </c>
      <c r="I76" s="18" t="n">
        <v>0</v>
      </c>
      <c r="J76" s="20" t="n">
        <v>0</v>
      </c>
      <c r="K76" s="18" t="n">
        <v>10.51055992</v>
      </c>
      <c r="L76" s="20" t="n">
        <v>1.21663444</v>
      </c>
      <c r="M76" s="18" t="n">
        <v>0</v>
      </c>
      <c r="N76" s="20" t="n">
        <v>0</v>
      </c>
      <c r="O76" s="18" t="n">
        <v>0</v>
      </c>
      <c r="P76" s="20" t="n">
        <v>0</v>
      </c>
      <c r="Q76" s="18" t="n">
        <v>4.69216975</v>
      </c>
      <c r="R76" s="20" t="n">
        <v>0.79024017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33.99596996</v>
      </c>
      <c r="F80" s="20" t="n">
        <v>1.74285583</v>
      </c>
      <c r="G80" s="18" t="n">
        <v>65.61572688</v>
      </c>
      <c r="H80" s="20" t="n">
        <v>1.74034605</v>
      </c>
      <c r="I80" s="18" t="n">
        <v>0</v>
      </c>
      <c r="J80" s="20" t="n">
        <v>0</v>
      </c>
      <c r="K80" s="18" t="n">
        <v>0.2070189</v>
      </c>
      <c r="L80" s="20" t="n">
        <v>0.14850883</v>
      </c>
      <c r="M80" s="18" t="n">
        <v>0</v>
      </c>
      <c r="N80" s="20" t="n">
        <v>0</v>
      </c>
      <c r="O80" s="18" t="n">
        <v>0</v>
      </c>
      <c r="P80" s="20" t="n">
        <v>0</v>
      </c>
      <c r="Q80" s="18" t="n">
        <v>0.18128426</v>
      </c>
      <c r="R80" s="20" t="n">
        <v>0.12907536</v>
      </c>
    </row>
    <row r="81" spans="1:18">
      <c r="A81" s="15" t="s">
        <v>505</v>
      </c>
      <c r="B81" s="17" t="n">
        <v>1657</v>
      </c>
      <c r="C81" s="18">
        <f>(1391.0/B81*100)</f>
        <v/>
      </c>
      <c r="D81" s="19" t="n">
        <v>266</v>
      </c>
      <c r="E81" s="18" t="n">
        <v>20.76337577</v>
      </c>
      <c r="F81" s="20" t="n">
        <v>2.81684916</v>
      </c>
      <c r="G81" s="18" t="n">
        <v>67.75028665000001</v>
      </c>
      <c r="H81" s="20" t="n">
        <v>3.7446206</v>
      </c>
      <c r="I81" s="18" t="n">
        <v>0</v>
      </c>
      <c r="J81" s="20" t="n">
        <v>0</v>
      </c>
      <c r="K81" s="18" t="n">
        <v>6.64070968</v>
      </c>
      <c r="L81" s="20" t="n">
        <v>2.31450317</v>
      </c>
      <c r="M81" s="18" t="n">
        <v>0</v>
      </c>
      <c r="N81" s="20" t="n">
        <v>0</v>
      </c>
      <c r="O81" s="18" t="n">
        <v>0.48042624</v>
      </c>
      <c r="P81" s="20" t="n">
        <v>0.44325726</v>
      </c>
      <c r="Q81" s="18" t="n">
        <v>4.36520167</v>
      </c>
      <c r="R81" s="20" t="n">
        <v>1.43282654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645</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(4364.0/B44*100)</f>
        <v/>
      </c>
      <c r="D44" s="19" t="n">
        <v>851</v>
      </c>
      <c r="E44" s="18" t="n">
        <v>20.75741208</v>
      </c>
      <c r="F44" s="20" t="n">
        <v>1.67029808</v>
      </c>
      <c r="G44" s="18" t="n">
        <v>31.08850449</v>
      </c>
      <c r="H44" s="20" t="n">
        <v>2.23995837</v>
      </c>
      <c r="I44" s="18" t="n">
        <v>14.84005843</v>
      </c>
      <c r="J44" s="20" t="n">
        <v>1.40382368</v>
      </c>
      <c r="K44" s="18" t="n">
        <v>0</v>
      </c>
      <c r="L44" s="20" t="n">
        <v>0</v>
      </c>
      <c r="M44" s="18" t="n">
        <v>5.53561264</v>
      </c>
      <c r="N44" s="20" t="n">
        <v>0.79189024</v>
      </c>
      <c r="O44" s="18" t="n">
        <v>0</v>
      </c>
      <c r="P44" s="20" t="n">
        <v>0</v>
      </c>
      <c r="Q44" s="18" t="n">
        <v>0</v>
      </c>
      <c r="R44" s="20" t="n">
        <v>0</v>
      </c>
      <c r="S44" s="18" t="n">
        <v>27.77841236</v>
      </c>
      <c r="T44" s="20" t="n">
        <v>1.98503147</v>
      </c>
    </row>
    <row r="45" spans="1:20">
      <c r="A45" s="15" t="s">
        <v>468</v>
      </c>
      <c r="B45" s="17" t="n">
        <v>5519</v>
      </c>
      <c r="C45" s="18">
        <f>(4604.0/B45*100)</f>
        <v/>
      </c>
      <c r="D45" s="19" t="n">
        <v>915</v>
      </c>
      <c r="E45" s="18" t="n">
        <v>36.09216359</v>
      </c>
      <c r="F45" s="20" t="n">
        <v>1.69396876</v>
      </c>
      <c r="G45" s="18" t="n">
        <v>14.60392734</v>
      </c>
      <c r="H45" s="20" t="n">
        <v>1.25789854</v>
      </c>
      <c r="I45" s="18" t="n">
        <v>4.3042283</v>
      </c>
      <c r="J45" s="20" t="n">
        <v>0.88939491</v>
      </c>
      <c r="K45" s="18" t="n">
        <v>0</v>
      </c>
      <c r="L45" s="20" t="n">
        <v>0</v>
      </c>
      <c r="M45" s="18" t="n">
        <v>9.84424697</v>
      </c>
      <c r="N45" s="20" t="n">
        <v>1.03268068</v>
      </c>
      <c r="O45" s="18" t="n">
        <v>1.14443911</v>
      </c>
      <c r="P45" s="20" t="n">
        <v>0.40648082</v>
      </c>
      <c r="Q45" s="18" t="n">
        <v>0.15104227</v>
      </c>
      <c r="R45" s="20" t="n">
        <v>0.10746498</v>
      </c>
      <c r="S45" s="18" t="n">
        <v>33.85995242</v>
      </c>
      <c r="T45" s="20" t="n">
        <v>2.04348414</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(4424.0/B54*100)</f>
        <v/>
      </c>
      <c r="D54" s="19" t="n">
        <v>892</v>
      </c>
      <c r="E54" s="18" t="n">
        <v>25.27386968</v>
      </c>
      <c r="F54" s="20" t="n">
        <v>1.53270445</v>
      </c>
      <c r="G54" s="18" t="n">
        <v>17.11851829</v>
      </c>
      <c r="H54" s="20" t="n">
        <v>1.15952364</v>
      </c>
      <c r="I54" s="18" t="n">
        <v>9.18310089</v>
      </c>
      <c r="J54" s="20" t="n">
        <v>1.1837277</v>
      </c>
      <c r="K54" s="18" t="n">
        <v>0</v>
      </c>
      <c r="L54" s="20" t="n">
        <v>0</v>
      </c>
      <c r="M54" s="18" t="n">
        <v>3.31995071</v>
      </c>
      <c r="N54" s="20" t="n">
        <v>0.5528622399999999</v>
      </c>
      <c r="O54" s="18" t="n">
        <v>0.2690886</v>
      </c>
      <c r="P54" s="20" t="n">
        <v>0.19650302</v>
      </c>
      <c r="Q54" s="18" t="n">
        <v>0</v>
      </c>
      <c r="R54" s="20" t="n">
        <v>0</v>
      </c>
      <c r="S54" s="18" t="n">
        <v>44.83547183</v>
      </c>
      <c r="T54" s="20" t="n">
        <v>1.91252907</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(5421.0/B56*100)</f>
        <v/>
      </c>
      <c r="D56" s="19" t="n">
        <v>1092</v>
      </c>
      <c r="E56" s="18" t="n">
        <v>59.37606873</v>
      </c>
      <c r="F56" s="20" t="n">
        <v>1.85980495</v>
      </c>
      <c r="G56" s="18" t="n">
        <v>19.6020379</v>
      </c>
      <c r="H56" s="20" t="n">
        <v>1.30364418</v>
      </c>
      <c r="I56" s="18" t="n">
        <v>7.32691986</v>
      </c>
      <c r="J56" s="20" t="n">
        <v>0.85188684</v>
      </c>
      <c r="K56" s="18" t="n">
        <v>0</v>
      </c>
      <c r="L56" s="20" t="n">
        <v>0</v>
      </c>
      <c r="M56" s="18" t="n">
        <v>2.75100766</v>
      </c>
      <c r="N56" s="20" t="n">
        <v>0.51942025</v>
      </c>
      <c r="O56" s="18" t="n">
        <v>0</v>
      </c>
      <c r="P56" s="20" t="n">
        <v>0</v>
      </c>
      <c r="Q56" s="18" t="n">
        <v>0</v>
      </c>
      <c r="R56" s="20" t="n">
        <v>0</v>
      </c>
      <c r="S56" s="18" t="n">
        <v>10.94396585</v>
      </c>
      <c r="T56" s="20" t="n">
        <v>1.40097144</v>
      </c>
    </row>
    <row r="57" spans="1:20">
      <c r="A57" s="15" t="s">
        <v>480</v>
      </c>
      <c r="B57" s="17" t="n">
        <v>7267</v>
      </c>
      <c r="C57" s="18">
        <f>(6065.0/B57*100)</f>
        <v/>
      </c>
      <c r="D57" s="19" t="n">
        <v>1202</v>
      </c>
      <c r="E57" s="18" t="n">
        <v>16.77465378</v>
      </c>
      <c r="F57" s="20" t="n">
        <v>1.13907527</v>
      </c>
      <c r="G57" s="18" t="n">
        <v>35.5068332</v>
      </c>
      <c r="H57" s="20" t="n">
        <v>1.47125507</v>
      </c>
      <c r="I57" s="18" t="n">
        <v>24.49925641</v>
      </c>
      <c r="J57" s="20" t="n">
        <v>1.4161656</v>
      </c>
      <c r="K57" s="18" t="n">
        <v>0</v>
      </c>
      <c r="L57" s="20" t="n">
        <v>0</v>
      </c>
      <c r="M57" s="18" t="n">
        <v>4.01234833</v>
      </c>
      <c r="N57" s="20" t="n">
        <v>0.6117812500000001</v>
      </c>
      <c r="O57" s="18" t="n">
        <v>0</v>
      </c>
      <c r="P57" s="20" t="n">
        <v>0</v>
      </c>
      <c r="Q57" s="18" t="n">
        <v>0</v>
      </c>
      <c r="R57" s="20" t="n">
        <v>0</v>
      </c>
      <c r="S57" s="18" t="n">
        <v>19.20690828</v>
      </c>
      <c r="T57" s="20" t="n">
        <v>1.46940331</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(4021.0/B59*100)</f>
        <v/>
      </c>
      <c r="D59" s="19" t="n">
        <v>805</v>
      </c>
      <c r="E59" s="18" t="n">
        <v>65.39681186</v>
      </c>
      <c r="F59" s="20" t="n">
        <v>1.91631835</v>
      </c>
      <c r="G59" s="18" t="n">
        <v>11.43515485</v>
      </c>
      <c r="H59" s="20" t="n">
        <v>1.37081507</v>
      </c>
      <c r="I59" s="18" t="n">
        <v>1.9514067</v>
      </c>
      <c r="J59" s="20" t="n">
        <v>0.60886527</v>
      </c>
      <c r="K59" s="18" t="n">
        <v>0</v>
      </c>
      <c r="L59" s="20" t="n">
        <v>0</v>
      </c>
      <c r="M59" s="18" t="n">
        <v>0.96605713</v>
      </c>
      <c r="N59" s="20" t="n">
        <v>0.39980159</v>
      </c>
      <c r="O59" s="18" t="n">
        <v>0</v>
      </c>
      <c r="P59" s="20" t="n">
        <v>0</v>
      </c>
      <c r="Q59" s="18" t="n">
        <v>0</v>
      </c>
      <c r="R59" s="20" t="n">
        <v>0</v>
      </c>
      <c r="S59" s="18" t="n">
        <v>20.25056946</v>
      </c>
      <c r="T59" s="20" t="n">
        <v>1.7724913</v>
      </c>
    </row>
    <row r="60" spans="1:20">
      <c r="A60" s="15" t="s">
        <v>484</v>
      </c>
      <c r="B60" s="17" t="n">
        <v>4546</v>
      </c>
      <c r="C60" s="18">
        <f>(3783.0/B60*100)</f>
        <v/>
      </c>
      <c r="D60" s="19" t="n">
        <v>763</v>
      </c>
      <c r="E60" s="18" t="n">
        <v>32.40660807</v>
      </c>
      <c r="F60" s="20" t="n">
        <v>1.93497722</v>
      </c>
      <c r="G60" s="18" t="n">
        <v>12.72627469</v>
      </c>
      <c r="H60" s="20" t="n">
        <v>1.31291267</v>
      </c>
      <c r="I60" s="18" t="n">
        <v>3.8762088</v>
      </c>
      <c r="J60" s="20" t="n">
        <v>0.70488685</v>
      </c>
      <c r="K60" s="18" t="n">
        <v>0</v>
      </c>
      <c r="L60" s="20" t="n">
        <v>0</v>
      </c>
      <c r="M60" s="18" t="n">
        <v>9.046547540000001</v>
      </c>
      <c r="N60" s="20" t="n">
        <v>1.26355555</v>
      </c>
      <c r="O60" s="18" t="n">
        <v>0</v>
      </c>
      <c r="P60" s="20" t="n">
        <v>0</v>
      </c>
      <c r="Q60" s="18" t="n">
        <v>0</v>
      </c>
      <c r="R60" s="20" t="n">
        <v>0</v>
      </c>
      <c r="S60" s="18" t="n">
        <v>41.9443609</v>
      </c>
      <c r="T60" s="20" t="n">
        <v>2.01547127</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(4430.0/B63*100)</f>
        <v/>
      </c>
      <c r="D63" s="19" t="n">
        <v>894</v>
      </c>
      <c r="E63" s="18" t="n">
        <v>24.11265122</v>
      </c>
      <c r="F63" s="20" t="n">
        <v>1.47111197</v>
      </c>
      <c r="G63" s="18" t="n">
        <v>8.556319930000001</v>
      </c>
      <c r="H63" s="20" t="n">
        <v>1.08699454</v>
      </c>
      <c r="I63" s="18" t="n">
        <v>2.61652677</v>
      </c>
      <c r="J63" s="20" t="n">
        <v>0.55965399</v>
      </c>
      <c r="K63" s="18" t="n">
        <v>0</v>
      </c>
      <c r="L63" s="20" t="n">
        <v>0</v>
      </c>
      <c r="M63" s="18" t="n">
        <v>4.74414785</v>
      </c>
      <c r="N63" s="20" t="n">
        <v>0.67465768</v>
      </c>
      <c r="O63" s="18" t="n">
        <v>0</v>
      </c>
      <c r="P63" s="20" t="n">
        <v>0</v>
      </c>
      <c r="Q63" s="18" t="n">
        <v>0</v>
      </c>
      <c r="R63" s="20" t="n">
        <v>0</v>
      </c>
      <c r="S63" s="18" t="n">
        <v>59.97035424</v>
      </c>
      <c r="T63" s="20" t="n">
        <v>2.01324436</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(3039.0/B65*100)</f>
        <v/>
      </c>
      <c r="D65" s="19" t="n">
        <v>595</v>
      </c>
      <c r="E65" s="18" t="n">
        <v>25.85672831</v>
      </c>
      <c r="F65" s="20" t="n">
        <v>1.77884591</v>
      </c>
      <c r="G65" s="18" t="n">
        <v>25.64956662</v>
      </c>
      <c r="H65" s="20" t="n">
        <v>1.83007979</v>
      </c>
      <c r="I65" s="18" t="n">
        <v>17.04643628</v>
      </c>
      <c r="J65" s="20" t="n">
        <v>1.57310086</v>
      </c>
      <c r="K65" s="18" t="n">
        <v>0</v>
      </c>
      <c r="L65" s="20" t="n">
        <v>0</v>
      </c>
      <c r="M65" s="18" t="n">
        <v>5.20590133</v>
      </c>
      <c r="N65" s="20" t="n">
        <v>1.08460755</v>
      </c>
      <c r="O65" s="18" t="n">
        <v>0</v>
      </c>
      <c r="P65" s="20" t="n">
        <v>0</v>
      </c>
      <c r="Q65" s="18" t="n">
        <v>0.41178443</v>
      </c>
      <c r="R65" s="20" t="n">
        <v>0.29039353</v>
      </c>
      <c r="S65" s="18" t="n">
        <v>25.82958303</v>
      </c>
      <c r="T65" s="20" t="n">
        <v>2.08206285</v>
      </c>
    </row>
    <row r="66" spans="1:20">
      <c r="A66" s="15" t="s">
        <v>490</v>
      </c>
      <c r="B66" s="17" t="n">
        <v>5325</v>
      </c>
      <c r="C66" s="18">
        <f>(4429.0/B66*100)</f>
        <v/>
      </c>
      <c r="D66" s="19" t="n">
        <v>896</v>
      </c>
      <c r="E66" s="18" t="n">
        <v>21.04535885</v>
      </c>
      <c r="F66" s="20" t="n">
        <v>1.56870743</v>
      </c>
      <c r="G66" s="18" t="n">
        <v>21.93309876</v>
      </c>
      <c r="H66" s="20" t="n">
        <v>1.36810507</v>
      </c>
      <c r="I66" s="18" t="n">
        <v>11.3314176</v>
      </c>
      <c r="J66" s="20" t="n">
        <v>1.12012168</v>
      </c>
      <c r="K66" s="18" t="n">
        <v>0</v>
      </c>
      <c r="L66" s="20" t="n">
        <v>0</v>
      </c>
      <c r="M66" s="18" t="n">
        <v>8.478774230000001</v>
      </c>
      <c r="N66" s="20" t="n">
        <v>0.88557734</v>
      </c>
      <c r="O66" s="18" t="n">
        <v>0</v>
      </c>
      <c r="P66" s="20" t="n">
        <v>0</v>
      </c>
      <c r="Q66" s="18" t="n">
        <v>0</v>
      </c>
      <c r="R66" s="20" t="n">
        <v>0</v>
      </c>
      <c r="S66" s="18" t="n">
        <v>37.21135056</v>
      </c>
      <c r="T66" s="20" t="n">
        <v>1.69546136</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(1166.0/B69*100)</f>
        <v/>
      </c>
      <c r="D69" s="19" t="n">
        <v>232</v>
      </c>
      <c r="E69" s="18" t="n">
        <v>33.08228126</v>
      </c>
      <c r="F69" s="20" t="n">
        <v>3.38705685</v>
      </c>
      <c r="G69" s="18" t="n">
        <v>35.94524818</v>
      </c>
      <c r="H69" s="20" t="n">
        <v>3.6052211</v>
      </c>
      <c r="I69" s="18" t="n">
        <v>6.24946577</v>
      </c>
      <c r="J69" s="20" t="n">
        <v>1.39040312</v>
      </c>
      <c r="K69" s="18" t="n">
        <v>0</v>
      </c>
      <c r="L69" s="20" t="n">
        <v>0</v>
      </c>
      <c r="M69" s="18" t="n">
        <v>2.15248818</v>
      </c>
      <c r="N69" s="20" t="n">
        <v>1.06893833</v>
      </c>
      <c r="O69" s="18" t="n">
        <v>0</v>
      </c>
      <c r="P69" s="20" t="n">
        <v>0</v>
      </c>
      <c r="Q69" s="18" t="n">
        <v>0</v>
      </c>
      <c r="R69" s="20" t="n">
        <v>0</v>
      </c>
      <c r="S69" s="18" t="n">
        <v>22.57051661</v>
      </c>
      <c r="T69" s="20" t="n">
        <v>2.90397772</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(4051.0/B71*100)</f>
        <v/>
      </c>
      <c r="D71" s="19" t="n">
        <v>825</v>
      </c>
      <c r="E71" s="18" t="n">
        <v>46.96636699</v>
      </c>
      <c r="F71" s="20" t="n">
        <v>2.1200649</v>
      </c>
      <c r="G71" s="18" t="n">
        <v>20.91964084</v>
      </c>
      <c r="H71" s="20" t="n">
        <v>1.50099075</v>
      </c>
      <c r="I71" s="18" t="n">
        <v>24.45661945</v>
      </c>
      <c r="J71" s="20" t="n">
        <v>1.72247224</v>
      </c>
      <c r="K71" s="18" t="n">
        <v>0</v>
      </c>
      <c r="L71" s="20" t="n">
        <v>0</v>
      </c>
      <c r="M71" s="18" t="n">
        <v>0.24778619</v>
      </c>
      <c r="N71" s="20" t="n">
        <v>0.17460316</v>
      </c>
      <c r="O71" s="18" t="n">
        <v>0</v>
      </c>
      <c r="P71" s="20" t="n">
        <v>0</v>
      </c>
      <c r="Q71" s="18" t="n">
        <v>0</v>
      </c>
      <c r="R71" s="20" t="n">
        <v>0</v>
      </c>
      <c r="S71" s="18" t="n">
        <v>7.40958653</v>
      </c>
      <c r="T71" s="20" t="n">
        <v>0.90800029</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(3904.0/B76*100)</f>
        <v/>
      </c>
      <c r="D76" s="19" t="n">
        <v>788</v>
      </c>
      <c r="E76" s="18" t="n">
        <v>31.6900782</v>
      </c>
      <c r="F76" s="20" t="n">
        <v>2.00134127</v>
      </c>
      <c r="G76" s="18" t="n">
        <v>18.90034597</v>
      </c>
      <c r="H76" s="20" t="n">
        <v>1.57240584</v>
      </c>
      <c r="I76" s="18" t="n">
        <v>9.654778479999999</v>
      </c>
      <c r="J76" s="20" t="n">
        <v>0.97867494</v>
      </c>
      <c r="K76" s="18" t="n">
        <v>0</v>
      </c>
      <c r="L76" s="20" t="n">
        <v>0</v>
      </c>
      <c r="M76" s="18" t="n">
        <v>11.596217</v>
      </c>
      <c r="N76" s="20" t="n">
        <v>1.24494089</v>
      </c>
      <c r="O76" s="18" t="n">
        <v>0</v>
      </c>
      <c r="P76" s="20" t="n">
        <v>0</v>
      </c>
      <c r="Q76" s="18" t="n">
        <v>0</v>
      </c>
      <c r="R76" s="20" t="n">
        <v>0</v>
      </c>
      <c r="S76" s="18" t="n">
        <v>28.15858035</v>
      </c>
      <c r="T76" s="20" t="n">
        <v>1.88186637</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(4843.0/B80*100)</f>
        <v/>
      </c>
      <c r="D80" s="19" t="n">
        <v>983</v>
      </c>
      <c r="E80" s="18" t="n">
        <v>41.88360302</v>
      </c>
      <c r="F80" s="20" t="n">
        <v>1.9645109</v>
      </c>
      <c r="G80" s="18" t="n">
        <v>35.9011167</v>
      </c>
      <c r="H80" s="20" t="n">
        <v>1.65703675</v>
      </c>
      <c r="I80" s="18" t="n">
        <v>19.61314003</v>
      </c>
      <c r="J80" s="20" t="n">
        <v>1.5430282</v>
      </c>
      <c r="K80" s="18" t="n">
        <v>0</v>
      </c>
      <c r="L80" s="20" t="n">
        <v>0</v>
      </c>
      <c r="M80" s="18" t="n">
        <v>0.2070189</v>
      </c>
      <c r="N80" s="20" t="n">
        <v>0.14850883</v>
      </c>
      <c r="O80" s="18" t="n">
        <v>0</v>
      </c>
      <c r="P80" s="20" t="n">
        <v>0</v>
      </c>
      <c r="Q80" s="18" t="n">
        <v>0</v>
      </c>
      <c r="R80" s="20" t="n">
        <v>0</v>
      </c>
      <c r="S80" s="18" t="n">
        <v>2.39512136</v>
      </c>
      <c r="T80" s="20" t="n">
        <v>0.59941449</v>
      </c>
    </row>
    <row r="81" spans="1:20">
      <c r="A81" s="15" t="s">
        <v>505</v>
      </c>
      <c r="B81" s="17" t="n">
        <v>1657</v>
      </c>
      <c r="C81" s="18">
        <f>(1391.0/B81*100)</f>
        <v/>
      </c>
      <c r="D81" s="19" t="n">
        <v>266</v>
      </c>
      <c r="E81" s="18" t="n">
        <v>39.93789194</v>
      </c>
      <c r="F81" s="20" t="n">
        <v>2.89218754</v>
      </c>
      <c r="G81" s="18" t="n">
        <v>22.99699674</v>
      </c>
      <c r="H81" s="20" t="n">
        <v>2.6028748</v>
      </c>
      <c r="I81" s="18" t="n">
        <v>7.8764855</v>
      </c>
      <c r="J81" s="20" t="n">
        <v>1.59762087</v>
      </c>
      <c r="K81" s="18" t="n">
        <v>0</v>
      </c>
      <c r="L81" s="20" t="n">
        <v>0</v>
      </c>
      <c r="M81" s="18" t="n">
        <v>6.64070968</v>
      </c>
      <c r="N81" s="20" t="n">
        <v>2.31450317</v>
      </c>
      <c r="O81" s="18" t="n">
        <v>0</v>
      </c>
      <c r="P81" s="20" t="n">
        <v>0</v>
      </c>
      <c r="Q81" s="18" t="n">
        <v>0</v>
      </c>
      <c r="R81" s="20" t="n">
        <v>0</v>
      </c>
      <c r="S81" s="18" t="n">
        <v>22.54791614</v>
      </c>
      <c r="T81" s="20" t="n">
        <v>3.16415824</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646</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(4364.0/B44*100)</f>
        <v/>
      </c>
      <c r="D44" s="19" t="n">
        <v>851</v>
      </c>
      <c r="E44" s="18" t="n">
        <v>15.94247481</v>
      </c>
      <c r="F44" s="20" t="n">
        <v>1.5815966</v>
      </c>
      <c r="G44" s="18" t="n">
        <v>35.35506024</v>
      </c>
      <c r="H44" s="20" t="n">
        <v>2.0180027</v>
      </c>
      <c r="I44" s="18" t="n">
        <v>11.75561449</v>
      </c>
      <c r="J44" s="20" t="n">
        <v>1.32413293</v>
      </c>
      <c r="K44" s="18" t="n">
        <v>0</v>
      </c>
      <c r="L44" s="20" t="n">
        <v>0</v>
      </c>
      <c r="M44" s="18" t="n">
        <v>5.53561264</v>
      </c>
      <c r="N44" s="20" t="n">
        <v>0.79189024</v>
      </c>
      <c r="O44" s="18" t="n">
        <v>0</v>
      </c>
      <c r="P44" s="20" t="n">
        <v>0</v>
      </c>
      <c r="Q44" s="18" t="n">
        <v>0</v>
      </c>
      <c r="R44" s="20" t="n">
        <v>0</v>
      </c>
      <c r="S44" s="18" t="n">
        <v>31.41123783</v>
      </c>
      <c r="T44" s="20" t="n">
        <v>2.24943305</v>
      </c>
    </row>
    <row r="45" spans="1:20">
      <c r="A45" s="15" t="s">
        <v>468</v>
      </c>
      <c r="B45" s="17" t="n">
        <v>5519</v>
      </c>
      <c r="C45" s="18">
        <f>(4604.0/B45*100)</f>
        <v/>
      </c>
      <c r="D45" s="19" t="n">
        <v>915</v>
      </c>
      <c r="E45" s="18" t="n">
        <v>41.66115051</v>
      </c>
      <c r="F45" s="20" t="n">
        <v>1.64198384</v>
      </c>
      <c r="G45" s="18" t="n">
        <v>8.170388519999999</v>
      </c>
      <c r="H45" s="20" t="n">
        <v>1.09507509</v>
      </c>
      <c r="I45" s="18" t="n">
        <v>4.67504125</v>
      </c>
      <c r="J45" s="20" t="n">
        <v>0.61421972</v>
      </c>
      <c r="K45" s="18" t="n">
        <v>0</v>
      </c>
      <c r="L45" s="20" t="n">
        <v>0</v>
      </c>
      <c r="M45" s="18" t="n">
        <v>9.94330989</v>
      </c>
      <c r="N45" s="20" t="n">
        <v>1.03727733</v>
      </c>
      <c r="O45" s="18" t="n">
        <v>0.79307342</v>
      </c>
      <c r="P45" s="20" t="n">
        <v>0.35289278</v>
      </c>
      <c r="Q45" s="18" t="n">
        <v>0</v>
      </c>
      <c r="R45" s="20" t="n">
        <v>0</v>
      </c>
      <c r="S45" s="18" t="n">
        <v>34.75703641</v>
      </c>
      <c r="T45" s="20" t="n">
        <v>1.81434399</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(4424.0/B54*100)</f>
        <v/>
      </c>
      <c r="D54" s="19" t="n">
        <v>892</v>
      </c>
      <c r="E54" s="18" t="n">
        <v>27.32311276</v>
      </c>
      <c r="F54" s="20" t="n">
        <v>1.45801197</v>
      </c>
      <c r="G54" s="18" t="n">
        <v>6.39250937</v>
      </c>
      <c r="H54" s="20" t="n">
        <v>0.7412878000000001</v>
      </c>
      <c r="I54" s="18" t="n">
        <v>14.94691505</v>
      </c>
      <c r="J54" s="20" t="n">
        <v>1.27521038</v>
      </c>
      <c r="K54" s="18" t="n">
        <v>0</v>
      </c>
      <c r="L54" s="20" t="n">
        <v>0</v>
      </c>
      <c r="M54" s="18" t="n">
        <v>3.31995071</v>
      </c>
      <c r="N54" s="20" t="n">
        <v>0.5528622399999999</v>
      </c>
      <c r="O54" s="18" t="n">
        <v>0.2690886</v>
      </c>
      <c r="P54" s="20" t="n">
        <v>0.19650302</v>
      </c>
      <c r="Q54" s="18" t="n">
        <v>0</v>
      </c>
      <c r="R54" s="20" t="n">
        <v>0</v>
      </c>
      <c r="S54" s="18" t="n">
        <v>47.74842352</v>
      </c>
      <c r="T54" s="20" t="n">
        <v>1.84889657</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(5421.0/B56*100)</f>
        <v/>
      </c>
      <c r="D56" s="19" t="n">
        <v>1092</v>
      </c>
      <c r="E56" s="18" t="n">
        <v>59.37358628</v>
      </c>
      <c r="F56" s="20" t="n">
        <v>1.97176433</v>
      </c>
      <c r="G56" s="18" t="n">
        <v>18.98639852</v>
      </c>
      <c r="H56" s="20" t="n">
        <v>1.21443359</v>
      </c>
      <c r="I56" s="18" t="n">
        <v>8.271277380000001</v>
      </c>
      <c r="J56" s="20" t="n">
        <v>0.84973983</v>
      </c>
      <c r="K56" s="18" t="n">
        <v>0</v>
      </c>
      <c r="L56" s="20" t="n">
        <v>0</v>
      </c>
      <c r="M56" s="18" t="n">
        <v>2.91260634</v>
      </c>
      <c r="N56" s="20" t="n">
        <v>0.5062669</v>
      </c>
      <c r="O56" s="18" t="n">
        <v>0</v>
      </c>
      <c r="P56" s="20" t="n">
        <v>0</v>
      </c>
      <c r="Q56" s="18" t="n">
        <v>0</v>
      </c>
      <c r="R56" s="20" t="n">
        <v>0</v>
      </c>
      <c r="S56" s="18" t="n">
        <v>10.45613149</v>
      </c>
      <c r="T56" s="20" t="n">
        <v>1.201244</v>
      </c>
    </row>
    <row r="57" spans="1:20">
      <c r="A57" s="15" t="s">
        <v>480</v>
      </c>
      <c r="B57" s="17" t="n">
        <v>7267</v>
      </c>
      <c r="C57" s="18">
        <f>(6065.0/B57*100)</f>
        <v/>
      </c>
      <c r="D57" s="19" t="n">
        <v>1202</v>
      </c>
      <c r="E57" s="18" t="n">
        <v>16.17288925</v>
      </c>
      <c r="F57" s="20" t="n">
        <v>1.29975515</v>
      </c>
      <c r="G57" s="18" t="n">
        <v>31.36405397</v>
      </c>
      <c r="H57" s="20" t="n">
        <v>1.7415431</v>
      </c>
      <c r="I57" s="18" t="n">
        <v>22.83893661</v>
      </c>
      <c r="J57" s="20" t="n">
        <v>1.48167023</v>
      </c>
      <c r="K57" s="18" t="n">
        <v>0</v>
      </c>
      <c r="L57" s="20" t="n">
        <v>0</v>
      </c>
      <c r="M57" s="18" t="n">
        <v>4.04170159</v>
      </c>
      <c r="N57" s="20" t="n">
        <v>0.6155833000000001</v>
      </c>
      <c r="O57" s="18" t="n">
        <v>0</v>
      </c>
      <c r="P57" s="20" t="n">
        <v>0</v>
      </c>
      <c r="Q57" s="18" t="n">
        <v>0</v>
      </c>
      <c r="R57" s="20" t="n">
        <v>0</v>
      </c>
      <c r="S57" s="18" t="n">
        <v>25.58241858</v>
      </c>
      <c r="T57" s="20" t="n">
        <v>1.92123107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(4021.0/B59*100)</f>
        <v/>
      </c>
      <c r="D59" s="19" t="n">
        <v>805</v>
      </c>
      <c r="E59" s="18" t="n">
        <v>60.06490885</v>
      </c>
      <c r="F59" s="20" t="n">
        <v>2.12716519</v>
      </c>
      <c r="G59" s="18" t="n">
        <v>7.90415528</v>
      </c>
      <c r="H59" s="20" t="n">
        <v>1.11238245</v>
      </c>
      <c r="I59" s="18" t="n">
        <v>4.76154816</v>
      </c>
      <c r="J59" s="20" t="n">
        <v>1.07317687</v>
      </c>
      <c r="K59" s="18" t="n">
        <v>0</v>
      </c>
      <c r="L59" s="20" t="n">
        <v>0</v>
      </c>
      <c r="M59" s="18" t="n">
        <v>1.01751181</v>
      </c>
      <c r="N59" s="20" t="n">
        <v>0.40386344</v>
      </c>
      <c r="O59" s="18" t="n">
        <v>0.08091427</v>
      </c>
      <c r="P59" s="20" t="n">
        <v>0.0807981</v>
      </c>
      <c r="Q59" s="18" t="n">
        <v>0</v>
      </c>
      <c r="R59" s="20" t="n">
        <v>0</v>
      </c>
      <c r="S59" s="18" t="n">
        <v>26.17096164</v>
      </c>
      <c r="T59" s="20" t="n">
        <v>2.05703092</v>
      </c>
    </row>
    <row r="60" spans="1:20">
      <c r="A60" s="15" t="s">
        <v>484</v>
      </c>
      <c r="B60" s="17" t="n">
        <v>4546</v>
      </c>
      <c r="C60" s="18">
        <f>(3783.0/B60*100)</f>
        <v/>
      </c>
      <c r="D60" s="19" t="n">
        <v>763</v>
      </c>
      <c r="E60" s="18" t="n">
        <v>23.72197752</v>
      </c>
      <c r="F60" s="20" t="n">
        <v>1.92613476</v>
      </c>
      <c r="G60" s="18" t="n">
        <v>7.12068165</v>
      </c>
      <c r="H60" s="20" t="n">
        <v>0.98179615</v>
      </c>
      <c r="I60" s="18" t="n">
        <v>5.64207668</v>
      </c>
      <c r="J60" s="20" t="n">
        <v>0.76102826</v>
      </c>
      <c r="K60" s="18" t="n">
        <v>0</v>
      </c>
      <c r="L60" s="20" t="n">
        <v>0</v>
      </c>
      <c r="M60" s="18" t="n">
        <v>9.18067448</v>
      </c>
      <c r="N60" s="20" t="n">
        <v>1.26694973</v>
      </c>
      <c r="O60" s="18" t="n">
        <v>0</v>
      </c>
      <c r="P60" s="20" t="n">
        <v>0</v>
      </c>
      <c r="Q60" s="18" t="n">
        <v>0.1674505</v>
      </c>
      <c r="R60" s="20" t="n">
        <v>0.13356982</v>
      </c>
      <c r="S60" s="18" t="n">
        <v>54.16713917</v>
      </c>
      <c r="T60" s="20" t="n">
        <v>2.16809489</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(4430.0/B63*100)</f>
        <v/>
      </c>
      <c r="D63" s="19" t="n">
        <v>894</v>
      </c>
      <c r="E63" s="18" t="n">
        <v>23.84022381</v>
      </c>
      <c r="F63" s="20" t="n">
        <v>1.45768273</v>
      </c>
      <c r="G63" s="18" t="n">
        <v>5.7461609</v>
      </c>
      <c r="H63" s="20" t="n">
        <v>1.08126381</v>
      </c>
      <c r="I63" s="18" t="n">
        <v>3.05529155</v>
      </c>
      <c r="J63" s="20" t="n">
        <v>0.64052963</v>
      </c>
      <c r="K63" s="18" t="n">
        <v>0</v>
      </c>
      <c r="L63" s="20" t="n">
        <v>0</v>
      </c>
      <c r="M63" s="18" t="n">
        <v>4.74414785</v>
      </c>
      <c r="N63" s="20" t="n">
        <v>0.67465768</v>
      </c>
      <c r="O63" s="18" t="n">
        <v>0</v>
      </c>
      <c r="P63" s="20" t="n">
        <v>0</v>
      </c>
      <c r="Q63" s="18" t="n">
        <v>0</v>
      </c>
      <c r="R63" s="20" t="n">
        <v>0</v>
      </c>
      <c r="S63" s="18" t="n">
        <v>62.61417589</v>
      </c>
      <c r="T63" s="20" t="n">
        <v>1.83505257</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(3039.0/B65*100)</f>
        <v/>
      </c>
      <c r="D65" s="19" t="n">
        <v>595</v>
      </c>
      <c r="E65" s="18" t="n">
        <v>47.95703495</v>
      </c>
      <c r="F65" s="20" t="n">
        <v>2.09406017</v>
      </c>
      <c r="G65" s="18" t="n">
        <v>5.95435252</v>
      </c>
      <c r="H65" s="20" t="n">
        <v>0.80947709</v>
      </c>
      <c r="I65" s="18" t="n">
        <v>23.14767636</v>
      </c>
      <c r="J65" s="20" t="n">
        <v>1.59534731</v>
      </c>
      <c r="K65" s="18" t="n">
        <v>0</v>
      </c>
      <c r="L65" s="20" t="n">
        <v>0</v>
      </c>
      <c r="M65" s="18" t="n">
        <v>5.20590133</v>
      </c>
      <c r="N65" s="20" t="n">
        <v>1.08460755</v>
      </c>
      <c r="O65" s="18" t="n">
        <v>0</v>
      </c>
      <c r="P65" s="20" t="n">
        <v>0</v>
      </c>
      <c r="Q65" s="18" t="n">
        <v>0</v>
      </c>
      <c r="R65" s="20" t="n">
        <v>0</v>
      </c>
      <c r="S65" s="18" t="n">
        <v>17.73503484</v>
      </c>
      <c r="T65" s="20" t="n">
        <v>1.72946465</v>
      </c>
    </row>
    <row r="66" spans="1:20">
      <c r="A66" s="15" t="s">
        <v>490</v>
      </c>
      <c r="B66" s="17" t="n">
        <v>5325</v>
      </c>
      <c r="C66" s="18">
        <f>(4429.0/B66*100)</f>
        <v/>
      </c>
      <c r="D66" s="19" t="n">
        <v>896</v>
      </c>
      <c r="E66" s="18" t="n">
        <v>24.4001062</v>
      </c>
      <c r="F66" s="20" t="n">
        <v>1.71060704</v>
      </c>
      <c r="G66" s="18" t="n">
        <v>16.377604</v>
      </c>
      <c r="H66" s="20" t="n">
        <v>1.233716</v>
      </c>
      <c r="I66" s="18" t="n">
        <v>13.90879622</v>
      </c>
      <c r="J66" s="20" t="n">
        <v>1.34448433</v>
      </c>
      <c r="K66" s="18" t="n">
        <v>0</v>
      </c>
      <c r="L66" s="20" t="n">
        <v>0</v>
      </c>
      <c r="M66" s="18" t="n">
        <v>8.690299789999999</v>
      </c>
      <c r="N66" s="20" t="n">
        <v>0.8837443</v>
      </c>
      <c r="O66" s="18" t="n">
        <v>0</v>
      </c>
      <c r="P66" s="20" t="n">
        <v>0</v>
      </c>
      <c r="Q66" s="18" t="n">
        <v>0</v>
      </c>
      <c r="R66" s="20" t="n">
        <v>0</v>
      </c>
      <c r="S66" s="18" t="n">
        <v>36.62319379</v>
      </c>
      <c r="T66" s="20" t="n">
        <v>1.71548165</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(1166.0/B69*100)</f>
        <v/>
      </c>
      <c r="D69" s="19" t="n">
        <v>232</v>
      </c>
      <c r="E69" s="18" t="n">
        <v>76.55272244</v>
      </c>
      <c r="F69" s="20" t="n">
        <v>2.50873707</v>
      </c>
      <c r="G69" s="18" t="n">
        <v>7.57008483</v>
      </c>
      <c r="H69" s="20" t="n">
        <v>1.72514835</v>
      </c>
      <c r="I69" s="18" t="n">
        <v>13.120595</v>
      </c>
      <c r="J69" s="20" t="n">
        <v>2.12298539</v>
      </c>
      <c r="K69" s="18" t="n">
        <v>0</v>
      </c>
      <c r="L69" s="20" t="n">
        <v>0</v>
      </c>
      <c r="M69" s="18" t="n">
        <v>2.15248818</v>
      </c>
      <c r="N69" s="20" t="n">
        <v>1.06893833</v>
      </c>
      <c r="O69" s="18" t="n">
        <v>0</v>
      </c>
      <c r="P69" s="20" t="n">
        <v>0</v>
      </c>
      <c r="Q69" s="18" t="n">
        <v>0</v>
      </c>
      <c r="R69" s="20" t="n">
        <v>0</v>
      </c>
      <c r="S69" s="18" t="n">
        <v>0.60410955</v>
      </c>
      <c r="T69" s="20" t="n">
        <v>0.61157384</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(4051.0/B71*100)</f>
        <v/>
      </c>
      <c r="D71" s="19" t="n">
        <v>825</v>
      </c>
      <c r="E71" s="18" t="n">
        <v>54.79473953</v>
      </c>
      <c r="F71" s="20" t="n">
        <v>2.03360493</v>
      </c>
      <c r="G71" s="18" t="n">
        <v>15.8258251</v>
      </c>
      <c r="H71" s="20" t="n">
        <v>1.31407334</v>
      </c>
      <c r="I71" s="18" t="n">
        <v>21.00900689</v>
      </c>
      <c r="J71" s="20" t="n">
        <v>1.73386932</v>
      </c>
      <c r="K71" s="18" t="n">
        <v>0</v>
      </c>
      <c r="L71" s="20" t="n">
        <v>0</v>
      </c>
      <c r="M71" s="18" t="n">
        <v>0.24778619</v>
      </c>
      <c r="N71" s="20" t="n">
        <v>0.17460316</v>
      </c>
      <c r="O71" s="18" t="n">
        <v>0</v>
      </c>
      <c r="P71" s="20" t="n">
        <v>0</v>
      </c>
      <c r="Q71" s="18" t="n">
        <v>0</v>
      </c>
      <c r="R71" s="20" t="n">
        <v>0</v>
      </c>
      <c r="S71" s="18" t="n">
        <v>8.122642280000001</v>
      </c>
      <c r="T71" s="20" t="n">
        <v>1.14550914</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(3904.0/B76*100)</f>
        <v/>
      </c>
      <c r="D76" s="19" t="n">
        <v>788</v>
      </c>
      <c r="E76" s="18" t="n">
        <v>35.80186839</v>
      </c>
      <c r="F76" s="20" t="n">
        <v>1.91155168</v>
      </c>
      <c r="G76" s="18" t="n">
        <v>9.07321526</v>
      </c>
      <c r="H76" s="20" t="n">
        <v>1.00771814</v>
      </c>
      <c r="I76" s="18" t="n">
        <v>11.5133727</v>
      </c>
      <c r="J76" s="20" t="n">
        <v>1.35486277</v>
      </c>
      <c r="K76" s="18" t="n">
        <v>0</v>
      </c>
      <c r="L76" s="20" t="n">
        <v>0</v>
      </c>
      <c r="M76" s="18" t="n">
        <v>11.68031349</v>
      </c>
      <c r="N76" s="20" t="n">
        <v>1.24685677</v>
      </c>
      <c r="O76" s="18" t="n">
        <v>0</v>
      </c>
      <c r="P76" s="20" t="n">
        <v>0</v>
      </c>
      <c r="Q76" s="18" t="n">
        <v>0</v>
      </c>
      <c r="R76" s="20" t="n">
        <v>0</v>
      </c>
      <c r="S76" s="18" t="n">
        <v>31.93123016</v>
      </c>
      <c r="T76" s="20" t="n">
        <v>2.04382379</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(4843.0/B80*100)</f>
        <v/>
      </c>
      <c r="D80" s="19" t="n">
        <v>983</v>
      </c>
      <c r="E80" s="18" t="n">
        <v>0</v>
      </c>
      <c r="F80" s="20" t="n">
        <v>0</v>
      </c>
      <c r="G80" s="18" t="n">
        <v>0</v>
      </c>
      <c r="H80" s="20" t="n">
        <v>0</v>
      </c>
      <c r="I80" s="18" t="n">
        <v>0</v>
      </c>
      <c r="J80" s="20" t="n">
        <v>0</v>
      </c>
      <c r="K80" s="18" t="n">
        <v>0</v>
      </c>
      <c r="L80" s="20" t="n">
        <v>0</v>
      </c>
      <c r="M80" s="18" t="n">
        <v>0</v>
      </c>
      <c r="N80" s="20" t="n">
        <v>0</v>
      </c>
      <c r="O80" s="18" t="n">
        <v>100</v>
      </c>
      <c r="P80" s="20" t="n">
        <v>0</v>
      </c>
      <c r="Q80" s="18" t="n">
        <v>0</v>
      </c>
      <c r="R80" s="20" t="n">
        <v>0</v>
      </c>
      <c r="S80" s="18" t="n">
        <v>0</v>
      </c>
      <c r="T80" s="20" t="n">
        <v>0</v>
      </c>
    </row>
    <row r="81" spans="1:20">
      <c r="A81" s="15" t="s">
        <v>505</v>
      </c>
      <c r="B81" s="17" t="n">
        <v>1657</v>
      </c>
      <c r="C81" s="18">
        <f>(1391.0/B81*100)</f>
        <v/>
      </c>
      <c r="D81" s="19" t="n">
        <v>266</v>
      </c>
      <c r="E81" s="18" t="n">
        <v>25.3709311</v>
      </c>
      <c r="F81" s="20" t="n">
        <v>3.17981836</v>
      </c>
      <c r="G81" s="18" t="n">
        <v>11.26579711</v>
      </c>
      <c r="H81" s="20" t="n">
        <v>1.99302852</v>
      </c>
      <c r="I81" s="18" t="n">
        <v>40.18720312</v>
      </c>
      <c r="J81" s="20" t="n">
        <v>3.49029678</v>
      </c>
      <c r="K81" s="18" t="n">
        <v>0</v>
      </c>
      <c r="L81" s="20" t="n">
        <v>0</v>
      </c>
      <c r="M81" s="18" t="n">
        <v>6.99261821</v>
      </c>
      <c r="N81" s="20" t="n">
        <v>2.34896733</v>
      </c>
      <c r="O81" s="18" t="n">
        <v>0</v>
      </c>
      <c r="P81" s="20" t="n">
        <v>0</v>
      </c>
      <c r="Q81" s="18" t="n">
        <v>0</v>
      </c>
      <c r="R81" s="20" t="n">
        <v>0</v>
      </c>
      <c r="S81" s="18" t="n">
        <v>16.18345045</v>
      </c>
      <c r="T81" s="20" t="n">
        <v>2.52645522</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27.45765475</v>
      </c>
      <c r="F44" s="20" t="n">
        <v>1.8516828</v>
      </c>
      <c r="G44" s="18" t="n">
        <v>61.60337532</v>
      </c>
      <c r="H44" s="20" t="n">
        <v>2.32937654</v>
      </c>
      <c r="I44" s="18" t="n">
        <v>0</v>
      </c>
      <c r="J44" s="20" t="n">
        <v>0</v>
      </c>
      <c r="K44" s="18" t="n">
        <v>6.03901927</v>
      </c>
      <c r="L44" s="20" t="n">
        <v>0.85292119</v>
      </c>
      <c r="M44" s="18" t="n">
        <v>0</v>
      </c>
      <c r="N44" s="20" t="n">
        <v>0</v>
      </c>
      <c r="O44" s="18" t="n">
        <v>1.23740535</v>
      </c>
      <c r="P44" s="20" t="n">
        <v>0.38867556</v>
      </c>
      <c r="Q44" s="18" t="n">
        <v>3.66254531</v>
      </c>
      <c r="R44" s="20" t="n">
        <v>0.85189108</v>
      </c>
    </row>
    <row r="45" spans="1:18">
      <c r="A45" s="15" t="s">
        <v>468</v>
      </c>
      <c r="B45" s="17" t="n">
        <v>5519</v>
      </c>
      <c r="C45" s="18">
        <f>(4604.0/B45*100)</f>
        <v/>
      </c>
      <c r="D45" s="19" t="n">
        <v>915</v>
      </c>
      <c r="E45" s="18" t="n">
        <v>41.00109522</v>
      </c>
      <c r="F45" s="20" t="n">
        <v>1.58928197</v>
      </c>
      <c r="G45" s="18" t="n">
        <v>39.39778085</v>
      </c>
      <c r="H45" s="20" t="n">
        <v>1.56142988</v>
      </c>
      <c r="I45" s="18" t="n">
        <v>0</v>
      </c>
      <c r="J45" s="20" t="n">
        <v>0</v>
      </c>
      <c r="K45" s="18" t="n">
        <v>12.2487311</v>
      </c>
      <c r="L45" s="20" t="n">
        <v>1.08323508</v>
      </c>
      <c r="M45" s="18" t="n">
        <v>0.4082046</v>
      </c>
      <c r="N45" s="20" t="n">
        <v>0.20965861</v>
      </c>
      <c r="O45" s="18" t="n">
        <v>3.27132952</v>
      </c>
      <c r="P45" s="20" t="n">
        <v>0.61744995</v>
      </c>
      <c r="Q45" s="18" t="n">
        <v>3.67285871</v>
      </c>
      <c r="R45" s="20" t="n">
        <v>0.6677215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33.02940468</v>
      </c>
      <c r="F54" s="20" t="n">
        <v>1.39998791</v>
      </c>
      <c r="G54" s="18" t="n">
        <v>58.33312037</v>
      </c>
      <c r="H54" s="20" t="n">
        <v>1.63628187</v>
      </c>
      <c r="I54" s="18" t="n">
        <v>0</v>
      </c>
      <c r="J54" s="20" t="n">
        <v>0</v>
      </c>
      <c r="K54" s="18" t="n">
        <v>5.3444062</v>
      </c>
      <c r="L54" s="20" t="n">
        <v>0.7988113100000001</v>
      </c>
      <c r="M54" s="18" t="n">
        <v>0</v>
      </c>
      <c r="N54" s="20" t="n">
        <v>0</v>
      </c>
      <c r="O54" s="18" t="n">
        <v>0.72962914</v>
      </c>
      <c r="P54" s="20" t="n">
        <v>0.28339218</v>
      </c>
      <c r="Q54" s="18" t="n">
        <v>2.56343961</v>
      </c>
      <c r="R54" s="20" t="n">
        <v>0.5644497000000001</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33.2410371</v>
      </c>
      <c r="F56" s="20" t="n">
        <v>1.6274655</v>
      </c>
      <c r="G56" s="18" t="n">
        <v>62.08118544</v>
      </c>
      <c r="H56" s="20" t="n">
        <v>1.85450704</v>
      </c>
      <c r="I56" s="18" t="n">
        <v>0</v>
      </c>
      <c r="J56" s="20" t="n">
        <v>0</v>
      </c>
      <c r="K56" s="18" t="n">
        <v>3.38232316</v>
      </c>
      <c r="L56" s="20" t="n">
        <v>0.55372572</v>
      </c>
      <c r="M56" s="18" t="n">
        <v>0</v>
      </c>
      <c r="N56" s="20" t="n">
        <v>0</v>
      </c>
      <c r="O56" s="18" t="n">
        <v>0</v>
      </c>
      <c r="P56" s="20" t="n">
        <v>0</v>
      </c>
      <c r="Q56" s="18" t="n">
        <v>1.2954543</v>
      </c>
      <c r="R56" s="20" t="n">
        <v>0.37553468</v>
      </c>
    </row>
    <row r="57" spans="1:18">
      <c r="A57" s="15" t="s">
        <v>480</v>
      </c>
      <c r="B57" s="17" t="n">
        <v>7267</v>
      </c>
      <c r="C57" s="18">
        <f>(6065.0/B57*100)</f>
        <v/>
      </c>
      <c r="D57" s="19" t="n">
        <v>1202</v>
      </c>
      <c r="E57" s="18" t="n">
        <v>41.59187814</v>
      </c>
      <c r="F57" s="20" t="n">
        <v>2.09613021</v>
      </c>
      <c r="G57" s="18" t="n">
        <v>49.16163486</v>
      </c>
      <c r="H57" s="20" t="n">
        <v>1.99063566</v>
      </c>
      <c r="I57" s="18" t="n">
        <v>0</v>
      </c>
      <c r="J57" s="20" t="n">
        <v>0</v>
      </c>
      <c r="K57" s="18" t="n">
        <v>5.36448574</v>
      </c>
      <c r="L57" s="20" t="n">
        <v>0.64230803</v>
      </c>
      <c r="M57" s="18" t="n">
        <v>0</v>
      </c>
      <c r="N57" s="20" t="n">
        <v>0</v>
      </c>
      <c r="O57" s="18" t="n">
        <v>0.3181536</v>
      </c>
      <c r="P57" s="20" t="n">
        <v>0.17593139</v>
      </c>
      <c r="Q57" s="18" t="n">
        <v>3.56384767</v>
      </c>
      <c r="R57" s="20" t="n">
        <v>0.69808646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46.77815126</v>
      </c>
      <c r="F59" s="20" t="n">
        <v>2.17325269</v>
      </c>
      <c r="G59" s="18" t="n">
        <v>45.92419741</v>
      </c>
      <c r="H59" s="20" t="n">
        <v>2.30336376</v>
      </c>
      <c r="I59" s="18" t="n">
        <v>0</v>
      </c>
      <c r="J59" s="20" t="n">
        <v>0</v>
      </c>
      <c r="K59" s="18" t="n">
        <v>2.04101275</v>
      </c>
      <c r="L59" s="20" t="n">
        <v>0.54889171</v>
      </c>
      <c r="M59" s="18" t="n">
        <v>1.20151162</v>
      </c>
      <c r="N59" s="20" t="n">
        <v>0.5294061799999999</v>
      </c>
      <c r="O59" s="18" t="n">
        <v>2.46427336</v>
      </c>
      <c r="P59" s="20" t="n">
        <v>0.80492556</v>
      </c>
      <c r="Q59" s="18" t="n">
        <v>1.59085361</v>
      </c>
      <c r="R59" s="20" t="n">
        <v>0.55615592</v>
      </c>
    </row>
    <row r="60" spans="1:18">
      <c r="A60" s="15" t="s">
        <v>484</v>
      </c>
      <c r="B60" s="17" t="n">
        <v>4546</v>
      </c>
      <c r="C60" s="18">
        <f>(3783.0/B60*100)</f>
        <v/>
      </c>
      <c r="D60" s="19" t="n">
        <v>763</v>
      </c>
      <c r="E60" s="18" t="n">
        <v>43.99420985</v>
      </c>
      <c r="F60" s="20" t="n">
        <v>2.12079843</v>
      </c>
      <c r="G60" s="18" t="n">
        <v>36.52614938</v>
      </c>
      <c r="H60" s="20" t="n">
        <v>2.14347269</v>
      </c>
      <c r="I60" s="18" t="n">
        <v>0</v>
      </c>
      <c r="J60" s="20" t="n">
        <v>0</v>
      </c>
      <c r="K60" s="18" t="n">
        <v>11.2471095</v>
      </c>
      <c r="L60" s="20" t="n">
        <v>1.43448688</v>
      </c>
      <c r="M60" s="18" t="n">
        <v>0</v>
      </c>
      <c r="N60" s="20" t="n">
        <v>0</v>
      </c>
      <c r="O60" s="18" t="n">
        <v>3.12942576</v>
      </c>
      <c r="P60" s="20" t="n">
        <v>0.86946918</v>
      </c>
      <c r="Q60" s="18" t="n">
        <v>5.10310551</v>
      </c>
      <c r="R60" s="20" t="n">
        <v>0.76002356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39.05706165</v>
      </c>
      <c r="F63" s="20" t="n">
        <v>1.65531643</v>
      </c>
      <c r="G63" s="18" t="n">
        <v>49.18705934</v>
      </c>
      <c r="H63" s="20" t="n">
        <v>1.49970981</v>
      </c>
      <c r="I63" s="18" t="n">
        <v>0</v>
      </c>
      <c r="J63" s="20" t="n">
        <v>0</v>
      </c>
      <c r="K63" s="18" t="n">
        <v>5.57493395</v>
      </c>
      <c r="L63" s="20" t="n">
        <v>0.7353274400000001</v>
      </c>
      <c r="M63" s="18" t="n">
        <v>0</v>
      </c>
      <c r="N63" s="20" t="n">
        <v>0</v>
      </c>
      <c r="O63" s="18" t="n">
        <v>2.00167336</v>
      </c>
      <c r="P63" s="20" t="n">
        <v>0.56075392</v>
      </c>
      <c r="Q63" s="18" t="n">
        <v>4.17927171</v>
      </c>
      <c r="R63" s="20" t="n">
        <v>0.6557815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21.94028573</v>
      </c>
      <c r="F65" s="20" t="n">
        <v>1.77666633</v>
      </c>
      <c r="G65" s="18" t="n">
        <v>68.92727721</v>
      </c>
      <c r="H65" s="20" t="n">
        <v>2.06605844</v>
      </c>
      <c r="I65" s="18" t="n">
        <v>0</v>
      </c>
      <c r="J65" s="20" t="n">
        <v>0</v>
      </c>
      <c r="K65" s="18" t="n">
        <v>6.33777986</v>
      </c>
      <c r="L65" s="20" t="n">
        <v>1.11205362</v>
      </c>
      <c r="M65" s="18" t="n">
        <v>0</v>
      </c>
      <c r="N65" s="20" t="n">
        <v>0</v>
      </c>
      <c r="O65" s="18" t="n">
        <v>0.53500549</v>
      </c>
      <c r="P65" s="20" t="n">
        <v>0.31411658</v>
      </c>
      <c r="Q65" s="18" t="n">
        <v>2.25965173</v>
      </c>
      <c r="R65" s="20" t="n">
        <v>0.57798208</v>
      </c>
    </row>
    <row r="66" spans="1:18">
      <c r="A66" s="15" t="s">
        <v>490</v>
      </c>
      <c r="B66" s="17" t="n">
        <v>5325</v>
      </c>
      <c r="C66" s="18">
        <f>(4429.0/B66*100)</f>
        <v/>
      </c>
      <c r="D66" s="19" t="n">
        <v>896</v>
      </c>
      <c r="E66" s="18" t="n">
        <v>22.91595052</v>
      </c>
      <c r="F66" s="20" t="n">
        <v>1.46592717</v>
      </c>
      <c r="G66" s="18" t="n">
        <v>59.0395188</v>
      </c>
      <c r="H66" s="20" t="n">
        <v>1.74351073</v>
      </c>
      <c r="I66" s="18" t="n">
        <v>0</v>
      </c>
      <c r="J66" s="20" t="n">
        <v>0</v>
      </c>
      <c r="K66" s="18" t="n">
        <v>11.69507415</v>
      </c>
      <c r="L66" s="20" t="n">
        <v>1.00331202</v>
      </c>
      <c r="M66" s="18" t="n">
        <v>2.36540494</v>
      </c>
      <c r="N66" s="20" t="n">
        <v>0.54799436</v>
      </c>
      <c r="O66" s="18" t="n">
        <v>0</v>
      </c>
      <c r="P66" s="20" t="n">
        <v>0</v>
      </c>
      <c r="Q66" s="18" t="n">
        <v>3.98405159</v>
      </c>
      <c r="R66" s="20" t="n">
        <v>0.7698704200000001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26.91201391</v>
      </c>
      <c r="F69" s="20" t="n">
        <v>2.84690843</v>
      </c>
      <c r="G69" s="18" t="n">
        <v>69.54257421</v>
      </c>
      <c r="H69" s="20" t="n">
        <v>2.8844503</v>
      </c>
      <c r="I69" s="18" t="n">
        <v>0</v>
      </c>
      <c r="J69" s="20" t="n">
        <v>0</v>
      </c>
      <c r="K69" s="18" t="n">
        <v>2.15248818</v>
      </c>
      <c r="L69" s="20" t="n">
        <v>1.06893833</v>
      </c>
      <c r="M69" s="18" t="n">
        <v>0</v>
      </c>
      <c r="N69" s="20" t="n">
        <v>0</v>
      </c>
      <c r="O69" s="18" t="n">
        <v>0.36932519</v>
      </c>
      <c r="P69" s="20" t="n">
        <v>0.36776792</v>
      </c>
      <c r="Q69" s="18" t="n">
        <v>1.0235985</v>
      </c>
      <c r="R69" s="20" t="n">
        <v>0.66789166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32.54172996</v>
      </c>
      <c r="F71" s="20" t="n">
        <v>1.74321296</v>
      </c>
      <c r="G71" s="18" t="n">
        <v>66.39259278999999</v>
      </c>
      <c r="H71" s="20" t="n">
        <v>1.79759319</v>
      </c>
      <c r="I71" s="18" t="n">
        <v>0</v>
      </c>
      <c r="J71" s="20" t="n">
        <v>0</v>
      </c>
      <c r="K71" s="18" t="n">
        <v>0.48205567</v>
      </c>
      <c r="L71" s="20" t="n">
        <v>0.23981569</v>
      </c>
      <c r="M71" s="18" t="n">
        <v>0</v>
      </c>
      <c r="N71" s="20" t="n">
        <v>0</v>
      </c>
      <c r="O71" s="18" t="n">
        <v>0</v>
      </c>
      <c r="P71" s="20" t="n">
        <v>0</v>
      </c>
      <c r="Q71" s="18" t="n">
        <v>0.58362158</v>
      </c>
      <c r="R71" s="20" t="n">
        <v>0.319834</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18.93465506</v>
      </c>
      <c r="F76" s="20" t="n">
        <v>1.74468901</v>
      </c>
      <c r="G76" s="18" t="n">
        <v>63.49093095</v>
      </c>
      <c r="H76" s="20" t="n">
        <v>1.91960144</v>
      </c>
      <c r="I76" s="18" t="n">
        <v>0</v>
      </c>
      <c r="J76" s="20" t="n">
        <v>0</v>
      </c>
      <c r="K76" s="18" t="n">
        <v>13.65768529</v>
      </c>
      <c r="L76" s="20" t="n">
        <v>1.31014687</v>
      </c>
      <c r="M76" s="18" t="n">
        <v>0</v>
      </c>
      <c r="N76" s="20" t="n">
        <v>0</v>
      </c>
      <c r="O76" s="18" t="n">
        <v>0</v>
      </c>
      <c r="P76" s="20" t="n">
        <v>0</v>
      </c>
      <c r="Q76" s="18" t="n">
        <v>3.91672869</v>
      </c>
      <c r="R76" s="20" t="n">
        <v>0.86964281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13.56293082</v>
      </c>
      <c r="F80" s="20" t="n">
        <v>1.23902339</v>
      </c>
      <c r="G80" s="18" t="n">
        <v>85.90726922</v>
      </c>
      <c r="H80" s="20" t="n">
        <v>1.32815563</v>
      </c>
      <c r="I80" s="18" t="n">
        <v>0</v>
      </c>
      <c r="J80" s="20" t="n">
        <v>0</v>
      </c>
      <c r="K80" s="18" t="n">
        <v>0.2070189</v>
      </c>
      <c r="L80" s="20" t="n">
        <v>0.14850883</v>
      </c>
      <c r="M80" s="18" t="n">
        <v>0</v>
      </c>
      <c r="N80" s="20" t="n">
        <v>0</v>
      </c>
      <c r="O80" s="18" t="n">
        <v>0</v>
      </c>
      <c r="P80" s="20" t="n">
        <v>0</v>
      </c>
      <c r="Q80" s="18" t="n">
        <v>0.32278107</v>
      </c>
      <c r="R80" s="20" t="n">
        <v>0.31851236</v>
      </c>
    </row>
    <row r="81" spans="1:18">
      <c r="A81" s="15" t="s">
        <v>505</v>
      </c>
      <c r="B81" s="17" t="n">
        <v>1657</v>
      </c>
      <c r="C81" s="18">
        <f>(1391.0/B81*100)</f>
        <v/>
      </c>
      <c r="D81" s="19" t="n">
        <v>266</v>
      </c>
      <c r="E81" s="18" t="n">
        <v>16.27636075</v>
      </c>
      <c r="F81" s="20" t="n">
        <v>2.56393802</v>
      </c>
      <c r="G81" s="18" t="n">
        <v>73.63290062</v>
      </c>
      <c r="H81" s="20" t="n">
        <v>2.84676693</v>
      </c>
      <c r="I81" s="18" t="n">
        <v>0</v>
      </c>
      <c r="J81" s="20" t="n">
        <v>0</v>
      </c>
      <c r="K81" s="18" t="n">
        <v>7.55105537</v>
      </c>
      <c r="L81" s="20" t="n">
        <v>2.27703774</v>
      </c>
      <c r="M81" s="18" t="n">
        <v>0</v>
      </c>
      <c r="N81" s="20" t="n">
        <v>0</v>
      </c>
      <c r="O81" s="18" t="n">
        <v>0.83476313</v>
      </c>
      <c r="P81" s="20" t="n">
        <v>0.57926015</v>
      </c>
      <c r="Q81" s="18" t="n">
        <v>1.70492012</v>
      </c>
      <c r="R81" s="20" t="n">
        <v>0.80183963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648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30.1215171</v>
      </c>
      <c r="F44" s="20" t="n">
        <v>2.01560869</v>
      </c>
      <c r="G44" s="18" t="n">
        <v>37.90735515</v>
      </c>
      <c r="H44" s="20" t="n">
        <v>2.20203465</v>
      </c>
      <c r="I44" s="18" t="n">
        <v>0</v>
      </c>
      <c r="J44" s="20" t="n">
        <v>0</v>
      </c>
      <c r="K44" s="18" t="n">
        <v>10.80929277</v>
      </c>
      <c r="L44" s="20" t="n">
        <v>1.37667423</v>
      </c>
      <c r="M44" s="18" t="n">
        <v>0</v>
      </c>
      <c r="N44" s="20" t="n">
        <v>0</v>
      </c>
      <c r="O44" s="18" t="n">
        <v>0</v>
      </c>
      <c r="P44" s="20" t="n">
        <v>0</v>
      </c>
      <c r="Q44" s="18" t="n">
        <v>21.16183498</v>
      </c>
      <c r="R44" s="20" t="n">
        <v>1.5911395</v>
      </c>
    </row>
    <row r="45" spans="1:18">
      <c r="A45" s="15" t="s">
        <v>468</v>
      </c>
      <c r="B45" s="17" t="n">
        <v>5519</v>
      </c>
      <c r="C45" s="18">
        <f>(4604.0/B45*100)</f>
        <v/>
      </c>
      <c r="D45" s="19" t="n">
        <v>915</v>
      </c>
      <c r="E45" s="18" t="n">
        <v>33.93476565</v>
      </c>
      <c r="F45" s="20" t="n">
        <v>1.7330848</v>
      </c>
      <c r="G45" s="18" t="n">
        <v>21.64154854</v>
      </c>
      <c r="H45" s="20" t="n">
        <v>1.65041076</v>
      </c>
      <c r="I45" s="18" t="n">
        <v>0</v>
      </c>
      <c r="J45" s="20" t="n">
        <v>0</v>
      </c>
      <c r="K45" s="18" t="n">
        <v>16.03377103</v>
      </c>
      <c r="L45" s="20" t="n">
        <v>1.05535855</v>
      </c>
      <c r="M45" s="18" t="n">
        <v>0.9734238200000001</v>
      </c>
      <c r="N45" s="20" t="n">
        <v>0.34054053</v>
      </c>
      <c r="O45" s="18" t="n">
        <v>0</v>
      </c>
      <c r="P45" s="20" t="n">
        <v>0</v>
      </c>
      <c r="Q45" s="18" t="n">
        <v>27.41649096</v>
      </c>
      <c r="R45" s="20" t="n">
        <v>1.8148261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33.01486092</v>
      </c>
      <c r="F54" s="20" t="n">
        <v>1.82166794</v>
      </c>
      <c r="G54" s="18" t="n">
        <v>24.45443137</v>
      </c>
      <c r="H54" s="20" t="n">
        <v>1.61750293</v>
      </c>
      <c r="I54" s="18" t="n">
        <v>0</v>
      </c>
      <c r="J54" s="20" t="n">
        <v>0</v>
      </c>
      <c r="K54" s="18" t="n">
        <v>15.85114625</v>
      </c>
      <c r="L54" s="20" t="n">
        <v>1.35492818</v>
      </c>
      <c r="M54" s="18" t="n">
        <v>0</v>
      </c>
      <c r="N54" s="20" t="n">
        <v>0</v>
      </c>
      <c r="O54" s="18" t="n">
        <v>0</v>
      </c>
      <c r="P54" s="20" t="n">
        <v>0</v>
      </c>
      <c r="Q54" s="18" t="n">
        <v>26.67956146</v>
      </c>
      <c r="R54" s="20" t="n">
        <v>1.47529636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49.54165906</v>
      </c>
      <c r="F56" s="20" t="n">
        <v>1.68626373</v>
      </c>
      <c r="G56" s="18" t="n">
        <v>38.53552548</v>
      </c>
      <c r="H56" s="20" t="n">
        <v>1.69027007</v>
      </c>
      <c r="I56" s="18" t="n">
        <v>0</v>
      </c>
      <c r="J56" s="20" t="n">
        <v>0</v>
      </c>
      <c r="K56" s="18" t="n">
        <v>5.59613568</v>
      </c>
      <c r="L56" s="20" t="n">
        <v>0.70318909</v>
      </c>
      <c r="M56" s="18" t="n">
        <v>0</v>
      </c>
      <c r="N56" s="20" t="n">
        <v>0</v>
      </c>
      <c r="O56" s="18" t="n">
        <v>0</v>
      </c>
      <c r="P56" s="20" t="n">
        <v>0</v>
      </c>
      <c r="Q56" s="18" t="n">
        <v>6.32667979</v>
      </c>
      <c r="R56" s="20" t="n">
        <v>0.79970256</v>
      </c>
    </row>
    <row r="57" spans="1:18">
      <c r="A57" s="15" t="s">
        <v>480</v>
      </c>
      <c r="B57" s="17" t="n">
        <v>7267</v>
      </c>
      <c r="C57" s="18">
        <f>(6065.0/B57*100)</f>
        <v/>
      </c>
      <c r="D57" s="19" t="n">
        <v>1202</v>
      </c>
      <c r="E57" s="18" t="n">
        <v>25.10792915</v>
      </c>
      <c r="F57" s="20" t="n">
        <v>1.43439934</v>
      </c>
      <c r="G57" s="18" t="n">
        <v>49.99818679</v>
      </c>
      <c r="H57" s="20" t="n">
        <v>1.80014581</v>
      </c>
      <c r="I57" s="18" t="n">
        <v>0</v>
      </c>
      <c r="J57" s="20" t="n">
        <v>0</v>
      </c>
      <c r="K57" s="18" t="n">
        <v>10.94208621</v>
      </c>
      <c r="L57" s="20" t="n">
        <v>1.04237692</v>
      </c>
      <c r="M57" s="18" t="n">
        <v>0</v>
      </c>
      <c r="N57" s="20" t="n">
        <v>0</v>
      </c>
      <c r="O57" s="18" t="n">
        <v>0</v>
      </c>
      <c r="P57" s="20" t="n">
        <v>0</v>
      </c>
      <c r="Q57" s="18" t="n">
        <v>13.95179785</v>
      </c>
      <c r="R57" s="20" t="n">
        <v>1.11109948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63.68301605</v>
      </c>
      <c r="F59" s="20" t="n">
        <v>1.80594511</v>
      </c>
      <c r="G59" s="18" t="n">
        <v>12.05936096</v>
      </c>
      <c r="H59" s="20" t="n">
        <v>1.33225424</v>
      </c>
      <c r="I59" s="18" t="n">
        <v>0</v>
      </c>
      <c r="J59" s="20" t="n">
        <v>0</v>
      </c>
      <c r="K59" s="18" t="n">
        <v>6.80280762</v>
      </c>
      <c r="L59" s="20" t="n">
        <v>0.90760474</v>
      </c>
      <c r="M59" s="18" t="n">
        <v>0</v>
      </c>
      <c r="N59" s="20" t="n">
        <v>0</v>
      </c>
      <c r="O59" s="18" t="n">
        <v>0</v>
      </c>
      <c r="P59" s="20" t="n">
        <v>0</v>
      </c>
      <c r="Q59" s="18" t="n">
        <v>17.45481537</v>
      </c>
      <c r="R59" s="20" t="n">
        <v>1.78901146</v>
      </c>
    </row>
    <row r="60" spans="1:18">
      <c r="A60" s="15" t="s">
        <v>484</v>
      </c>
      <c r="B60" s="17" t="n">
        <v>4546</v>
      </c>
      <c r="C60" s="18">
        <f>(3783.0/B60*100)</f>
        <v/>
      </c>
      <c r="D60" s="19" t="n">
        <v>763</v>
      </c>
      <c r="E60" s="18" t="n">
        <v>37.01833503</v>
      </c>
      <c r="F60" s="20" t="n">
        <v>2.14665835</v>
      </c>
      <c r="G60" s="18" t="n">
        <v>18.35605856</v>
      </c>
      <c r="H60" s="20" t="n">
        <v>1.48779348</v>
      </c>
      <c r="I60" s="18" t="n">
        <v>0</v>
      </c>
      <c r="J60" s="20" t="n">
        <v>0</v>
      </c>
      <c r="K60" s="18" t="n">
        <v>20.35985114</v>
      </c>
      <c r="L60" s="20" t="n">
        <v>1.89580669</v>
      </c>
      <c r="M60" s="18" t="n">
        <v>0</v>
      </c>
      <c r="N60" s="20" t="n">
        <v>0</v>
      </c>
      <c r="O60" s="18" t="n">
        <v>0</v>
      </c>
      <c r="P60" s="20" t="n">
        <v>0</v>
      </c>
      <c r="Q60" s="18" t="n">
        <v>24.26575528</v>
      </c>
      <c r="R60" s="20" t="n">
        <v>1.82507762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23.77778402</v>
      </c>
      <c r="F63" s="20" t="n">
        <v>1.70439376</v>
      </c>
      <c r="G63" s="18" t="n">
        <v>13.49687861</v>
      </c>
      <c r="H63" s="20" t="n">
        <v>1.17130272</v>
      </c>
      <c r="I63" s="18" t="n">
        <v>0</v>
      </c>
      <c r="J63" s="20" t="n">
        <v>0</v>
      </c>
      <c r="K63" s="18" t="n">
        <v>21.19517372</v>
      </c>
      <c r="L63" s="20" t="n">
        <v>1.49442798</v>
      </c>
      <c r="M63" s="18" t="n">
        <v>0</v>
      </c>
      <c r="N63" s="20" t="n">
        <v>0</v>
      </c>
      <c r="O63" s="18" t="n">
        <v>0</v>
      </c>
      <c r="P63" s="20" t="n">
        <v>0</v>
      </c>
      <c r="Q63" s="18" t="n">
        <v>41.53016364</v>
      </c>
      <c r="R63" s="20" t="n">
        <v>2.00533192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31.91886312</v>
      </c>
      <c r="F65" s="20" t="n">
        <v>1.90187173</v>
      </c>
      <c r="G65" s="18" t="n">
        <v>34.70366641</v>
      </c>
      <c r="H65" s="20" t="n">
        <v>1.91345641</v>
      </c>
      <c r="I65" s="18" t="n">
        <v>0</v>
      </c>
      <c r="J65" s="20" t="n">
        <v>0</v>
      </c>
      <c r="K65" s="18" t="n">
        <v>11.79131374</v>
      </c>
      <c r="L65" s="20" t="n">
        <v>1.3839183</v>
      </c>
      <c r="M65" s="18" t="n">
        <v>0</v>
      </c>
      <c r="N65" s="20" t="n">
        <v>0</v>
      </c>
      <c r="O65" s="18" t="n">
        <v>0</v>
      </c>
      <c r="P65" s="20" t="n">
        <v>0</v>
      </c>
      <c r="Q65" s="18" t="n">
        <v>21.58615673</v>
      </c>
      <c r="R65" s="20" t="n">
        <v>1.59803666</v>
      </c>
    </row>
    <row r="66" spans="1:18">
      <c r="A66" s="15" t="s">
        <v>490</v>
      </c>
      <c r="B66" s="17" t="n">
        <v>5325</v>
      </c>
      <c r="C66" s="18">
        <f>(4429.0/B66*100)</f>
        <v/>
      </c>
      <c r="D66" s="19" t="n">
        <v>896</v>
      </c>
      <c r="E66" s="18" t="n">
        <v>26.57315326</v>
      </c>
      <c r="F66" s="20" t="n">
        <v>1.59908824</v>
      </c>
      <c r="G66" s="18" t="n">
        <v>32.52755321</v>
      </c>
      <c r="H66" s="20" t="n">
        <v>1.57260851</v>
      </c>
      <c r="I66" s="18" t="n">
        <v>0</v>
      </c>
      <c r="J66" s="20" t="n">
        <v>0</v>
      </c>
      <c r="K66" s="18" t="n">
        <v>18.06499767</v>
      </c>
      <c r="L66" s="20" t="n">
        <v>1.17600005</v>
      </c>
      <c r="M66" s="18" t="n">
        <v>0</v>
      </c>
      <c r="N66" s="20" t="n">
        <v>0</v>
      </c>
      <c r="O66" s="18" t="n">
        <v>0</v>
      </c>
      <c r="P66" s="20" t="n">
        <v>0</v>
      </c>
      <c r="Q66" s="18" t="n">
        <v>22.83429586</v>
      </c>
      <c r="R66" s="20" t="n">
        <v>1.61340825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52.9229397</v>
      </c>
      <c r="F69" s="20" t="n">
        <v>4.26857781</v>
      </c>
      <c r="G69" s="18" t="n">
        <v>21.39758964</v>
      </c>
      <c r="H69" s="20" t="n">
        <v>3.1734447</v>
      </c>
      <c r="I69" s="18" t="n">
        <v>0</v>
      </c>
      <c r="J69" s="20" t="n">
        <v>0</v>
      </c>
      <c r="K69" s="18" t="n">
        <v>10.67890563</v>
      </c>
      <c r="L69" s="20" t="n">
        <v>2.33278107</v>
      </c>
      <c r="M69" s="18" t="n">
        <v>0</v>
      </c>
      <c r="N69" s="20" t="n">
        <v>0</v>
      </c>
      <c r="O69" s="18" t="n">
        <v>0</v>
      </c>
      <c r="P69" s="20" t="n">
        <v>0</v>
      </c>
      <c r="Q69" s="18" t="n">
        <v>15.00056502</v>
      </c>
      <c r="R69" s="20" t="n">
        <v>2.7581448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52.29141712</v>
      </c>
      <c r="F71" s="20" t="n">
        <v>2.00472768</v>
      </c>
      <c r="G71" s="18" t="n">
        <v>40.7018771</v>
      </c>
      <c r="H71" s="20" t="n">
        <v>2.07430424</v>
      </c>
      <c r="I71" s="18" t="n">
        <v>0</v>
      </c>
      <c r="J71" s="20" t="n">
        <v>0</v>
      </c>
      <c r="K71" s="18" t="n">
        <v>1.29937793</v>
      </c>
      <c r="L71" s="20" t="n">
        <v>0.45818352</v>
      </c>
      <c r="M71" s="18" t="n">
        <v>0</v>
      </c>
      <c r="N71" s="20" t="n">
        <v>0</v>
      </c>
      <c r="O71" s="18" t="n">
        <v>0</v>
      </c>
      <c r="P71" s="20" t="n">
        <v>0</v>
      </c>
      <c r="Q71" s="18" t="n">
        <v>5.70732785</v>
      </c>
      <c r="R71" s="20" t="n">
        <v>0.86578373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27.10665477</v>
      </c>
      <c r="F76" s="20" t="n">
        <v>1.88839037</v>
      </c>
      <c r="G76" s="18" t="n">
        <v>29.57707596</v>
      </c>
      <c r="H76" s="20" t="n">
        <v>1.80544866</v>
      </c>
      <c r="I76" s="18" t="n">
        <v>0</v>
      </c>
      <c r="J76" s="20" t="n">
        <v>0</v>
      </c>
      <c r="K76" s="18" t="n">
        <v>20.2607824</v>
      </c>
      <c r="L76" s="20" t="n">
        <v>1.57464518</v>
      </c>
      <c r="M76" s="18" t="n">
        <v>0</v>
      </c>
      <c r="N76" s="20" t="n">
        <v>0</v>
      </c>
      <c r="O76" s="18" t="n">
        <v>0</v>
      </c>
      <c r="P76" s="20" t="n">
        <v>0</v>
      </c>
      <c r="Q76" s="18" t="n">
        <v>23.05548687</v>
      </c>
      <c r="R76" s="20" t="n">
        <v>1.82479792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46.29634214</v>
      </c>
      <c r="F80" s="20" t="n">
        <v>1.66957208</v>
      </c>
      <c r="G80" s="18" t="n">
        <v>50.84534067</v>
      </c>
      <c r="H80" s="20" t="n">
        <v>1.53850326</v>
      </c>
      <c r="I80" s="18" t="n">
        <v>0</v>
      </c>
      <c r="J80" s="20" t="n">
        <v>0</v>
      </c>
      <c r="K80" s="18" t="n">
        <v>1.04462493</v>
      </c>
      <c r="L80" s="20" t="n">
        <v>0.30796491</v>
      </c>
      <c r="M80" s="18" t="n">
        <v>0</v>
      </c>
      <c r="N80" s="20" t="n">
        <v>0</v>
      </c>
      <c r="O80" s="18" t="n">
        <v>0</v>
      </c>
      <c r="P80" s="20" t="n">
        <v>0</v>
      </c>
      <c r="Q80" s="18" t="n">
        <v>1.81369227</v>
      </c>
      <c r="R80" s="20" t="n">
        <v>0.4854121</v>
      </c>
    </row>
    <row r="81" spans="1:18">
      <c r="A81" s="15" t="s">
        <v>505</v>
      </c>
      <c r="B81" s="17" t="n">
        <v>1657</v>
      </c>
      <c r="C81" s="18">
        <f>(1391.0/B81*100)</f>
        <v/>
      </c>
      <c r="D81" s="19" t="n">
        <v>266</v>
      </c>
      <c r="E81" s="18" t="n">
        <v>36.80639962</v>
      </c>
      <c r="F81" s="20" t="n">
        <v>2.92329425</v>
      </c>
      <c r="G81" s="18" t="n">
        <v>41.35488365</v>
      </c>
      <c r="H81" s="20" t="n">
        <v>2.94053072</v>
      </c>
      <c r="I81" s="18" t="n">
        <v>0</v>
      </c>
      <c r="J81" s="20" t="n">
        <v>0</v>
      </c>
      <c r="K81" s="18" t="n">
        <v>9.5048557</v>
      </c>
      <c r="L81" s="20" t="n">
        <v>2.31260673</v>
      </c>
      <c r="M81" s="18" t="n">
        <v>0</v>
      </c>
      <c r="N81" s="20" t="n">
        <v>0</v>
      </c>
      <c r="O81" s="18" t="n">
        <v>0</v>
      </c>
      <c r="P81" s="20" t="n">
        <v>0</v>
      </c>
      <c r="Q81" s="18" t="n">
        <v>12.33386102</v>
      </c>
      <c r="R81" s="20" t="n">
        <v>2.15294591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649</v>
      </c>
    </row>
    <row customHeight="1" ht="30" r="4" spans="1:20">
      <c r="A4" s="6" t="n"/>
      <c r="B4" s="7" t="s">
        <v>415</v>
      </c>
      <c r="C4" s="7" t="s">
        <v>416</v>
      </c>
      <c r="D4" s="8" t="s">
        <v>415</v>
      </c>
      <c r="E4" s="9" t="s">
        <v>417</v>
      </c>
      <c r="F4" s="10" t="n"/>
      <c r="G4" s="9" t="s">
        <v>546</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(4364.0/B44*100)</f>
        <v/>
      </c>
      <c r="D44" s="19" t="n">
        <v>851</v>
      </c>
      <c r="E44" s="18" t="n">
        <v>36.69694001</v>
      </c>
      <c r="F44" s="20" t="n">
        <v>1.74388271</v>
      </c>
      <c r="G44" s="18" t="n">
        <v>9.47094317</v>
      </c>
      <c r="H44" s="20" t="n">
        <v>1.21519881</v>
      </c>
      <c r="I44" s="18" t="n">
        <v>29.8549228</v>
      </c>
      <c r="J44" s="20" t="n">
        <v>1.82203708</v>
      </c>
      <c r="K44" s="18" t="n">
        <v>0</v>
      </c>
      <c r="L44" s="20" t="n">
        <v>0</v>
      </c>
      <c r="M44" s="18" t="n">
        <v>11.15808799</v>
      </c>
      <c r="N44" s="20" t="n">
        <v>1.40308473</v>
      </c>
      <c r="O44" s="18" t="n">
        <v>0</v>
      </c>
      <c r="P44" s="20" t="n">
        <v>0</v>
      </c>
      <c r="Q44" s="18" t="n">
        <v>0</v>
      </c>
      <c r="R44" s="20" t="n">
        <v>0</v>
      </c>
      <c r="S44" s="18" t="n">
        <v>12.81910604</v>
      </c>
      <c r="T44" s="20" t="n">
        <v>1.48783074</v>
      </c>
    </row>
    <row r="45" spans="1:20">
      <c r="A45" s="15" t="s">
        <v>468</v>
      </c>
      <c r="B45" s="17" t="n">
        <v>5519</v>
      </c>
      <c r="C45" s="18">
        <f>(4604.0/B45*100)</f>
        <v/>
      </c>
      <c r="D45" s="19" t="n">
        <v>915</v>
      </c>
      <c r="E45" s="18" t="n">
        <v>49.943991</v>
      </c>
      <c r="F45" s="20" t="n">
        <v>1.75045466</v>
      </c>
      <c r="G45" s="18" t="n">
        <v>5.21666991</v>
      </c>
      <c r="H45" s="20" t="n">
        <v>0.72571691</v>
      </c>
      <c r="I45" s="18" t="n">
        <v>13.27357547</v>
      </c>
      <c r="J45" s="20" t="n">
        <v>1.14750844</v>
      </c>
      <c r="K45" s="18" t="n">
        <v>0</v>
      </c>
      <c r="L45" s="20" t="n">
        <v>0</v>
      </c>
      <c r="M45" s="18" t="n">
        <v>16.26570007</v>
      </c>
      <c r="N45" s="20" t="n">
        <v>1.07565012</v>
      </c>
      <c r="O45" s="18" t="n">
        <v>0.44831728</v>
      </c>
      <c r="P45" s="20" t="n">
        <v>0.21957341</v>
      </c>
      <c r="Q45" s="18" t="n">
        <v>0</v>
      </c>
      <c r="R45" s="20" t="n">
        <v>0</v>
      </c>
      <c r="S45" s="18" t="n">
        <v>14.85174627</v>
      </c>
      <c r="T45" s="20" t="n">
        <v>1.18948948</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(4424.0/B54*100)</f>
        <v/>
      </c>
      <c r="D54" s="19" t="n">
        <v>892</v>
      </c>
      <c r="E54" s="18" t="n">
        <v>38.06511873</v>
      </c>
      <c r="F54" s="20" t="n">
        <v>1.6353254</v>
      </c>
      <c r="G54" s="18" t="n">
        <v>6.09613512</v>
      </c>
      <c r="H54" s="20" t="n">
        <v>0.73727621</v>
      </c>
      <c r="I54" s="18" t="n">
        <v>18.25273866</v>
      </c>
      <c r="J54" s="20" t="n">
        <v>1.5973527</v>
      </c>
      <c r="K54" s="18" t="n">
        <v>0</v>
      </c>
      <c r="L54" s="20" t="n">
        <v>0</v>
      </c>
      <c r="M54" s="18" t="n">
        <v>17.04238194</v>
      </c>
      <c r="N54" s="20" t="n">
        <v>1.34427346</v>
      </c>
      <c r="O54" s="18" t="n">
        <v>0</v>
      </c>
      <c r="P54" s="20" t="n">
        <v>0</v>
      </c>
      <c r="Q54" s="18" t="n">
        <v>0</v>
      </c>
      <c r="R54" s="20" t="n">
        <v>0</v>
      </c>
      <c r="S54" s="18" t="n">
        <v>20.54362555</v>
      </c>
      <c r="T54" s="20" t="n">
        <v>1.43936529</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(5421.0/B56*100)</f>
        <v/>
      </c>
      <c r="D56" s="19" t="n">
        <v>1092</v>
      </c>
      <c r="E56" s="18" t="n">
        <v>45.34380534</v>
      </c>
      <c r="F56" s="20" t="n">
        <v>1.70806878</v>
      </c>
      <c r="G56" s="18" t="n">
        <v>17.72100716</v>
      </c>
      <c r="H56" s="20" t="n">
        <v>1.31528257</v>
      </c>
      <c r="I56" s="18" t="n">
        <v>26.61147312</v>
      </c>
      <c r="J56" s="20" t="n">
        <v>1.30715483</v>
      </c>
      <c r="K56" s="18" t="n">
        <v>0</v>
      </c>
      <c r="L56" s="20" t="n">
        <v>0</v>
      </c>
      <c r="M56" s="18" t="n">
        <v>6.2162331</v>
      </c>
      <c r="N56" s="20" t="n">
        <v>0.76530443</v>
      </c>
      <c r="O56" s="18" t="n">
        <v>0</v>
      </c>
      <c r="P56" s="20" t="n">
        <v>0</v>
      </c>
      <c r="Q56" s="18" t="n">
        <v>0</v>
      </c>
      <c r="R56" s="20" t="n">
        <v>0</v>
      </c>
      <c r="S56" s="18" t="n">
        <v>4.10748128</v>
      </c>
      <c r="T56" s="20" t="n">
        <v>0.69781751</v>
      </c>
    </row>
    <row r="57" spans="1:20">
      <c r="A57" s="15" t="s">
        <v>480</v>
      </c>
      <c r="B57" s="17" t="n">
        <v>7267</v>
      </c>
      <c r="C57" s="18">
        <f>(6065.0/B57*100)</f>
        <v/>
      </c>
      <c r="D57" s="19" t="n">
        <v>1202</v>
      </c>
      <c r="E57" s="18" t="n">
        <v>46.53018684</v>
      </c>
      <c r="F57" s="20" t="n">
        <v>1.58693092</v>
      </c>
      <c r="G57" s="18" t="n">
        <v>2.77614903</v>
      </c>
      <c r="H57" s="20" t="n">
        <v>0.48785619</v>
      </c>
      <c r="I57" s="18" t="n">
        <v>29.09950021</v>
      </c>
      <c r="J57" s="20" t="n">
        <v>1.47596018</v>
      </c>
      <c r="K57" s="18" t="n">
        <v>0</v>
      </c>
      <c r="L57" s="20" t="n">
        <v>0</v>
      </c>
      <c r="M57" s="18" t="n">
        <v>11.69090111</v>
      </c>
      <c r="N57" s="20" t="n">
        <v>1.00496259</v>
      </c>
      <c r="O57" s="18" t="n">
        <v>0</v>
      </c>
      <c r="P57" s="20" t="n">
        <v>0</v>
      </c>
      <c r="Q57" s="18" t="n">
        <v>0</v>
      </c>
      <c r="R57" s="20" t="n">
        <v>0</v>
      </c>
      <c r="S57" s="18" t="n">
        <v>9.903262809999999</v>
      </c>
      <c r="T57" s="20" t="n">
        <v>1.0524692</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(4021.0/B59*100)</f>
        <v/>
      </c>
      <c r="D59" s="19" t="n">
        <v>805</v>
      </c>
      <c r="E59" s="18" t="n">
        <v>54.57101528</v>
      </c>
      <c r="F59" s="20" t="n">
        <v>1.90344544</v>
      </c>
      <c r="G59" s="18" t="n">
        <v>10.72066546</v>
      </c>
      <c r="H59" s="20" t="n">
        <v>1.27343872</v>
      </c>
      <c r="I59" s="18" t="n">
        <v>17.23164876</v>
      </c>
      <c r="J59" s="20" t="n">
        <v>1.80237845</v>
      </c>
      <c r="K59" s="18" t="n">
        <v>0</v>
      </c>
      <c r="L59" s="20" t="n">
        <v>0</v>
      </c>
      <c r="M59" s="18" t="n">
        <v>7.29999617</v>
      </c>
      <c r="N59" s="20" t="n">
        <v>0.9469322100000001</v>
      </c>
      <c r="O59" s="18" t="n">
        <v>0</v>
      </c>
      <c r="P59" s="20" t="n">
        <v>0</v>
      </c>
      <c r="Q59" s="18" t="n">
        <v>0</v>
      </c>
      <c r="R59" s="20" t="n">
        <v>0</v>
      </c>
      <c r="S59" s="18" t="n">
        <v>10.17667433</v>
      </c>
      <c r="T59" s="20" t="n">
        <v>1.19537437</v>
      </c>
    </row>
    <row r="60" spans="1:20">
      <c r="A60" s="15" t="s">
        <v>484</v>
      </c>
      <c r="B60" s="17" t="n">
        <v>4546</v>
      </c>
      <c r="C60" s="18">
        <f>(3783.0/B60*100)</f>
        <v/>
      </c>
      <c r="D60" s="19" t="n">
        <v>763</v>
      </c>
      <c r="E60" s="18" t="n">
        <v>31.22011149</v>
      </c>
      <c r="F60" s="20" t="n">
        <v>2.03078806</v>
      </c>
      <c r="G60" s="18" t="n">
        <v>12.08208472</v>
      </c>
      <c r="H60" s="20" t="n">
        <v>1.2682472</v>
      </c>
      <c r="I60" s="18" t="n">
        <v>14.10838228</v>
      </c>
      <c r="J60" s="20" t="n">
        <v>1.2972047</v>
      </c>
      <c r="K60" s="18" t="n">
        <v>0</v>
      </c>
      <c r="L60" s="20" t="n">
        <v>0</v>
      </c>
      <c r="M60" s="18" t="n">
        <v>22.02803723</v>
      </c>
      <c r="N60" s="20" t="n">
        <v>1.99431439</v>
      </c>
      <c r="O60" s="18" t="n">
        <v>0</v>
      </c>
      <c r="P60" s="20" t="n">
        <v>0</v>
      </c>
      <c r="Q60" s="18" t="n">
        <v>0.28774755</v>
      </c>
      <c r="R60" s="20" t="n">
        <v>0.28138303</v>
      </c>
      <c r="S60" s="18" t="n">
        <v>20.27363673</v>
      </c>
      <c r="T60" s="20" t="n">
        <v>1.70424028</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(4430.0/B63*100)</f>
        <v/>
      </c>
      <c r="D63" s="19" t="n">
        <v>894</v>
      </c>
      <c r="E63" s="18" t="n">
        <v>27.15166142</v>
      </c>
      <c r="F63" s="20" t="n">
        <v>1.47179011</v>
      </c>
      <c r="G63" s="18" t="n">
        <v>11.11017409</v>
      </c>
      <c r="H63" s="20" t="n">
        <v>1.16063127</v>
      </c>
      <c r="I63" s="18" t="n">
        <v>15.61418833</v>
      </c>
      <c r="J63" s="20" t="n">
        <v>1.36052863</v>
      </c>
      <c r="K63" s="18" t="n">
        <v>0</v>
      </c>
      <c r="L63" s="20" t="n">
        <v>0</v>
      </c>
      <c r="M63" s="18" t="n">
        <v>21.58269337</v>
      </c>
      <c r="N63" s="20" t="n">
        <v>1.48573763</v>
      </c>
      <c r="O63" s="18" t="n">
        <v>0</v>
      </c>
      <c r="P63" s="20" t="n">
        <v>0</v>
      </c>
      <c r="Q63" s="18" t="n">
        <v>0</v>
      </c>
      <c r="R63" s="20" t="n">
        <v>0</v>
      </c>
      <c r="S63" s="18" t="n">
        <v>24.54128279</v>
      </c>
      <c r="T63" s="20" t="n">
        <v>1.41829542</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(3039.0/B65*100)</f>
        <v/>
      </c>
      <c r="D65" s="19" t="n">
        <v>595</v>
      </c>
      <c r="E65" s="18" t="n">
        <v>23.93865749</v>
      </c>
      <c r="F65" s="20" t="n">
        <v>1.87768844</v>
      </c>
      <c r="G65" s="18" t="n">
        <v>3.01431858</v>
      </c>
      <c r="H65" s="20" t="n">
        <v>0.65441211</v>
      </c>
      <c r="I65" s="18" t="n">
        <v>46.85245123</v>
      </c>
      <c r="J65" s="20" t="n">
        <v>2.23623337</v>
      </c>
      <c r="K65" s="18" t="n">
        <v>0</v>
      </c>
      <c r="L65" s="20" t="n">
        <v>0</v>
      </c>
      <c r="M65" s="18" t="n">
        <v>11.79131374</v>
      </c>
      <c r="N65" s="20" t="n">
        <v>1.3839183</v>
      </c>
      <c r="O65" s="18" t="n">
        <v>0</v>
      </c>
      <c r="P65" s="20" t="n">
        <v>0</v>
      </c>
      <c r="Q65" s="18" t="n">
        <v>0</v>
      </c>
      <c r="R65" s="20" t="n">
        <v>0</v>
      </c>
      <c r="S65" s="18" t="n">
        <v>14.40325896</v>
      </c>
      <c r="T65" s="20" t="n">
        <v>1.28417192</v>
      </c>
    </row>
    <row r="66" spans="1:20">
      <c r="A66" s="15" t="s">
        <v>490</v>
      </c>
      <c r="B66" s="17" t="n">
        <v>5325</v>
      </c>
      <c r="C66" s="18">
        <f>(4429.0/B66*100)</f>
        <v/>
      </c>
      <c r="D66" s="19" t="n">
        <v>896</v>
      </c>
      <c r="E66" s="18" t="n">
        <v>26.50860014</v>
      </c>
      <c r="F66" s="20" t="n">
        <v>1.46451692</v>
      </c>
      <c r="G66" s="18" t="n">
        <v>6.52519862</v>
      </c>
      <c r="H66" s="20" t="n">
        <v>0.99078649</v>
      </c>
      <c r="I66" s="18" t="n">
        <v>33.83663003</v>
      </c>
      <c r="J66" s="20" t="n">
        <v>1.95534613</v>
      </c>
      <c r="K66" s="18" t="n">
        <v>0</v>
      </c>
      <c r="L66" s="20" t="n">
        <v>0</v>
      </c>
      <c r="M66" s="18" t="n">
        <v>18.79687129</v>
      </c>
      <c r="N66" s="20" t="n">
        <v>1.20498708</v>
      </c>
      <c r="O66" s="18" t="n">
        <v>0</v>
      </c>
      <c r="P66" s="20" t="n">
        <v>0</v>
      </c>
      <c r="Q66" s="18" t="n">
        <v>0</v>
      </c>
      <c r="R66" s="20" t="n">
        <v>0</v>
      </c>
      <c r="S66" s="18" t="n">
        <v>14.33269993</v>
      </c>
      <c r="T66" s="20" t="n">
        <v>1.28253105</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(1166.0/B69*100)</f>
        <v/>
      </c>
      <c r="D69" s="19" t="n">
        <v>232</v>
      </c>
      <c r="E69" s="18" t="n">
        <v>29.29938376</v>
      </c>
      <c r="F69" s="20" t="n">
        <v>3.29933272</v>
      </c>
      <c r="G69" s="18" t="n">
        <v>4.91164204</v>
      </c>
      <c r="H69" s="20" t="n">
        <v>1.82058769</v>
      </c>
      <c r="I69" s="18" t="n">
        <v>46.76713861</v>
      </c>
      <c r="J69" s="20" t="n">
        <v>3.65929536</v>
      </c>
      <c r="K69" s="18" t="n">
        <v>0</v>
      </c>
      <c r="L69" s="20" t="n">
        <v>0</v>
      </c>
      <c r="M69" s="18" t="n">
        <v>10.67890563</v>
      </c>
      <c r="N69" s="20" t="n">
        <v>2.33278107</v>
      </c>
      <c r="O69" s="18" t="n">
        <v>0</v>
      </c>
      <c r="P69" s="20" t="n">
        <v>0</v>
      </c>
      <c r="Q69" s="18" t="n">
        <v>0</v>
      </c>
      <c r="R69" s="20" t="n">
        <v>0</v>
      </c>
      <c r="S69" s="18" t="n">
        <v>8.342929959999999</v>
      </c>
      <c r="T69" s="20" t="n">
        <v>1.80252409</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(4051.0/B71*100)</f>
        <v/>
      </c>
      <c r="D71" s="19" t="n">
        <v>825</v>
      </c>
      <c r="E71" s="18" t="n">
        <v>45.3790229</v>
      </c>
      <c r="F71" s="20" t="n">
        <v>1.99073607</v>
      </c>
      <c r="G71" s="18" t="n">
        <v>9.47750083</v>
      </c>
      <c r="H71" s="20" t="n">
        <v>1.02091549</v>
      </c>
      <c r="I71" s="18" t="n">
        <v>40.70587859</v>
      </c>
      <c r="J71" s="20" t="n">
        <v>2.21875637</v>
      </c>
      <c r="K71" s="18" t="n">
        <v>0</v>
      </c>
      <c r="L71" s="20" t="n">
        <v>0</v>
      </c>
      <c r="M71" s="18" t="n">
        <v>1.29937793</v>
      </c>
      <c r="N71" s="20" t="n">
        <v>0.45818352</v>
      </c>
      <c r="O71" s="18" t="n">
        <v>0</v>
      </c>
      <c r="P71" s="20" t="n">
        <v>0</v>
      </c>
      <c r="Q71" s="18" t="n">
        <v>0</v>
      </c>
      <c r="R71" s="20" t="n">
        <v>0</v>
      </c>
      <c r="S71" s="18" t="n">
        <v>3.13821976</v>
      </c>
      <c r="T71" s="20" t="n">
        <v>0.57843274</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(3904.0/B76*100)</f>
        <v/>
      </c>
      <c r="D76" s="19" t="n">
        <v>788</v>
      </c>
      <c r="E76" s="18" t="n">
        <v>26.07068451</v>
      </c>
      <c r="F76" s="20" t="n">
        <v>1.63104261</v>
      </c>
      <c r="G76" s="18" t="n">
        <v>2.77604899</v>
      </c>
      <c r="H76" s="20" t="n">
        <v>0.71398426</v>
      </c>
      <c r="I76" s="18" t="n">
        <v>36.86364678</v>
      </c>
      <c r="J76" s="20" t="n">
        <v>1.83776577</v>
      </c>
      <c r="K76" s="18" t="n">
        <v>0</v>
      </c>
      <c r="L76" s="20" t="n">
        <v>0</v>
      </c>
      <c r="M76" s="18" t="n">
        <v>21.07956037</v>
      </c>
      <c r="N76" s="20" t="n">
        <v>1.62781836</v>
      </c>
      <c r="O76" s="18" t="n">
        <v>0</v>
      </c>
      <c r="P76" s="20" t="n">
        <v>0</v>
      </c>
      <c r="Q76" s="18" t="n">
        <v>0</v>
      </c>
      <c r="R76" s="20" t="n">
        <v>0</v>
      </c>
      <c r="S76" s="18" t="n">
        <v>13.21005934</v>
      </c>
      <c r="T76" s="20" t="n">
        <v>1.48869069</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(4843.0/B80*100)</f>
        <v/>
      </c>
      <c r="D80" s="19" t="n">
        <v>983</v>
      </c>
      <c r="E80" s="18" t="n">
        <v>46.50306319</v>
      </c>
      <c r="F80" s="20" t="n">
        <v>1.68101788</v>
      </c>
      <c r="G80" s="18" t="n">
        <v>6.30811196</v>
      </c>
      <c r="H80" s="20" t="n">
        <v>0.82018413</v>
      </c>
      <c r="I80" s="18" t="n">
        <v>44.46394426</v>
      </c>
      <c r="J80" s="20" t="n">
        <v>1.75116952</v>
      </c>
      <c r="K80" s="18" t="n">
        <v>0</v>
      </c>
      <c r="L80" s="20" t="n">
        <v>0</v>
      </c>
      <c r="M80" s="18" t="n">
        <v>1.23448081</v>
      </c>
      <c r="N80" s="20" t="n">
        <v>0.33483645</v>
      </c>
      <c r="O80" s="18" t="n">
        <v>0</v>
      </c>
      <c r="P80" s="20" t="n">
        <v>0</v>
      </c>
      <c r="Q80" s="18" t="n">
        <v>0</v>
      </c>
      <c r="R80" s="20" t="n">
        <v>0</v>
      </c>
      <c r="S80" s="18" t="n">
        <v>1.49039979</v>
      </c>
      <c r="T80" s="20" t="n">
        <v>0.46238198</v>
      </c>
    </row>
    <row r="81" spans="1:20">
      <c r="A81" s="15" t="s">
        <v>505</v>
      </c>
      <c r="B81" s="17" t="n">
        <v>1657</v>
      </c>
      <c r="C81" s="18">
        <f>(1391.0/B81*100)</f>
        <v/>
      </c>
      <c r="D81" s="19" t="n">
        <v>266</v>
      </c>
      <c r="E81" s="18" t="n">
        <v>19.499147</v>
      </c>
      <c r="F81" s="20" t="n">
        <v>2.14988136</v>
      </c>
      <c r="G81" s="18" t="n">
        <v>5.99966295</v>
      </c>
      <c r="H81" s="20" t="n">
        <v>1.4400614</v>
      </c>
      <c r="I81" s="18" t="n">
        <v>56.43664142</v>
      </c>
      <c r="J81" s="20" t="n">
        <v>3.41460838</v>
      </c>
      <c r="K81" s="18" t="n">
        <v>0</v>
      </c>
      <c r="L81" s="20" t="n">
        <v>0</v>
      </c>
      <c r="M81" s="18" t="n">
        <v>9.889349920000001</v>
      </c>
      <c r="N81" s="20" t="n">
        <v>2.28173285</v>
      </c>
      <c r="O81" s="18" t="n">
        <v>0</v>
      </c>
      <c r="P81" s="20" t="n">
        <v>0</v>
      </c>
      <c r="Q81" s="18" t="n">
        <v>0</v>
      </c>
      <c r="R81" s="20" t="n">
        <v>0</v>
      </c>
      <c r="S81" s="18" t="n">
        <v>8.17519871</v>
      </c>
      <c r="T81" s="20" t="n">
        <v>2.03199744</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23.35931206</v>
      </c>
      <c r="F44" s="20" t="n">
        <v>2.01853173</v>
      </c>
      <c r="G44" s="18" t="n">
        <v>51.49467631</v>
      </c>
      <c r="H44" s="20" t="n">
        <v>2.63692544</v>
      </c>
      <c r="I44" s="18" t="n">
        <v>0</v>
      </c>
      <c r="J44" s="20" t="n">
        <v>0</v>
      </c>
      <c r="K44" s="18" t="n">
        <v>12.00025117</v>
      </c>
      <c r="L44" s="20" t="n">
        <v>1.43304542</v>
      </c>
      <c r="M44" s="18" t="n">
        <v>0</v>
      </c>
      <c r="N44" s="20" t="n">
        <v>0</v>
      </c>
      <c r="O44" s="18" t="n">
        <v>0</v>
      </c>
      <c r="P44" s="20" t="n">
        <v>0</v>
      </c>
      <c r="Q44" s="18" t="n">
        <v>13.14576045</v>
      </c>
      <c r="R44" s="20" t="n">
        <v>1.48918358</v>
      </c>
    </row>
    <row r="45" spans="1:18">
      <c r="A45" s="15" t="s">
        <v>468</v>
      </c>
      <c r="B45" s="17" t="n">
        <v>5519</v>
      </c>
      <c r="C45" s="18">
        <f>(4604.0/B45*100)</f>
        <v/>
      </c>
      <c r="D45" s="19" t="n">
        <v>915</v>
      </c>
      <c r="E45" s="18" t="n">
        <v>38.26520183</v>
      </c>
      <c r="F45" s="20" t="n">
        <v>1.71526357</v>
      </c>
      <c r="G45" s="18" t="n">
        <v>26.59686126</v>
      </c>
      <c r="H45" s="20" t="n">
        <v>1.75096453</v>
      </c>
      <c r="I45" s="18" t="n">
        <v>0</v>
      </c>
      <c r="J45" s="20" t="n">
        <v>0</v>
      </c>
      <c r="K45" s="18" t="n">
        <v>18.17405343</v>
      </c>
      <c r="L45" s="20" t="n">
        <v>1.20963001</v>
      </c>
      <c r="M45" s="18" t="n">
        <v>0.5559982999999999</v>
      </c>
      <c r="N45" s="20" t="n">
        <v>0.24359689</v>
      </c>
      <c r="O45" s="18" t="n">
        <v>0</v>
      </c>
      <c r="P45" s="20" t="n">
        <v>0</v>
      </c>
      <c r="Q45" s="18" t="n">
        <v>16.40788518</v>
      </c>
      <c r="R45" s="20" t="n">
        <v>1.42304809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25.1016231</v>
      </c>
      <c r="F54" s="20" t="n">
        <v>1.59408516</v>
      </c>
      <c r="G54" s="18" t="n">
        <v>30.47380969</v>
      </c>
      <c r="H54" s="20" t="n">
        <v>1.79377995</v>
      </c>
      <c r="I54" s="18" t="n">
        <v>0</v>
      </c>
      <c r="J54" s="20" t="n">
        <v>0</v>
      </c>
      <c r="K54" s="18" t="n">
        <v>18.98866792</v>
      </c>
      <c r="L54" s="20" t="n">
        <v>1.32331045</v>
      </c>
      <c r="M54" s="18" t="n">
        <v>0</v>
      </c>
      <c r="N54" s="20" t="n">
        <v>0</v>
      </c>
      <c r="O54" s="18" t="n">
        <v>0</v>
      </c>
      <c r="P54" s="20" t="n">
        <v>0</v>
      </c>
      <c r="Q54" s="18" t="n">
        <v>25.43589929</v>
      </c>
      <c r="R54" s="20" t="n">
        <v>1.75717005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42.70069452</v>
      </c>
      <c r="F56" s="20" t="n">
        <v>1.78227011</v>
      </c>
      <c r="G56" s="18" t="n">
        <v>47.2958067</v>
      </c>
      <c r="H56" s="20" t="n">
        <v>1.72957248</v>
      </c>
      <c r="I56" s="18" t="n">
        <v>0</v>
      </c>
      <c r="J56" s="20" t="n">
        <v>0</v>
      </c>
      <c r="K56" s="18" t="n">
        <v>6.70317668</v>
      </c>
      <c r="L56" s="20" t="n">
        <v>0.85381505</v>
      </c>
      <c r="M56" s="18" t="n">
        <v>0</v>
      </c>
      <c r="N56" s="20" t="n">
        <v>0</v>
      </c>
      <c r="O56" s="18" t="n">
        <v>0</v>
      </c>
      <c r="P56" s="20" t="n">
        <v>0</v>
      </c>
      <c r="Q56" s="18" t="n">
        <v>3.3003221</v>
      </c>
      <c r="R56" s="20" t="n">
        <v>0.60291058</v>
      </c>
    </row>
    <row r="57" spans="1:18">
      <c r="A57" s="15" t="s">
        <v>480</v>
      </c>
      <c r="B57" s="17" t="n">
        <v>7267</v>
      </c>
      <c r="C57" s="18">
        <f>(6065.0/B57*100)</f>
        <v/>
      </c>
      <c r="D57" s="19" t="n">
        <v>1202</v>
      </c>
      <c r="E57" s="18" t="n">
        <v>25.67967261</v>
      </c>
      <c r="F57" s="20" t="n">
        <v>1.44968634</v>
      </c>
      <c r="G57" s="18" t="n">
        <v>49.0725105</v>
      </c>
      <c r="H57" s="20" t="n">
        <v>2.03633029</v>
      </c>
      <c r="I57" s="18" t="n">
        <v>0</v>
      </c>
      <c r="J57" s="20" t="n">
        <v>0</v>
      </c>
      <c r="K57" s="18" t="n">
        <v>13.03611058</v>
      </c>
      <c r="L57" s="20" t="n">
        <v>1.08729458</v>
      </c>
      <c r="M57" s="18" t="n">
        <v>0</v>
      </c>
      <c r="N57" s="20" t="n">
        <v>0</v>
      </c>
      <c r="O57" s="18" t="n">
        <v>0</v>
      </c>
      <c r="P57" s="20" t="n">
        <v>0</v>
      </c>
      <c r="Q57" s="18" t="n">
        <v>12.21170631</v>
      </c>
      <c r="R57" s="20" t="n">
        <v>1.34133771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54.83686854</v>
      </c>
      <c r="F59" s="20" t="n">
        <v>2.31687975</v>
      </c>
      <c r="G59" s="18" t="n">
        <v>23.1509253</v>
      </c>
      <c r="H59" s="20" t="n">
        <v>2.0995175</v>
      </c>
      <c r="I59" s="18" t="n">
        <v>0</v>
      </c>
      <c r="J59" s="20" t="n">
        <v>0</v>
      </c>
      <c r="K59" s="18" t="n">
        <v>8.18150237</v>
      </c>
      <c r="L59" s="20" t="n">
        <v>0.9215947799999999</v>
      </c>
      <c r="M59" s="18" t="n">
        <v>0</v>
      </c>
      <c r="N59" s="20" t="n">
        <v>0</v>
      </c>
      <c r="O59" s="18" t="n">
        <v>0</v>
      </c>
      <c r="P59" s="20" t="n">
        <v>0</v>
      </c>
      <c r="Q59" s="18" t="n">
        <v>13.83070379</v>
      </c>
      <c r="R59" s="20" t="n">
        <v>1.59656442</v>
      </c>
    </row>
    <row r="60" spans="1:18">
      <c r="A60" s="15" t="s">
        <v>484</v>
      </c>
      <c r="B60" s="17" t="n">
        <v>4546</v>
      </c>
      <c r="C60" s="18">
        <f>(3783.0/B60*100)</f>
        <v/>
      </c>
      <c r="D60" s="19" t="n">
        <v>763</v>
      </c>
      <c r="E60" s="18" t="n">
        <v>25.14437987</v>
      </c>
      <c r="F60" s="20" t="n">
        <v>2.05420293</v>
      </c>
      <c r="G60" s="18" t="n">
        <v>25.76963863</v>
      </c>
      <c r="H60" s="20" t="n">
        <v>1.7938835</v>
      </c>
      <c r="I60" s="18" t="n">
        <v>0</v>
      </c>
      <c r="J60" s="20" t="n">
        <v>0</v>
      </c>
      <c r="K60" s="18" t="n">
        <v>23.04397612</v>
      </c>
      <c r="L60" s="20" t="n">
        <v>1.98426111</v>
      </c>
      <c r="M60" s="18" t="n">
        <v>0</v>
      </c>
      <c r="N60" s="20" t="n">
        <v>0</v>
      </c>
      <c r="O60" s="18" t="n">
        <v>0.15428636</v>
      </c>
      <c r="P60" s="20" t="n">
        <v>0.15383351</v>
      </c>
      <c r="Q60" s="18" t="n">
        <v>25.88771901</v>
      </c>
      <c r="R60" s="20" t="n">
        <v>1.78686915</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22.94379908</v>
      </c>
      <c r="F63" s="20" t="n">
        <v>1.4973694</v>
      </c>
      <c r="G63" s="18" t="n">
        <v>31.17740489</v>
      </c>
      <c r="H63" s="20" t="n">
        <v>1.50456536</v>
      </c>
      <c r="I63" s="18" t="n">
        <v>0</v>
      </c>
      <c r="J63" s="20" t="n">
        <v>0</v>
      </c>
      <c r="K63" s="18" t="n">
        <v>23.32460491</v>
      </c>
      <c r="L63" s="20" t="n">
        <v>1.47914761</v>
      </c>
      <c r="M63" s="18" t="n">
        <v>0</v>
      </c>
      <c r="N63" s="20" t="n">
        <v>0</v>
      </c>
      <c r="O63" s="18" t="n">
        <v>0</v>
      </c>
      <c r="P63" s="20" t="n">
        <v>0</v>
      </c>
      <c r="Q63" s="18" t="n">
        <v>22.55419112</v>
      </c>
      <c r="R63" s="20" t="n">
        <v>1.59027376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17.4815298</v>
      </c>
      <c r="F65" s="20" t="n">
        <v>1.70949079</v>
      </c>
      <c r="G65" s="18" t="n">
        <v>54.93388742</v>
      </c>
      <c r="H65" s="20" t="n">
        <v>1.9816567</v>
      </c>
      <c r="I65" s="18" t="n">
        <v>0</v>
      </c>
      <c r="J65" s="20" t="n">
        <v>0</v>
      </c>
      <c r="K65" s="18" t="n">
        <v>12.43881204</v>
      </c>
      <c r="L65" s="20" t="n">
        <v>1.43373363</v>
      </c>
      <c r="M65" s="18" t="n">
        <v>0</v>
      </c>
      <c r="N65" s="20" t="n">
        <v>0</v>
      </c>
      <c r="O65" s="18" t="n">
        <v>0</v>
      </c>
      <c r="P65" s="20" t="n">
        <v>0</v>
      </c>
      <c r="Q65" s="18" t="n">
        <v>15.14577074</v>
      </c>
      <c r="R65" s="20" t="n">
        <v>1.39809993</v>
      </c>
    </row>
    <row r="66" spans="1:18">
      <c r="A66" s="15" t="s">
        <v>490</v>
      </c>
      <c r="B66" s="17" t="n">
        <v>5325</v>
      </c>
      <c r="C66" s="18">
        <f>(4429.0/B66*100)</f>
        <v/>
      </c>
      <c r="D66" s="19" t="n">
        <v>896</v>
      </c>
      <c r="E66" s="18" t="n">
        <v>15.97738584</v>
      </c>
      <c r="F66" s="20" t="n">
        <v>1.33425851</v>
      </c>
      <c r="G66" s="18" t="n">
        <v>46.84546345</v>
      </c>
      <c r="H66" s="20" t="n">
        <v>1.53001314</v>
      </c>
      <c r="I66" s="18" t="n">
        <v>0</v>
      </c>
      <c r="J66" s="20" t="n">
        <v>0</v>
      </c>
      <c r="K66" s="18" t="n">
        <v>20.64039364</v>
      </c>
      <c r="L66" s="20" t="n">
        <v>1.18044109</v>
      </c>
      <c r="M66" s="18" t="n">
        <v>0</v>
      </c>
      <c r="N66" s="20" t="n">
        <v>0</v>
      </c>
      <c r="O66" s="18" t="n">
        <v>0</v>
      </c>
      <c r="P66" s="20" t="n">
        <v>0</v>
      </c>
      <c r="Q66" s="18" t="n">
        <v>16.53675706</v>
      </c>
      <c r="R66" s="20" t="n">
        <v>1.37110605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34.73091795</v>
      </c>
      <c r="F69" s="20" t="n">
        <v>4.52931979</v>
      </c>
      <c r="G69" s="18" t="n">
        <v>44.93076116</v>
      </c>
      <c r="H69" s="20" t="n">
        <v>4.12429166</v>
      </c>
      <c r="I69" s="18" t="n">
        <v>0</v>
      </c>
      <c r="J69" s="20" t="n">
        <v>0</v>
      </c>
      <c r="K69" s="18" t="n">
        <v>12.57616229</v>
      </c>
      <c r="L69" s="20" t="n">
        <v>2.02374831</v>
      </c>
      <c r="M69" s="18" t="n">
        <v>0</v>
      </c>
      <c r="N69" s="20" t="n">
        <v>0</v>
      </c>
      <c r="O69" s="18" t="n">
        <v>0</v>
      </c>
      <c r="P69" s="20" t="n">
        <v>0</v>
      </c>
      <c r="Q69" s="18" t="n">
        <v>7.7621586</v>
      </c>
      <c r="R69" s="20" t="n">
        <v>1.59490913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48.15011935</v>
      </c>
      <c r="F71" s="20" t="n">
        <v>1.85750487</v>
      </c>
      <c r="G71" s="18" t="n">
        <v>44.68443178</v>
      </c>
      <c r="H71" s="20" t="n">
        <v>1.82968082</v>
      </c>
      <c r="I71" s="18" t="n">
        <v>0</v>
      </c>
      <c r="J71" s="20" t="n">
        <v>0</v>
      </c>
      <c r="K71" s="18" t="n">
        <v>1.64133389</v>
      </c>
      <c r="L71" s="20" t="n">
        <v>0.49953477</v>
      </c>
      <c r="M71" s="18" t="n">
        <v>0</v>
      </c>
      <c r="N71" s="20" t="n">
        <v>0</v>
      </c>
      <c r="O71" s="18" t="n">
        <v>0</v>
      </c>
      <c r="P71" s="20" t="n">
        <v>0</v>
      </c>
      <c r="Q71" s="18" t="n">
        <v>5.52411498</v>
      </c>
      <c r="R71" s="20" t="n">
        <v>0.95045864</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17.89628501</v>
      </c>
      <c r="F76" s="20" t="n">
        <v>1.46108282</v>
      </c>
      <c r="G76" s="18" t="n">
        <v>43.87503555</v>
      </c>
      <c r="H76" s="20" t="n">
        <v>1.82305862</v>
      </c>
      <c r="I76" s="18" t="n">
        <v>0</v>
      </c>
      <c r="J76" s="20" t="n">
        <v>0</v>
      </c>
      <c r="K76" s="18" t="n">
        <v>23.69295377</v>
      </c>
      <c r="L76" s="20" t="n">
        <v>1.67485767</v>
      </c>
      <c r="M76" s="18" t="n">
        <v>0</v>
      </c>
      <c r="N76" s="20" t="n">
        <v>0</v>
      </c>
      <c r="O76" s="18" t="n">
        <v>0</v>
      </c>
      <c r="P76" s="20" t="n">
        <v>0</v>
      </c>
      <c r="Q76" s="18" t="n">
        <v>14.53572568</v>
      </c>
      <c r="R76" s="20" t="n">
        <v>1.48313578</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23.27525637</v>
      </c>
      <c r="F80" s="20" t="n">
        <v>1.72800463</v>
      </c>
      <c r="G80" s="18" t="n">
        <v>73.46486324999999</v>
      </c>
      <c r="H80" s="20" t="n">
        <v>1.78008253</v>
      </c>
      <c r="I80" s="18" t="n">
        <v>0</v>
      </c>
      <c r="J80" s="20" t="n">
        <v>0</v>
      </c>
      <c r="K80" s="18" t="n">
        <v>1.48714345</v>
      </c>
      <c r="L80" s="20" t="n">
        <v>0.32963782</v>
      </c>
      <c r="M80" s="18" t="n">
        <v>0</v>
      </c>
      <c r="N80" s="20" t="n">
        <v>0</v>
      </c>
      <c r="O80" s="18" t="n">
        <v>0</v>
      </c>
      <c r="P80" s="20" t="n">
        <v>0</v>
      </c>
      <c r="Q80" s="18" t="n">
        <v>1.77273693</v>
      </c>
      <c r="R80" s="20" t="n">
        <v>0.49094972</v>
      </c>
    </row>
    <row r="81" spans="1:18">
      <c r="A81" s="15" t="s">
        <v>505</v>
      </c>
      <c r="B81" s="17" t="n">
        <v>1657</v>
      </c>
      <c r="C81" s="18">
        <f>(1391.0/B81*100)</f>
        <v/>
      </c>
      <c r="D81" s="19" t="n">
        <v>266</v>
      </c>
      <c r="E81" s="18" t="n">
        <v>10.26823401</v>
      </c>
      <c r="F81" s="20" t="n">
        <v>1.82953302</v>
      </c>
      <c r="G81" s="18" t="n">
        <v>68.46419383</v>
      </c>
      <c r="H81" s="20" t="n">
        <v>3.44177634</v>
      </c>
      <c r="I81" s="18" t="n">
        <v>0</v>
      </c>
      <c r="J81" s="20" t="n">
        <v>0</v>
      </c>
      <c r="K81" s="18" t="n">
        <v>10.32538602</v>
      </c>
      <c r="L81" s="20" t="n">
        <v>2.29572726</v>
      </c>
      <c r="M81" s="18" t="n">
        <v>0</v>
      </c>
      <c r="N81" s="20" t="n">
        <v>0</v>
      </c>
      <c r="O81" s="18" t="n">
        <v>0</v>
      </c>
      <c r="P81" s="20" t="n">
        <v>0</v>
      </c>
      <c r="Q81" s="18" t="n">
        <v>10.94218614</v>
      </c>
      <c r="R81" s="20" t="n">
        <v>2.07365647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25.4150996</v>
      </c>
      <c r="F44" s="20" t="n">
        <v>2.09641269</v>
      </c>
      <c r="G44" s="18" t="n">
        <v>53.67344779</v>
      </c>
      <c r="H44" s="20" t="n">
        <v>2.46643188</v>
      </c>
      <c r="I44" s="18" t="n">
        <v>0</v>
      </c>
      <c r="J44" s="20" t="n">
        <v>0</v>
      </c>
      <c r="K44" s="18" t="n">
        <v>15.65672447</v>
      </c>
      <c r="L44" s="20" t="n">
        <v>1.68826607</v>
      </c>
      <c r="M44" s="18" t="n">
        <v>0</v>
      </c>
      <c r="N44" s="20" t="n">
        <v>0</v>
      </c>
      <c r="O44" s="18" t="n">
        <v>0</v>
      </c>
      <c r="P44" s="20" t="n">
        <v>0</v>
      </c>
      <c r="Q44" s="18" t="n">
        <v>5.25472814</v>
      </c>
      <c r="R44" s="20" t="n">
        <v>1.03034006</v>
      </c>
    </row>
    <row r="45" spans="1:18">
      <c r="A45" s="15" t="s">
        <v>468</v>
      </c>
      <c r="B45" s="17" t="n">
        <v>5519</v>
      </c>
      <c r="C45" s="18">
        <f>(4604.0/B45*100)</f>
        <v/>
      </c>
      <c r="D45" s="19" t="n">
        <v>915</v>
      </c>
      <c r="E45" s="18" t="n">
        <v>40.00299969</v>
      </c>
      <c r="F45" s="20" t="n">
        <v>1.70617615</v>
      </c>
      <c r="G45" s="18" t="n">
        <v>33.45517522</v>
      </c>
      <c r="H45" s="20" t="n">
        <v>1.63186271</v>
      </c>
      <c r="I45" s="18" t="n">
        <v>0</v>
      </c>
      <c r="J45" s="20" t="n">
        <v>0</v>
      </c>
      <c r="K45" s="18" t="n">
        <v>21.29566052</v>
      </c>
      <c r="L45" s="20" t="n">
        <v>1.10561604</v>
      </c>
      <c r="M45" s="18" t="n">
        <v>0.66429113</v>
      </c>
      <c r="N45" s="20" t="n">
        <v>0.27420623</v>
      </c>
      <c r="O45" s="18" t="n">
        <v>0.08211284000000001</v>
      </c>
      <c r="P45" s="20" t="n">
        <v>0.08331569</v>
      </c>
      <c r="Q45" s="18" t="n">
        <v>4.49976059</v>
      </c>
      <c r="R45" s="20" t="n">
        <v>0.72113744</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25.56031181</v>
      </c>
      <c r="F54" s="20" t="n">
        <v>1.46519755</v>
      </c>
      <c r="G54" s="18" t="n">
        <v>47.06818496</v>
      </c>
      <c r="H54" s="20" t="n">
        <v>1.67216661</v>
      </c>
      <c r="I54" s="18" t="n">
        <v>0</v>
      </c>
      <c r="J54" s="20" t="n">
        <v>0</v>
      </c>
      <c r="K54" s="18" t="n">
        <v>21.96181248</v>
      </c>
      <c r="L54" s="20" t="n">
        <v>1.45761337</v>
      </c>
      <c r="M54" s="18" t="n">
        <v>0</v>
      </c>
      <c r="N54" s="20" t="n">
        <v>0</v>
      </c>
      <c r="O54" s="18" t="n">
        <v>0</v>
      </c>
      <c r="P54" s="20" t="n">
        <v>0</v>
      </c>
      <c r="Q54" s="18" t="n">
        <v>5.40969076</v>
      </c>
      <c r="R54" s="20" t="n">
        <v>0.85267518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51.70529929</v>
      </c>
      <c r="F56" s="20" t="n">
        <v>1.45589632</v>
      </c>
      <c r="G56" s="18" t="n">
        <v>36.47294761</v>
      </c>
      <c r="H56" s="20" t="n">
        <v>1.74391323</v>
      </c>
      <c r="I56" s="18" t="n">
        <v>0</v>
      </c>
      <c r="J56" s="20" t="n">
        <v>0</v>
      </c>
      <c r="K56" s="18" t="n">
        <v>10.18415737</v>
      </c>
      <c r="L56" s="20" t="n">
        <v>1.19593212</v>
      </c>
      <c r="M56" s="18" t="n">
        <v>0</v>
      </c>
      <c r="N56" s="20" t="n">
        <v>0</v>
      </c>
      <c r="O56" s="18" t="n">
        <v>0</v>
      </c>
      <c r="P56" s="20" t="n">
        <v>0</v>
      </c>
      <c r="Q56" s="18" t="n">
        <v>1.63759573</v>
      </c>
      <c r="R56" s="20" t="n">
        <v>0.47679898</v>
      </c>
    </row>
    <row r="57" spans="1:18">
      <c r="A57" s="15" t="s">
        <v>480</v>
      </c>
      <c r="B57" s="17" t="n">
        <v>7267</v>
      </c>
      <c r="C57" s="18">
        <f>(6065.0/B57*100)</f>
        <v/>
      </c>
      <c r="D57" s="19" t="n">
        <v>1202</v>
      </c>
      <c r="E57" s="18" t="n">
        <v>39.73415472</v>
      </c>
      <c r="F57" s="20" t="n">
        <v>1.69287806</v>
      </c>
      <c r="G57" s="18" t="n">
        <v>42.58312439</v>
      </c>
      <c r="H57" s="20" t="n">
        <v>1.62030443</v>
      </c>
      <c r="I57" s="18" t="n">
        <v>0</v>
      </c>
      <c r="J57" s="20" t="n">
        <v>0</v>
      </c>
      <c r="K57" s="18" t="n">
        <v>16.24734492</v>
      </c>
      <c r="L57" s="20" t="n">
        <v>1.29172499</v>
      </c>
      <c r="M57" s="18" t="n">
        <v>0</v>
      </c>
      <c r="N57" s="20" t="n">
        <v>0</v>
      </c>
      <c r="O57" s="18" t="n">
        <v>0</v>
      </c>
      <c r="P57" s="20" t="n">
        <v>0</v>
      </c>
      <c r="Q57" s="18" t="n">
        <v>1.43537597</v>
      </c>
      <c r="R57" s="20" t="n">
        <v>0.38027015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46.55370453</v>
      </c>
      <c r="F59" s="20" t="n">
        <v>2.20288918</v>
      </c>
      <c r="G59" s="18" t="n">
        <v>38.11621678</v>
      </c>
      <c r="H59" s="20" t="n">
        <v>2.40521717</v>
      </c>
      <c r="I59" s="18" t="n">
        <v>0</v>
      </c>
      <c r="J59" s="20" t="n">
        <v>0</v>
      </c>
      <c r="K59" s="18" t="n">
        <v>11.35608955</v>
      </c>
      <c r="L59" s="20" t="n">
        <v>1.02265939</v>
      </c>
      <c r="M59" s="18" t="n">
        <v>0</v>
      </c>
      <c r="N59" s="20" t="n">
        <v>0</v>
      </c>
      <c r="O59" s="18" t="n">
        <v>0</v>
      </c>
      <c r="P59" s="20" t="n">
        <v>0</v>
      </c>
      <c r="Q59" s="18" t="n">
        <v>3.97398913</v>
      </c>
      <c r="R59" s="20" t="n">
        <v>0.82493757</v>
      </c>
    </row>
    <row r="60" spans="1:18">
      <c r="A60" s="15" t="s">
        <v>484</v>
      </c>
      <c r="B60" s="17" t="n">
        <v>4546</v>
      </c>
      <c r="C60" s="18">
        <f>(3783.0/B60*100)</f>
        <v/>
      </c>
      <c r="D60" s="19" t="n">
        <v>763</v>
      </c>
      <c r="E60" s="18" t="n">
        <v>33.89323079</v>
      </c>
      <c r="F60" s="20" t="n">
        <v>2.08595683</v>
      </c>
      <c r="G60" s="18" t="n">
        <v>36.58412056</v>
      </c>
      <c r="H60" s="20" t="n">
        <v>2.17351974</v>
      </c>
      <c r="I60" s="18" t="n">
        <v>0</v>
      </c>
      <c r="J60" s="20" t="n">
        <v>0</v>
      </c>
      <c r="K60" s="18" t="n">
        <v>26.38041898</v>
      </c>
      <c r="L60" s="20" t="n">
        <v>1.96258406</v>
      </c>
      <c r="M60" s="18" t="n">
        <v>0</v>
      </c>
      <c r="N60" s="20" t="n">
        <v>0</v>
      </c>
      <c r="O60" s="18" t="n">
        <v>0.25999723</v>
      </c>
      <c r="P60" s="20" t="n">
        <v>0.18339819</v>
      </c>
      <c r="Q60" s="18" t="n">
        <v>2.88223243</v>
      </c>
      <c r="R60" s="20" t="n">
        <v>0.70516711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28.92378515</v>
      </c>
      <c r="F63" s="20" t="n">
        <v>1.78150672</v>
      </c>
      <c r="G63" s="18" t="n">
        <v>39.51246667</v>
      </c>
      <c r="H63" s="20" t="n">
        <v>1.94011758</v>
      </c>
      <c r="I63" s="18" t="n">
        <v>0</v>
      </c>
      <c r="J63" s="20" t="n">
        <v>0</v>
      </c>
      <c r="K63" s="18" t="n">
        <v>25.72292212</v>
      </c>
      <c r="L63" s="20" t="n">
        <v>1.62326378</v>
      </c>
      <c r="M63" s="18" t="n">
        <v>0</v>
      </c>
      <c r="N63" s="20" t="n">
        <v>0</v>
      </c>
      <c r="O63" s="18" t="n">
        <v>0</v>
      </c>
      <c r="P63" s="20" t="n">
        <v>0</v>
      </c>
      <c r="Q63" s="18" t="n">
        <v>5.84082605</v>
      </c>
      <c r="R63" s="20" t="n">
        <v>0.93911434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21.39330601</v>
      </c>
      <c r="F65" s="20" t="n">
        <v>1.81660171</v>
      </c>
      <c r="G65" s="18" t="n">
        <v>61.97247645</v>
      </c>
      <c r="H65" s="20" t="n">
        <v>1.95289586</v>
      </c>
      <c r="I65" s="18" t="n">
        <v>0</v>
      </c>
      <c r="J65" s="20" t="n">
        <v>0</v>
      </c>
      <c r="K65" s="18" t="n">
        <v>14.06606248</v>
      </c>
      <c r="L65" s="20" t="n">
        <v>1.51216839</v>
      </c>
      <c r="M65" s="18" t="n">
        <v>0</v>
      </c>
      <c r="N65" s="20" t="n">
        <v>0</v>
      </c>
      <c r="O65" s="18" t="n">
        <v>0</v>
      </c>
      <c r="P65" s="20" t="n">
        <v>0</v>
      </c>
      <c r="Q65" s="18" t="n">
        <v>2.56815506</v>
      </c>
      <c r="R65" s="20" t="n">
        <v>0.67133656</v>
      </c>
    </row>
    <row r="66" spans="1:18">
      <c r="A66" s="15" t="s">
        <v>490</v>
      </c>
      <c r="B66" s="17" t="n">
        <v>5325</v>
      </c>
      <c r="C66" s="18">
        <f>(4429.0/B66*100)</f>
        <v/>
      </c>
      <c r="D66" s="19" t="n">
        <v>896</v>
      </c>
      <c r="E66" s="18" t="n">
        <v>19.38994072</v>
      </c>
      <c r="F66" s="20" t="n">
        <v>1.1495679</v>
      </c>
      <c r="G66" s="18" t="n">
        <v>52.25993775</v>
      </c>
      <c r="H66" s="20" t="n">
        <v>1.5529051</v>
      </c>
      <c r="I66" s="18" t="n">
        <v>0</v>
      </c>
      <c r="J66" s="20" t="n">
        <v>0</v>
      </c>
      <c r="K66" s="18" t="n">
        <v>23.40739552</v>
      </c>
      <c r="L66" s="20" t="n">
        <v>1.24213099</v>
      </c>
      <c r="M66" s="18" t="n">
        <v>0</v>
      </c>
      <c r="N66" s="20" t="n">
        <v>0</v>
      </c>
      <c r="O66" s="18" t="n">
        <v>0</v>
      </c>
      <c r="P66" s="20" t="n">
        <v>0</v>
      </c>
      <c r="Q66" s="18" t="n">
        <v>4.94272601</v>
      </c>
      <c r="R66" s="20" t="n">
        <v>0.76536137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32.75460339</v>
      </c>
      <c r="F69" s="20" t="n">
        <v>4.37684481</v>
      </c>
      <c r="G69" s="18" t="n">
        <v>48.03037875</v>
      </c>
      <c r="H69" s="20" t="n">
        <v>4.19941588</v>
      </c>
      <c r="I69" s="18" t="n">
        <v>0</v>
      </c>
      <c r="J69" s="20" t="n">
        <v>0</v>
      </c>
      <c r="K69" s="18" t="n">
        <v>16.73065162</v>
      </c>
      <c r="L69" s="20" t="n">
        <v>2.74273948</v>
      </c>
      <c r="M69" s="18" t="n">
        <v>0</v>
      </c>
      <c r="N69" s="20" t="n">
        <v>0</v>
      </c>
      <c r="O69" s="18" t="n">
        <v>0</v>
      </c>
      <c r="P69" s="20" t="n">
        <v>0</v>
      </c>
      <c r="Q69" s="18" t="n">
        <v>2.48436624</v>
      </c>
      <c r="R69" s="20" t="n">
        <v>0.93829893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38.35892082</v>
      </c>
      <c r="F71" s="20" t="n">
        <v>2.18187882</v>
      </c>
      <c r="G71" s="18" t="n">
        <v>58.37186299</v>
      </c>
      <c r="H71" s="20" t="n">
        <v>2.22434407</v>
      </c>
      <c r="I71" s="18" t="n">
        <v>0</v>
      </c>
      <c r="J71" s="20" t="n">
        <v>0</v>
      </c>
      <c r="K71" s="18" t="n">
        <v>1.99432009</v>
      </c>
      <c r="L71" s="20" t="n">
        <v>0.53725422</v>
      </c>
      <c r="M71" s="18" t="n">
        <v>0</v>
      </c>
      <c r="N71" s="20" t="n">
        <v>0</v>
      </c>
      <c r="O71" s="18" t="n">
        <v>0</v>
      </c>
      <c r="P71" s="20" t="n">
        <v>0</v>
      </c>
      <c r="Q71" s="18" t="n">
        <v>1.2748961</v>
      </c>
      <c r="R71" s="20" t="n">
        <v>0.38286591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23.21310792</v>
      </c>
      <c r="F76" s="20" t="n">
        <v>1.79833535</v>
      </c>
      <c r="G76" s="18" t="n">
        <v>45.58712795</v>
      </c>
      <c r="H76" s="20" t="n">
        <v>2.01715486</v>
      </c>
      <c r="I76" s="18" t="n">
        <v>0</v>
      </c>
      <c r="J76" s="20" t="n">
        <v>0</v>
      </c>
      <c r="K76" s="18" t="n">
        <v>28.45904813</v>
      </c>
      <c r="L76" s="20" t="n">
        <v>1.98519189</v>
      </c>
      <c r="M76" s="18" t="n">
        <v>0</v>
      </c>
      <c r="N76" s="20" t="n">
        <v>0</v>
      </c>
      <c r="O76" s="18" t="n">
        <v>0</v>
      </c>
      <c r="P76" s="20" t="n">
        <v>0</v>
      </c>
      <c r="Q76" s="18" t="n">
        <v>2.74071599</v>
      </c>
      <c r="R76" s="20" t="n">
        <v>0.58670362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38.31326069</v>
      </c>
      <c r="F80" s="20" t="n">
        <v>2.02134786</v>
      </c>
      <c r="G80" s="18" t="n">
        <v>58.60459491</v>
      </c>
      <c r="H80" s="20" t="n">
        <v>2.0093257</v>
      </c>
      <c r="I80" s="18" t="n">
        <v>0</v>
      </c>
      <c r="J80" s="20" t="n">
        <v>0</v>
      </c>
      <c r="K80" s="18" t="n">
        <v>2.83225944</v>
      </c>
      <c r="L80" s="20" t="n">
        <v>0.54026087</v>
      </c>
      <c r="M80" s="18" t="n">
        <v>0</v>
      </c>
      <c r="N80" s="20" t="n">
        <v>0</v>
      </c>
      <c r="O80" s="18" t="n">
        <v>0</v>
      </c>
      <c r="P80" s="20" t="n">
        <v>0</v>
      </c>
      <c r="Q80" s="18" t="n">
        <v>0.24988497</v>
      </c>
      <c r="R80" s="20" t="n">
        <v>0.14944352</v>
      </c>
    </row>
    <row r="81" spans="1:18">
      <c r="A81" s="15" t="s">
        <v>505</v>
      </c>
      <c r="B81" s="17" t="n">
        <v>1657</v>
      </c>
      <c r="C81" s="18">
        <f>(1391.0/B81*100)</f>
        <v/>
      </c>
      <c r="D81" s="19" t="n">
        <v>266</v>
      </c>
      <c r="E81" s="18" t="n">
        <v>17.37615093</v>
      </c>
      <c r="F81" s="20" t="n">
        <v>2.46031301</v>
      </c>
      <c r="G81" s="18" t="n">
        <v>67.94371592</v>
      </c>
      <c r="H81" s="20" t="n">
        <v>3.48009053</v>
      </c>
      <c r="I81" s="18" t="n">
        <v>0</v>
      </c>
      <c r="J81" s="20" t="n">
        <v>0</v>
      </c>
      <c r="K81" s="18" t="n">
        <v>13.36229155</v>
      </c>
      <c r="L81" s="20" t="n">
        <v>2.47062453</v>
      </c>
      <c r="M81" s="18" t="n">
        <v>0</v>
      </c>
      <c r="N81" s="20" t="n">
        <v>0</v>
      </c>
      <c r="O81" s="18" t="n">
        <v>0</v>
      </c>
      <c r="P81" s="20" t="n">
        <v>0</v>
      </c>
      <c r="Q81" s="18" t="n">
        <v>1.3178416</v>
      </c>
      <c r="R81" s="20" t="n">
        <v>0.68222969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(4364.0/B44*100)</f>
        <v/>
      </c>
      <c r="D44" s="19" t="n">
        <v>851</v>
      </c>
      <c r="E44" s="18" t="n">
        <v>53.58613956</v>
      </c>
      <c r="F44" s="20" t="n">
        <v>2.14535747</v>
      </c>
      <c r="G44" s="18" t="n">
        <v>24.90240929</v>
      </c>
      <c r="H44" s="20" t="n">
        <v>1.91853169</v>
      </c>
      <c r="I44" s="18" t="n">
        <v>0</v>
      </c>
      <c r="J44" s="20" t="n">
        <v>0</v>
      </c>
      <c r="K44" s="18" t="n">
        <v>17.58252233</v>
      </c>
      <c r="L44" s="20" t="n">
        <v>1.7008348</v>
      </c>
      <c r="M44" s="18" t="n">
        <v>0</v>
      </c>
      <c r="N44" s="20" t="n">
        <v>0</v>
      </c>
      <c r="O44" s="18" t="n">
        <v>0</v>
      </c>
      <c r="P44" s="20" t="n">
        <v>0</v>
      </c>
      <c r="Q44" s="18" t="n">
        <v>3.92892881</v>
      </c>
      <c r="R44" s="20" t="n">
        <v>0.72235535</v>
      </c>
    </row>
    <row r="45" spans="1:18">
      <c r="A45" s="15" t="s">
        <v>468</v>
      </c>
      <c r="B45" s="17" t="n">
        <v>5519</v>
      </c>
      <c r="C45" s="18">
        <f>(4604.0/B45*100)</f>
        <v/>
      </c>
      <c r="D45" s="19" t="n">
        <v>915</v>
      </c>
      <c r="E45" s="18" t="n">
        <v>56.35442824</v>
      </c>
      <c r="F45" s="20" t="n">
        <v>1.67300655</v>
      </c>
      <c r="G45" s="18" t="n">
        <v>15.47590592</v>
      </c>
      <c r="H45" s="20" t="n">
        <v>1.30476607</v>
      </c>
      <c r="I45" s="18" t="n">
        <v>0</v>
      </c>
      <c r="J45" s="20" t="n">
        <v>0</v>
      </c>
      <c r="K45" s="18" t="n">
        <v>23.11472819</v>
      </c>
      <c r="L45" s="20" t="n">
        <v>1.20420825</v>
      </c>
      <c r="M45" s="18" t="n">
        <v>0.66429113</v>
      </c>
      <c r="N45" s="20" t="n">
        <v>0.27420623</v>
      </c>
      <c r="O45" s="18" t="n">
        <v>0.08211284000000001</v>
      </c>
      <c r="P45" s="20" t="n">
        <v>0.08331569</v>
      </c>
      <c r="Q45" s="18" t="n">
        <v>4.30853368</v>
      </c>
      <c r="R45" s="20" t="n">
        <v>0.89128592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(4424.0/B54*100)</f>
        <v/>
      </c>
      <c r="D54" s="19" t="n">
        <v>892</v>
      </c>
      <c r="E54" s="18" t="n">
        <v>52.36656615</v>
      </c>
      <c r="F54" s="20" t="n">
        <v>1.78278812</v>
      </c>
      <c r="G54" s="18" t="n">
        <v>19.82148482</v>
      </c>
      <c r="H54" s="20" t="n">
        <v>1.36254628</v>
      </c>
      <c r="I54" s="18" t="n">
        <v>0</v>
      </c>
      <c r="J54" s="20" t="n">
        <v>0</v>
      </c>
      <c r="K54" s="18" t="n">
        <v>23.6806706</v>
      </c>
      <c r="L54" s="20" t="n">
        <v>1.52894042</v>
      </c>
      <c r="M54" s="18" t="n">
        <v>0</v>
      </c>
      <c r="N54" s="20" t="n">
        <v>0</v>
      </c>
      <c r="O54" s="18" t="n">
        <v>0</v>
      </c>
      <c r="P54" s="20" t="n">
        <v>0</v>
      </c>
      <c r="Q54" s="18" t="n">
        <v>4.13127843</v>
      </c>
      <c r="R54" s="20" t="n">
        <v>0.66738073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(5421.0/B56*100)</f>
        <v/>
      </c>
      <c r="D56" s="19" t="n">
        <v>1092</v>
      </c>
      <c r="E56" s="18" t="n">
        <v>49.47717989</v>
      </c>
      <c r="F56" s="20" t="n">
        <v>1.77264386</v>
      </c>
      <c r="G56" s="18" t="n">
        <v>39.1912061</v>
      </c>
      <c r="H56" s="20" t="n">
        <v>1.77177879</v>
      </c>
      <c r="I56" s="18" t="n">
        <v>0</v>
      </c>
      <c r="J56" s="20" t="n">
        <v>0</v>
      </c>
      <c r="K56" s="18" t="n">
        <v>10.34204092</v>
      </c>
      <c r="L56" s="20" t="n">
        <v>1.19966662</v>
      </c>
      <c r="M56" s="18" t="n">
        <v>0</v>
      </c>
      <c r="N56" s="20" t="n">
        <v>0</v>
      </c>
      <c r="O56" s="18" t="n">
        <v>0</v>
      </c>
      <c r="P56" s="20" t="n">
        <v>0</v>
      </c>
      <c r="Q56" s="18" t="n">
        <v>0.98957309</v>
      </c>
      <c r="R56" s="20" t="n">
        <v>0.29793581</v>
      </c>
    </row>
    <row r="57" spans="1:18">
      <c r="A57" s="15" t="s">
        <v>480</v>
      </c>
      <c r="B57" s="17" t="n">
        <v>7267</v>
      </c>
      <c r="C57" s="18">
        <f>(6065.0/B57*100)</f>
        <v/>
      </c>
      <c r="D57" s="19" t="n">
        <v>1202</v>
      </c>
      <c r="E57" s="18" t="n">
        <v>63.8791308</v>
      </c>
      <c r="F57" s="20" t="n">
        <v>1.81778428</v>
      </c>
      <c r="G57" s="18" t="n">
        <v>17.53778102</v>
      </c>
      <c r="H57" s="20" t="n">
        <v>1.32323861</v>
      </c>
      <c r="I57" s="18" t="n">
        <v>0</v>
      </c>
      <c r="J57" s="20" t="n">
        <v>0</v>
      </c>
      <c r="K57" s="18" t="n">
        <v>17.21197603</v>
      </c>
      <c r="L57" s="20" t="n">
        <v>1.34360052</v>
      </c>
      <c r="M57" s="18" t="n">
        <v>0</v>
      </c>
      <c r="N57" s="20" t="n">
        <v>0</v>
      </c>
      <c r="O57" s="18" t="n">
        <v>0</v>
      </c>
      <c r="P57" s="20" t="n">
        <v>0</v>
      </c>
      <c r="Q57" s="18" t="n">
        <v>1.37111215</v>
      </c>
      <c r="R57" s="20" t="n">
        <v>0.38348478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65.66925469</v>
      </c>
      <c r="F59" s="20" t="n">
        <v>1.8377338</v>
      </c>
      <c r="G59" s="18" t="n">
        <v>18.41058009</v>
      </c>
      <c r="H59" s="20" t="n">
        <v>1.63531808</v>
      </c>
      <c r="I59" s="18" t="n">
        <v>0</v>
      </c>
      <c r="J59" s="20" t="n">
        <v>0</v>
      </c>
      <c r="K59" s="18" t="n">
        <v>11.96637095</v>
      </c>
      <c r="L59" s="20" t="n">
        <v>1.06429806</v>
      </c>
      <c r="M59" s="18" t="n">
        <v>0</v>
      </c>
      <c r="N59" s="20" t="n">
        <v>0</v>
      </c>
      <c r="O59" s="18" t="n">
        <v>0</v>
      </c>
      <c r="P59" s="20" t="n">
        <v>0</v>
      </c>
      <c r="Q59" s="18" t="n">
        <v>3.95379427</v>
      </c>
      <c r="R59" s="20" t="n">
        <v>0.942702</v>
      </c>
    </row>
    <row r="60" spans="1:18">
      <c r="A60" s="15" t="s">
        <v>484</v>
      </c>
      <c r="B60" s="17" t="n">
        <v>4546</v>
      </c>
      <c r="C60" s="18">
        <f>(3783.0/B60*100)</f>
        <v/>
      </c>
      <c r="D60" s="19" t="n">
        <v>763</v>
      </c>
      <c r="E60" s="18" t="n">
        <v>58.57806002</v>
      </c>
      <c r="F60" s="20" t="n">
        <v>2.26517777</v>
      </c>
      <c r="G60" s="18" t="n">
        <v>9.926173199999999</v>
      </c>
      <c r="H60" s="20" t="n">
        <v>1.24627725</v>
      </c>
      <c r="I60" s="18" t="n">
        <v>0</v>
      </c>
      <c r="J60" s="20" t="n">
        <v>0</v>
      </c>
      <c r="K60" s="18" t="n">
        <v>27.86488437</v>
      </c>
      <c r="L60" s="20" t="n">
        <v>2.02977863</v>
      </c>
      <c r="M60" s="18" t="n">
        <v>0</v>
      </c>
      <c r="N60" s="20" t="n">
        <v>0</v>
      </c>
      <c r="O60" s="18" t="n">
        <v>0.25999723</v>
      </c>
      <c r="P60" s="20" t="n">
        <v>0.18339819</v>
      </c>
      <c r="Q60" s="18" t="n">
        <v>3.37088518</v>
      </c>
      <c r="R60" s="20" t="n">
        <v>0.90207019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(4430.0/B63*100)</f>
        <v/>
      </c>
      <c r="D63" s="19" t="n">
        <v>894</v>
      </c>
      <c r="E63" s="18" t="n">
        <v>51.27833757</v>
      </c>
      <c r="F63" s="20" t="n">
        <v>1.73746935</v>
      </c>
      <c r="G63" s="18" t="n">
        <v>15.8157145</v>
      </c>
      <c r="H63" s="20" t="n">
        <v>1.42941389</v>
      </c>
      <c r="I63" s="18" t="n">
        <v>0</v>
      </c>
      <c r="J63" s="20" t="n">
        <v>0</v>
      </c>
      <c r="K63" s="18" t="n">
        <v>27.57600257</v>
      </c>
      <c r="L63" s="20" t="n">
        <v>1.61485954</v>
      </c>
      <c r="M63" s="18" t="n">
        <v>0</v>
      </c>
      <c r="N63" s="20" t="n">
        <v>0</v>
      </c>
      <c r="O63" s="18" t="n">
        <v>0</v>
      </c>
      <c r="P63" s="20" t="n">
        <v>0</v>
      </c>
      <c r="Q63" s="18" t="n">
        <v>5.32994536</v>
      </c>
      <c r="R63" s="20" t="n">
        <v>0.76777247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(3039.0/B65*100)</f>
        <v/>
      </c>
      <c r="D65" s="19" t="n">
        <v>595</v>
      </c>
      <c r="E65" s="18" t="n">
        <v>61.24412328</v>
      </c>
      <c r="F65" s="20" t="n">
        <v>1.77007856</v>
      </c>
      <c r="G65" s="18" t="n">
        <v>20.95502136</v>
      </c>
      <c r="H65" s="20" t="n">
        <v>1.77587402</v>
      </c>
      <c r="I65" s="18" t="n">
        <v>0</v>
      </c>
      <c r="J65" s="20" t="n">
        <v>0</v>
      </c>
      <c r="K65" s="18" t="n">
        <v>15.65185239</v>
      </c>
      <c r="L65" s="20" t="n">
        <v>1.53797077</v>
      </c>
      <c r="M65" s="18" t="n">
        <v>0</v>
      </c>
      <c r="N65" s="20" t="n">
        <v>0</v>
      </c>
      <c r="O65" s="18" t="n">
        <v>0</v>
      </c>
      <c r="P65" s="20" t="n">
        <v>0</v>
      </c>
      <c r="Q65" s="18" t="n">
        <v>2.14900297</v>
      </c>
      <c r="R65" s="20" t="n">
        <v>0.64569463</v>
      </c>
    </row>
    <row r="66" spans="1:18">
      <c r="A66" s="15" t="s">
        <v>490</v>
      </c>
      <c r="B66" s="17" t="n">
        <v>5325</v>
      </c>
      <c r="C66" s="18">
        <f>(4429.0/B66*100)</f>
        <v/>
      </c>
      <c r="D66" s="19" t="n">
        <v>896</v>
      </c>
      <c r="E66" s="18" t="n">
        <v>56.50194147</v>
      </c>
      <c r="F66" s="20" t="n">
        <v>1.64184787</v>
      </c>
      <c r="G66" s="18" t="n">
        <v>14.6505674</v>
      </c>
      <c r="H66" s="20" t="n">
        <v>1.06933805</v>
      </c>
      <c r="I66" s="18" t="n">
        <v>0</v>
      </c>
      <c r="J66" s="20" t="n">
        <v>0</v>
      </c>
      <c r="K66" s="18" t="n">
        <v>25.12720419</v>
      </c>
      <c r="L66" s="20" t="n">
        <v>1.24662367</v>
      </c>
      <c r="M66" s="18" t="n">
        <v>0</v>
      </c>
      <c r="N66" s="20" t="n">
        <v>0</v>
      </c>
      <c r="O66" s="18" t="n">
        <v>0</v>
      </c>
      <c r="P66" s="20" t="n">
        <v>0</v>
      </c>
      <c r="Q66" s="18" t="n">
        <v>3.72028694</v>
      </c>
      <c r="R66" s="20" t="n">
        <v>0.64158779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(1166.0/B69*100)</f>
        <v/>
      </c>
      <c r="D69" s="19" t="n">
        <v>232</v>
      </c>
      <c r="E69" s="18" t="n">
        <v>63.09929169</v>
      </c>
      <c r="F69" s="20" t="n">
        <v>3.23383225</v>
      </c>
      <c r="G69" s="18" t="n">
        <v>17.22037439</v>
      </c>
      <c r="H69" s="20" t="n">
        <v>2.23052809</v>
      </c>
      <c r="I69" s="18" t="n">
        <v>0</v>
      </c>
      <c r="J69" s="20" t="n">
        <v>0</v>
      </c>
      <c r="K69" s="18" t="n">
        <v>18.69415651</v>
      </c>
      <c r="L69" s="20" t="n">
        <v>2.65051313</v>
      </c>
      <c r="M69" s="18" t="n">
        <v>0</v>
      </c>
      <c r="N69" s="20" t="n">
        <v>0</v>
      </c>
      <c r="O69" s="18" t="n">
        <v>0</v>
      </c>
      <c r="P69" s="20" t="n">
        <v>0</v>
      </c>
      <c r="Q69" s="18" t="n">
        <v>0.98617741</v>
      </c>
      <c r="R69" s="20" t="n">
        <v>0.74707656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(4051.0/B71*100)</f>
        <v/>
      </c>
      <c r="D71" s="19" t="n">
        <v>825</v>
      </c>
      <c r="E71" s="18" t="n">
        <v>72.17499572</v>
      </c>
      <c r="F71" s="20" t="n">
        <v>1.78511193</v>
      </c>
      <c r="G71" s="18" t="n">
        <v>24.66019286</v>
      </c>
      <c r="H71" s="20" t="n">
        <v>1.70997072</v>
      </c>
      <c r="I71" s="18" t="n">
        <v>0</v>
      </c>
      <c r="J71" s="20" t="n">
        <v>0</v>
      </c>
      <c r="K71" s="18" t="n">
        <v>2.35815915</v>
      </c>
      <c r="L71" s="20" t="n">
        <v>0.69116548</v>
      </c>
      <c r="M71" s="18" t="n">
        <v>0</v>
      </c>
      <c r="N71" s="20" t="n">
        <v>0</v>
      </c>
      <c r="O71" s="18" t="n">
        <v>0</v>
      </c>
      <c r="P71" s="20" t="n">
        <v>0</v>
      </c>
      <c r="Q71" s="18" t="n">
        <v>0.8066522699999999</v>
      </c>
      <c r="R71" s="20" t="n">
        <v>0.24781045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(3904.0/B76*100)</f>
        <v/>
      </c>
      <c r="D76" s="19" t="n">
        <v>788</v>
      </c>
      <c r="E76" s="18" t="n">
        <v>50.9345893</v>
      </c>
      <c r="F76" s="20" t="n">
        <v>2.02269842</v>
      </c>
      <c r="G76" s="18" t="n">
        <v>16.55859167</v>
      </c>
      <c r="H76" s="20" t="n">
        <v>1.38729127</v>
      </c>
      <c r="I76" s="18" t="n">
        <v>0</v>
      </c>
      <c r="J76" s="20" t="n">
        <v>0</v>
      </c>
      <c r="K76" s="18" t="n">
        <v>30.69827163</v>
      </c>
      <c r="L76" s="20" t="n">
        <v>2.03040596</v>
      </c>
      <c r="M76" s="18" t="n">
        <v>0</v>
      </c>
      <c r="N76" s="20" t="n">
        <v>0</v>
      </c>
      <c r="O76" s="18" t="n">
        <v>0</v>
      </c>
      <c r="P76" s="20" t="n">
        <v>0</v>
      </c>
      <c r="Q76" s="18" t="n">
        <v>1.80854741</v>
      </c>
      <c r="R76" s="20" t="n">
        <v>0.56902467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(4843.0/B80*100)</f>
        <v/>
      </c>
      <c r="D80" s="19" t="n">
        <v>983</v>
      </c>
      <c r="E80" s="18" t="n">
        <v>85.41104029</v>
      </c>
      <c r="F80" s="20" t="n">
        <v>1.18805062</v>
      </c>
      <c r="G80" s="18" t="n">
        <v>11.44108964</v>
      </c>
      <c r="H80" s="20" t="n">
        <v>1.09176547</v>
      </c>
      <c r="I80" s="18" t="n">
        <v>0</v>
      </c>
      <c r="J80" s="20" t="n">
        <v>0</v>
      </c>
      <c r="K80" s="18" t="n">
        <v>3.04498503</v>
      </c>
      <c r="L80" s="20" t="n">
        <v>0.5581322</v>
      </c>
      <c r="M80" s="18" t="n">
        <v>0</v>
      </c>
      <c r="N80" s="20" t="n">
        <v>0</v>
      </c>
      <c r="O80" s="18" t="n">
        <v>0</v>
      </c>
      <c r="P80" s="20" t="n">
        <v>0</v>
      </c>
      <c r="Q80" s="18" t="n">
        <v>0.10288504</v>
      </c>
      <c r="R80" s="20" t="n">
        <v>0.10276148</v>
      </c>
    </row>
    <row r="81" spans="1:18">
      <c r="A81" s="15" t="s">
        <v>505</v>
      </c>
      <c r="B81" s="17" t="n">
        <v>1657</v>
      </c>
      <c r="C81" s="18">
        <f>(1391.0/B81*100)</f>
        <v/>
      </c>
      <c r="D81" s="19" t="n">
        <v>266</v>
      </c>
      <c r="E81" s="18" t="n">
        <v>61.5073747</v>
      </c>
      <c r="F81" s="20" t="n">
        <v>3.26536865</v>
      </c>
      <c r="G81" s="18" t="n">
        <v>23.50839542</v>
      </c>
      <c r="H81" s="20" t="n">
        <v>2.52449054</v>
      </c>
      <c r="I81" s="18" t="n">
        <v>0</v>
      </c>
      <c r="J81" s="20" t="n">
        <v>0</v>
      </c>
      <c r="K81" s="18" t="n">
        <v>14.23328552</v>
      </c>
      <c r="L81" s="20" t="n">
        <v>2.52421753</v>
      </c>
      <c r="M81" s="18" t="n">
        <v>0</v>
      </c>
      <c r="N81" s="20" t="n">
        <v>0</v>
      </c>
      <c r="O81" s="18" t="n">
        <v>0</v>
      </c>
      <c r="P81" s="20" t="n">
        <v>0</v>
      </c>
      <c r="Q81" s="18" t="n">
        <v>0.75094436</v>
      </c>
      <c r="R81" s="20" t="n">
        <v>0.5293665</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653</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(4364.0/B44*100)</f>
        <v/>
      </c>
      <c r="D44" s="19" t="n">
        <v>851</v>
      </c>
      <c r="E44" s="18" t="n">
        <v>58.28613433</v>
      </c>
      <c r="F44" s="20" t="n">
        <v>2.13853067</v>
      </c>
      <c r="G44" s="18" t="n">
        <v>21.08082874</v>
      </c>
      <c r="H44" s="20" t="n">
        <v>1.6652024</v>
      </c>
      <c r="I44" s="18" t="n">
        <v>1.02737767</v>
      </c>
      <c r="J44" s="20" t="n">
        <v>0.49913812</v>
      </c>
      <c r="K44" s="18" t="n">
        <v>0</v>
      </c>
      <c r="L44" s="20" t="n">
        <v>0</v>
      </c>
      <c r="M44" s="18" t="n">
        <v>19.60565926</v>
      </c>
      <c r="N44" s="20" t="n">
        <v>1.6981971</v>
      </c>
      <c r="O44" s="18" t="n">
        <v>0</v>
      </c>
      <c r="P44" s="20" t="n">
        <v>0</v>
      </c>
      <c r="Q44" s="18" t="n">
        <v>0</v>
      </c>
      <c r="R44" s="20" t="n">
        <v>0</v>
      </c>
      <c r="S44" s="18" t="n">
        <v>0</v>
      </c>
      <c r="T44" s="20" t="n">
        <v>0</v>
      </c>
    </row>
    <row r="45" spans="1:20">
      <c r="A45" s="15" t="s">
        <v>468</v>
      </c>
      <c r="B45" s="17" t="n">
        <v>5519</v>
      </c>
      <c r="C45" s="18">
        <f>(4604.0/B45*100)</f>
        <v/>
      </c>
      <c r="D45" s="19" t="n">
        <v>915</v>
      </c>
      <c r="E45" s="18" t="n">
        <v>69.78455216</v>
      </c>
      <c r="F45" s="20" t="n">
        <v>1.24845878</v>
      </c>
      <c r="G45" s="18" t="n">
        <v>2.03238226</v>
      </c>
      <c r="H45" s="20" t="n">
        <v>0.48756281</v>
      </c>
      <c r="I45" s="18" t="n">
        <v>0.43315441</v>
      </c>
      <c r="J45" s="20" t="n">
        <v>0.22049201</v>
      </c>
      <c r="K45" s="18" t="n">
        <v>0</v>
      </c>
      <c r="L45" s="20" t="n">
        <v>0</v>
      </c>
      <c r="M45" s="18" t="n">
        <v>27.08562005</v>
      </c>
      <c r="N45" s="20" t="n">
        <v>1.30118657</v>
      </c>
      <c r="O45" s="18" t="n">
        <v>0.66429113</v>
      </c>
      <c r="P45" s="20" t="n">
        <v>0.27420623</v>
      </c>
      <c r="Q45" s="18" t="n">
        <v>0</v>
      </c>
      <c r="R45" s="20" t="n">
        <v>0</v>
      </c>
      <c r="S45" s="18" t="n">
        <v>0</v>
      </c>
      <c r="T45" s="20" t="n">
        <v>0</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(4424.0/B54*100)</f>
        <v/>
      </c>
      <c r="D54" s="19" t="n">
        <v>892</v>
      </c>
      <c r="E54" s="18" t="n">
        <v>58.4678609</v>
      </c>
      <c r="F54" s="20" t="n">
        <v>1.84862095</v>
      </c>
      <c r="G54" s="18" t="n">
        <v>11.96035584</v>
      </c>
      <c r="H54" s="20" t="n">
        <v>1.30615006</v>
      </c>
      <c r="I54" s="18" t="n">
        <v>1.77726225</v>
      </c>
      <c r="J54" s="20" t="n">
        <v>0.46847348</v>
      </c>
      <c r="K54" s="18" t="n">
        <v>0</v>
      </c>
      <c r="L54" s="20" t="n">
        <v>0</v>
      </c>
      <c r="M54" s="18" t="n">
        <v>27.79452102</v>
      </c>
      <c r="N54" s="20" t="n">
        <v>1.58508502</v>
      </c>
      <c r="O54" s="18" t="n">
        <v>0</v>
      </c>
      <c r="P54" s="20" t="n">
        <v>0</v>
      </c>
      <c r="Q54" s="18" t="n">
        <v>0</v>
      </c>
      <c r="R54" s="20" t="n">
        <v>0</v>
      </c>
      <c r="S54" s="18" t="n">
        <v>0</v>
      </c>
      <c r="T54" s="20" t="n">
        <v>0</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(5421.0/B56*100)</f>
        <v/>
      </c>
      <c r="D56" s="19" t="n">
        <v>1092</v>
      </c>
      <c r="E56" s="18" t="n">
        <v>71.69464084000001</v>
      </c>
      <c r="F56" s="20" t="n">
        <v>1.51664748</v>
      </c>
      <c r="G56" s="18" t="n">
        <v>9.99226649</v>
      </c>
      <c r="H56" s="20" t="n">
        <v>0.93654118</v>
      </c>
      <c r="I56" s="18" t="n">
        <v>6.07695233</v>
      </c>
      <c r="J56" s="20" t="n">
        <v>0.7677089499999999</v>
      </c>
      <c r="K56" s="18" t="n">
        <v>0</v>
      </c>
      <c r="L56" s="20" t="n">
        <v>0</v>
      </c>
      <c r="M56" s="18" t="n">
        <v>12.23614034</v>
      </c>
      <c r="N56" s="20" t="n">
        <v>1.28258736</v>
      </c>
      <c r="O56" s="18" t="n">
        <v>0</v>
      </c>
      <c r="P56" s="20" t="n">
        <v>0</v>
      </c>
      <c r="Q56" s="18" t="n">
        <v>0</v>
      </c>
      <c r="R56" s="20" t="n">
        <v>0</v>
      </c>
      <c r="S56" s="18" t="n">
        <v>0</v>
      </c>
      <c r="T56" s="20" t="n">
        <v>0</v>
      </c>
    </row>
    <row r="57" spans="1:20">
      <c r="A57" s="15" t="s">
        <v>480</v>
      </c>
      <c r="B57" s="17" t="n">
        <v>7267</v>
      </c>
      <c r="C57" s="18">
        <f>(6065.0/B57*100)</f>
        <v/>
      </c>
      <c r="D57" s="19" t="n">
        <v>1202</v>
      </c>
      <c r="E57" s="18" t="n">
        <v>52.30442109</v>
      </c>
      <c r="F57" s="20" t="n">
        <v>1.76251644</v>
      </c>
      <c r="G57" s="18" t="n">
        <v>14.62966854</v>
      </c>
      <c r="H57" s="20" t="n">
        <v>1.05841629</v>
      </c>
      <c r="I57" s="18" t="n">
        <v>12.06670364</v>
      </c>
      <c r="J57" s="20" t="n">
        <v>1.02975849</v>
      </c>
      <c r="K57" s="18" t="n">
        <v>0</v>
      </c>
      <c r="L57" s="20" t="n">
        <v>0</v>
      </c>
      <c r="M57" s="18" t="n">
        <v>20.99920673</v>
      </c>
      <c r="N57" s="20" t="n">
        <v>1.49411103</v>
      </c>
      <c r="O57" s="18" t="n">
        <v>0</v>
      </c>
      <c r="P57" s="20" t="n">
        <v>0</v>
      </c>
      <c r="Q57" s="18" t="n">
        <v>0</v>
      </c>
      <c r="R57" s="20" t="n">
        <v>0</v>
      </c>
      <c r="S57" s="18" t="n">
        <v>0</v>
      </c>
      <c r="T57" s="20" t="n">
        <v>0</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(4021.0/B59*100)</f>
        <v/>
      </c>
      <c r="D59" s="19" t="n">
        <v>805</v>
      </c>
      <c r="E59" s="18" t="n">
        <v>77.13023518</v>
      </c>
      <c r="F59" s="20" t="n">
        <v>1.5302809</v>
      </c>
      <c r="G59" s="18" t="n">
        <v>8.41070277</v>
      </c>
      <c r="H59" s="20" t="n">
        <v>1.31252611</v>
      </c>
      <c r="I59" s="18" t="n">
        <v>1.02232621</v>
      </c>
      <c r="J59" s="20" t="n">
        <v>0.53162708</v>
      </c>
      <c r="K59" s="18" t="n">
        <v>0</v>
      </c>
      <c r="L59" s="20" t="n">
        <v>0</v>
      </c>
      <c r="M59" s="18" t="n">
        <v>13.43673584</v>
      </c>
      <c r="N59" s="20" t="n">
        <v>1.14474118</v>
      </c>
      <c r="O59" s="18" t="n">
        <v>0</v>
      </c>
      <c r="P59" s="20" t="n">
        <v>0</v>
      </c>
      <c r="Q59" s="18" t="n">
        <v>0</v>
      </c>
      <c r="R59" s="20" t="n">
        <v>0</v>
      </c>
      <c r="S59" s="18" t="n">
        <v>0</v>
      </c>
      <c r="T59" s="20" t="n">
        <v>0</v>
      </c>
    </row>
    <row r="60" spans="1:20">
      <c r="A60" s="15" t="s">
        <v>484</v>
      </c>
      <c r="B60" s="17" t="n">
        <v>4546</v>
      </c>
      <c r="C60" s="18">
        <f>(3783.0/B60*100)</f>
        <v/>
      </c>
      <c r="D60" s="19" t="n">
        <v>763</v>
      </c>
      <c r="E60" s="18" t="n">
        <v>47.36152168</v>
      </c>
      <c r="F60" s="20" t="n">
        <v>2.11862489</v>
      </c>
      <c r="G60" s="18" t="n">
        <v>16.78464514</v>
      </c>
      <c r="H60" s="20" t="n">
        <v>1.54936484</v>
      </c>
      <c r="I60" s="18" t="n">
        <v>2.64804637</v>
      </c>
      <c r="J60" s="20" t="n">
        <v>0.6427008400000001</v>
      </c>
      <c r="K60" s="18" t="n">
        <v>0</v>
      </c>
      <c r="L60" s="20" t="n">
        <v>0</v>
      </c>
      <c r="M60" s="18" t="n">
        <v>32.94578958</v>
      </c>
      <c r="N60" s="20" t="n">
        <v>2.02083661</v>
      </c>
      <c r="O60" s="18" t="n">
        <v>0</v>
      </c>
      <c r="P60" s="20" t="n">
        <v>0</v>
      </c>
      <c r="Q60" s="18" t="n">
        <v>0.25999723</v>
      </c>
      <c r="R60" s="20" t="n">
        <v>0.18339819</v>
      </c>
      <c r="S60" s="18" t="n">
        <v>0</v>
      </c>
      <c r="T60" s="20" t="n">
        <v>0</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(4430.0/B63*100)</f>
        <v/>
      </c>
      <c r="D63" s="19" t="n">
        <v>894</v>
      </c>
      <c r="E63" s="18" t="n">
        <v>56.27705679</v>
      </c>
      <c r="F63" s="20" t="n">
        <v>1.75649835</v>
      </c>
      <c r="G63" s="18" t="n">
        <v>11.09081663</v>
      </c>
      <c r="H63" s="20" t="n">
        <v>1.13891526</v>
      </c>
      <c r="I63" s="18" t="n">
        <v>0.92910421</v>
      </c>
      <c r="J63" s="20" t="n">
        <v>0.36051015</v>
      </c>
      <c r="K63" s="18" t="n">
        <v>0</v>
      </c>
      <c r="L63" s="20" t="n">
        <v>0</v>
      </c>
      <c r="M63" s="18" t="n">
        <v>31.70302237</v>
      </c>
      <c r="N63" s="20" t="n">
        <v>1.62350713</v>
      </c>
      <c r="O63" s="18" t="n">
        <v>0</v>
      </c>
      <c r="P63" s="20" t="n">
        <v>0</v>
      </c>
      <c r="Q63" s="18" t="n">
        <v>0</v>
      </c>
      <c r="R63" s="20" t="n">
        <v>0</v>
      </c>
      <c r="S63" s="18" t="n">
        <v>0</v>
      </c>
      <c r="T63" s="20" t="n">
        <v>0</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(3039.0/B65*100)</f>
        <v/>
      </c>
      <c r="D65" s="19" t="n">
        <v>595</v>
      </c>
      <c r="E65" s="18" t="n">
        <v>61.62608962</v>
      </c>
      <c r="F65" s="20" t="n">
        <v>1.89787173</v>
      </c>
      <c r="G65" s="18" t="n">
        <v>16.13872458</v>
      </c>
      <c r="H65" s="20" t="n">
        <v>1.32980774</v>
      </c>
      <c r="I65" s="18" t="n">
        <v>3.61210581</v>
      </c>
      <c r="J65" s="20" t="n">
        <v>0.77995742</v>
      </c>
      <c r="K65" s="18" t="n">
        <v>0</v>
      </c>
      <c r="L65" s="20" t="n">
        <v>0</v>
      </c>
      <c r="M65" s="18" t="n">
        <v>18.62307998</v>
      </c>
      <c r="N65" s="20" t="n">
        <v>1.64991222</v>
      </c>
      <c r="O65" s="18" t="n">
        <v>0</v>
      </c>
      <c r="P65" s="20" t="n">
        <v>0</v>
      </c>
      <c r="Q65" s="18" t="n">
        <v>0</v>
      </c>
      <c r="R65" s="20" t="n">
        <v>0</v>
      </c>
      <c r="S65" s="18" t="n">
        <v>0</v>
      </c>
      <c r="T65" s="20" t="n">
        <v>0</v>
      </c>
    </row>
    <row r="66" spans="1:20">
      <c r="A66" s="15" t="s">
        <v>490</v>
      </c>
      <c r="B66" s="17" t="n">
        <v>5325</v>
      </c>
      <c r="C66" s="18">
        <f>(4429.0/B66*100)</f>
        <v/>
      </c>
      <c r="D66" s="19" t="n">
        <v>896</v>
      </c>
      <c r="E66" s="18" t="n">
        <v>51.20117463</v>
      </c>
      <c r="F66" s="20" t="n">
        <v>1.58128427</v>
      </c>
      <c r="G66" s="18" t="n">
        <v>18.40904867</v>
      </c>
      <c r="H66" s="20" t="n">
        <v>1.78987028</v>
      </c>
      <c r="I66" s="18" t="n">
        <v>1.0256553</v>
      </c>
      <c r="J66" s="20" t="n">
        <v>0.32112214</v>
      </c>
      <c r="K66" s="18" t="n">
        <v>0</v>
      </c>
      <c r="L66" s="20" t="n">
        <v>0</v>
      </c>
      <c r="M66" s="18" t="n">
        <v>29.3641214</v>
      </c>
      <c r="N66" s="20" t="n">
        <v>1.3804202</v>
      </c>
      <c r="O66" s="18" t="n">
        <v>0</v>
      </c>
      <c r="P66" s="20" t="n">
        <v>0</v>
      </c>
      <c r="Q66" s="18" t="n">
        <v>0</v>
      </c>
      <c r="R66" s="20" t="n">
        <v>0</v>
      </c>
      <c r="S66" s="18" t="n">
        <v>0</v>
      </c>
      <c r="T66" s="20" t="n">
        <v>0</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(1166.0/B69*100)</f>
        <v/>
      </c>
      <c r="D69" s="19" t="n">
        <v>232</v>
      </c>
      <c r="E69" s="18" t="n">
        <v>74.48619281000001</v>
      </c>
      <c r="F69" s="20" t="n">
        <v>2.85842146</v>
      </c>
      <c r="G69" s="18" t="n">
        <v>5.87785557</v>
      </c>
      <c r="H69" s="20" t="n">
        <v>1.24129006</v>
      </c>
      <c r="I69" s="18" t="n">
        <v>0.43010043</v>
      </c>
      <c r="J69" s="20" t="n">
        <v>0.44987111</v>
      </c>
      <c r="K69" s="18" t="n">
        <v>0</v>
      </c>
      <c r="L69" s="20" t="n">
        <v>0</v>
      </c>
      <c r="M69" s="18" t="n">
        <v>19.20585119</v>
      </c>
      <c r="N69" s="20" t="n">
        <v>2.7317155</v>
      </c>
      <c r="O69" s="18" t="n">
        <v>0</v>
      </c>
      <c r="P69" s="20" t="n">
        <v>0</v>
      </c>
      <c r="Q69" s="18" t="n">
        <v>0</v>
      </c>
      <c r="R69" s="20" t="n">
        <v>0</v>
      </c>
      <c r="S69" s="18" t="n">
        <v>0</v>
      </c>
      <c r="T69" s="20" t="n">
        <v>0</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(4051.0/B71*100)</f>
        <v/>
      </c>
      <c r="D71" s="19" t="n">
        <v>825</v>
      </c>
      <c r="E71" s="18" t="n">
        <v>71.66329103</v>
      </c>
      <c r="F71" s="20" t="n">
        <v>1.79633545</v>
      </c>
      <c r="G71" s="18" t="n">
        <v>23.308951</v>
      </c>
      <c r="H71" s="20" t="n">
        <v>1.61939901</v>
      </c>
      <c r="I71" s="18" t="n">
        <v>2.10369312</v>
      </c>
      <c r="J71" s="20" t="n">
        <v>0.49453979</v>
      </c>
      <c r="K71" s="18" t="n">
        <v>0</v>
      </c>
      <c r="L71" s="20" t="n">
        <v>0</v>
      </c>
      <c r="M71" s="18" t="n">
        <v>2.92406485</v>
      </c>
      <c r="N71" s="20" t="n">
        <v>0.7524320799999999</v>
      </c>
      <c r="O71" s="18" t="n">
        <v>0</v>
      </c>
      <c r="P71" s="20" t="n">
        <v>0</v>
      </c>
      <c r="Q71" s="18" t="n">
        <v>0</v>
      </c>
      <c r="R71" s="20" t="n">
        <v>0</v>
      </c>
      <c r="S71" s="18" t="n">
        <v>0</v>
      </c>
      <c r="T71" s="20" t="n">
        <v>0</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(3904.0/B76*100)</f>
        <v/>
      </c>
      <c r="D76" s="19" t="n">
        <v>788</v>
      </c>
      <c r="E76" s="18" t="n">
        <v>54.47934319</v>
      </c>
      <c r="F76" s="20" t="n">
        <v>1.94949947</v>
      </c>
      <c r="G76" s="18" t="n">
        <v>11.8808683</v>
      </c>
      <c r="H76" s="20" t="n">
        <v>1.09007432</v>
      </c>
      <c r="I76" s="18" t="n">
        <v>0.57542467</v>
      </c>
      <c r="J76" s="20" t="n">
        <v>0.26694796</v>
      </c>
      <c r="K76" s="18" t="n">
        <v>0</v>
      </c>
      <c r="L76" s="20" t="n">
        <v>0</v>
      </c>
      <c r="M76" s="18" t="n">
        <v>33.06436384</v>
      </c>
      <c r="N76" s="20" t="n">
        <v>1.91258028</v>
      </c>
      <c r="O76" s="18" t="n">
        <v>0</v>
      </c>
      <c r="P76" s="20" t="n">
        <v>0</v>
      </c>
      <c r="Q76" s="18" t="n">
        <v>0</v>
      </c>
      <c r="R76" s="20" t="n">
        <v>0</v>
      </c>
      <c r="S76" s="18" t="n">
        <v>0</v>
      </c>
      <c r="T76" s="20" t="n">
        <v>0</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(4843.0/B80*100)</f>
        <v/>
      </c>
      <c r="D80" s="19" t="n">
        <v>983</v>
      </c>
      <c r="E80" s="18" t="n">
        <v>75.01167019</v>
      </c>
      <c r="F80" s="20" t="n">
        <v>1.68796619</v>
      </c>
      <c r="G80" s="18" t="n">
        <v>18.89660026</v>
      </c>
      <c r="H80" s="20" t="n">
        <v>1.43031162</v>
      </c>
      <c r="I80" s="18" t="n">
        <v>2.5788853</v>
      </c>
      <c r="J80" s="20" t="n">
        <v>0.51970099</v>
      </c>
      <c r="K80" s="18" t="n">
        <v>0</v>
      </c>
      <c r="L80" s="20" t="n">
        <v>0</v>
      </c>
      <c r="M80" s="18" t="n">
        <v>3.51284425</v>
      </c>
      <c r="N80" s="20" t="n">
        <v>0.54770083</v>
      </c>
      <c r="O80" s="18" t="n">
        <v>0</v>
      </c>
      <c r="P80" s="20" t="n">
        <v>0</v>
      </c>
      <c r="Q80" s="18" t="n">
        <v>0</v>
      </c>
      <c r="R80" s="20" t="n">
        <v>0</v>
      </c>
      <c r="S80" s="18" t="n">
        <v>0</v>
      </c>
      <c r="T80" s="20" t="n">
        <v>0</v>
      </c>
    </row>
    <row r="81" spans="1:20">
      <c r="A81" s="15" t="s">
        <v>505</v>
      </c>
      <c r="B81" s="17" t="n">
        <v>1657</v>
      </c>
      <c r="C81" s="18">
        <f>(1391.0/B81*100)</f>
        <v/>
      </c>
      <c r="D81" s="19" t="n">
        <v>266</v>
      </c>
      <c r="E81" s="18" t="n">
        <v>53.95182119</v>
      </c>
      <c r="F81" s="20" t="n">
        <v>4.36235267</v>
      </c>
      <c r="G81" s="18" t="n">
        <v>25.10078658</v>
      </c>
      <c r="H81" s="20" t="n">
        <v>3.10882976</v>
      </c>
      <c r="I81" s="18" t="n">
        <v>3.16743486</v>
      </c>
      <c r="J81" s="20" t="n">
        <v>1.2783513</v>
      </c>
      <c r="K81" s="18" t="n">
        <v>0</v>
      </c>
      <c r="L81" s="20" t="n">
        <v>0</v>
      </c>
      <c r="M81" s="18" t="n">
        <v>17.77995737</v>
      </c>
      <c r="N81" s="20" t="n">
        <v>2.45918484</v>
      </c>
      <c r="O81" s="18" t="n">
        <v>0</v>
      </c>
      <c r="P81" s="20" t="n">
        <v>0</v>
      </c>
      <c r="Q81" s="18" t="n">
        <v>0</v>
      </c>
      <c r="R81" s="20" t="n">
        <v>0</v>
      </c>
      <c r="S81" s="18" t="n">
        <v>0</v>
      </c>
      <c r="T81" s="20" t="n">
        <v>0</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25.51120628</v>
      </c>
      <c r="F44" s="20" t="n">
        <v>1.65199973</v>
      </c>
      <c r="G44" s="18" t="n">
        <v>61.55174731</v>
      </c>
      <c r="H44" s="20" t="n">
        <v>1.80716198</v>
      </c>
      <c r="I44" s="18" t="n">
        <v>0</v>
      </c>
      <c r="J44" s="20" t="n">
        <v>0</v>
      </c>
      <c r="K44" s="18" t="n">
        <v>2.53232622</v>
      </c>
      <c r="L44" s="20" t="n">
        <v>0.6649093700000001</v>
      </c>
      <c r="M44" s="18" t="n">
        <v>0</v>
      </c>
      <c r="N44" s="20" t="n">
        <v>0</v>
      </c>
      <c r="O44" s="18" t="n">
        <v>0</v>
      </c>
      <c r="P44" s="20" t="n">
        <v>0</v>
      </c>
      <c r="Q44" s="18" t="n">
        <v>10.40472018</v>
      </c>
      <c r="R44" s="20" t="n">
        <v>1.38911707</v>
      </c>
    </row>
    <row r="45" spans="1:18">
      <c r="A45" s="15" t="s">
        <v>468</v>
      </c>
      <c r="B45" s="17" t="n">
        <v>5519</v>
      </c>
      <c r="C45" s="18">
        <f>(4579.0/B45*100)</f>
        <v/>
      </c>
      <c r="D45" s="19" t="n">
        <v>940</v>
      </c>
      <c r="E45" s="18" t="n">
        <v>43.58399523</v>
      </c>
      <c r="F45" s="20" t="n">
        <v>1.95314057</v>
      </c>
      <c r="G45" s="18" t="n">
        <v>40.95389728</v>
      </c>
      <c r="H45" s="20" t="n">
        <v>1.61598478</v>
      </c>
      <c r="I45" s="18" t="n">
        <v>0</v>
      </c>
      <c r="J45" s="20" t="n">
        <v>0</v>
      </c>
      <c r="K45" s="18" t="n">
        <v>4.72796864</v>
      </c>
      <c r="L45" s="20" t="n">
        <v>0.70905567</v>
      </c>
      <c r="M45" s="18" t="n">
        <v>0.94619118</v>
      </c>
      <c r="N45" s="20" t="n">
        <v>0.31711198</v>
      </c>
      <c r="O45" s="18" t="n">
        <v>0.21008049</v>
      </c>
      <c r="P45" s="20" t="n">
        <v>0.14561786</v>
      </c>
      <c r="Q45" s="18" t="n">
        <v>9.57786718</v>
      </c>
      <c r="R45" s="20" t="n">
        <v>1.02273922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23.28806924</v>
      </c>
      <c r="F54" s="20" t="n">
        <v>1.45500578</v>
      </c>
      <c r="G54" s="18" t="n">
        <v>62.51338104</v>
      </c>
      <c r="H54" s="20" t="n">
        <v>1.64315376</v>
      </c>
      <c r="I54" s="18" t="n">
        <v>0</v>
      </c>
      <c r="J54" s="20" t="n">
        <v>0</v>
      </c>
      <c r="K54" s="18" t="n">
        <v>1.28705674</v>
      </c>
      <c r="L54" s="20" t="n">
        <v>0.39572879</v>
      </c>
      <c r="M54" s="18" t="n">
        <v>0.29913152</v>
      </c>
      <c r="N54" s="20" t="n">
        <v>0.16077095</v>
      </c>
      <c r="O54" s="18" t="n">
        <v>0.31058923</v>
      </c>
      <c r="P54" s="20" t="n">
        <v>0.17747472</v>
      </c>
      <c r="Q54" s="18" t="n">
        <v>12.30177222</v>
      </c>
      <c r="R54" s="20" t="n">
        <v>1.18522326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42.85863387</v>
      </c>
      <c r="F56" s="20" t="n">
        <v>1.73183402</v>
      </c>
      <c r="G56" s="18" t="n">
        <v>54.3539631</v>
      </c>
      <c r="H56" s="20" t="n">
        <v>1.80182995</v>
      </c>
      <c r="I56" s="18" t="n">
        <v>0</v>
      </c>
      <c r="J56" s="20" t="n">
        <v>0</v>
      </c>
      <c r="K56" s="18" t="n">
        <v>0.49888596</v>
      </c>
      <c r="L56" s="20" t="n">
        <v>0.23202661</v>
      </c>
      <c r="M56" s="18" t="n">
        <v>0.21535996</v>
      </c>
      <c r="N56" s="20" t="n">
        <v>0.15071145</v>
      </c>
      <c r="O56" s="18" t="n">
        <v>0</v>
      </c>
      <c r="P56" s="20" t="n">
        <v>0</v>
      </c>
      <c r="Q56" s="18" t="n">
        <v>2.07315711</v>
      </c>
      <c r="R56" s="20" t="n">
        <v>0.49780663</v>
      </c>
    </row>
    <row r="57" spans="1:18">
      <c r="A57" s="15" t="s">
        <v>480</v>
      </c>
      <c r="B57" s="17" t="n">
        <v>7267</v>
      </c>
      <c r="C57" s="18">
        <f>(6058.0/B57*100)</f>
        <v/>
      </c>
      <c r="D57" s="19" t="n">
        <v>1209</v>
      </c>
      <c r="E57" s="18" t="n">
        <v>41.10013028</v>
      </c>
      <c r="F57" s="20" t="n">
        <v>1.713095</v>
      </c>
      <c r="G57" s="18" t="n">
        <v>48.76689578</v>
      </c>
      <c r="H57" s="20" t="n">
        <v>1.74017257</v>
      </c>
      <c r="I57" s="18" t="n">
        <v>0</v>
      </c>
      <c r="J57" s="20" t="n">
        <v>0</v>
      </c>
      <c r="K57" s="18" t="n">
        <v>2.40757693</v>
      </c>
      <c r="L57" s="20" t="n">
        <v>0.58608659</v>
      </c>
      <c r="M57" s="18" t="n">
        <v>0</v>
      </c>
      <c r="N57" s="20" t="n">
        <v>0</v>
      </c>
      <c r="O57" s="18" t="n">
        <v>0</v>
      </c>
      <c r="P57" s="20" t="n">
        <v>0</v>
      </c>
      <c r="Q57" s="18" t="n">
        <v>7.72539701</v>
      </c>
      <c r="R57" s="20" t="n">
        <v>0.83658265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(4007.0/B59*100)</f>
        <v/>
      </c>
      <c r="D59" s="19" t="n">
        <v>819</v>
      </c>
      <c r="E59" s="18" t="n">
        <v>44.17397475</v>
      </c>
      <c r="F59" s="20" t="n">
        <v>1.86860882</v>
      </c>
      <c r="G59" s="18" t="n">
        <v>48.43223816</v>
      </c>
      <c r="H59" s="20" t="n">
        <v>1.88521253</v>
      </c>
      <c r="I59" s="18" t="n">
        <v>0</v>
      </c>
      <c r="J59" s="20" t="n">
        <v>0</v>
      </c>
      <c r="K59" s="18" t="n">
        <v>0.51622991</v>
      </c>
      <c r="L59" s="20" t="n">
        <v>0.24665014</v>
      </c>
      <c r="M59" s="18" t="n">
        <v>0</v>
      </c>
      <c r="N59" s="20" t="n">
        <v>0</v>
      </c>
      <c r="O59" s="18" t="n">
        <v>0</v>
      </c>
      <c r="P59" s="20" t="n">
        <v>0</v>
      </c>
      <c r="Q59" s="18" t="n">
        <v>6.87755718</v>
      </c>
      <c r="R59" s="20" t="n">
        <v>1.08975574</v>
      </c>
    </row>
    <row r="60" spans="1:18">
      <c r="A60" s="15" t="s">
        <v>484</v>
      </c>
      <c r="B60" s="17" t="n">
        <v>4546</v>
      </c>
      <c r="C60" s="18">
        <f>(3788.0/B60*100)</f>
        <v/>
      </c>
      <c r="D60" s="19" t="n">
        <v>758</v>
      </c>
      <c r="E60" s="18" t="n">
        <v>37.16895012</v>
      </c>
      <c r="F60" s="20" t="n">
        <v>2.29005091</v>
      </c>
      <c r="G60" s="18" t="n">
        <v>40.59227541</v>
      </c>
      <c r="H60" s="20" t="n">
        <v>2.38141107</v>
      </c>
      <c r="I60" s="18" t="n">
        <v>0</v>
      </c>
      <c r="J60" s="20" t="n">
        <v>0</v>
      </c>
      <c r="K60" s="18" t="n">
        <v>2.85986195</v>
      </c>
      <c r="L60" s="20" t="n">
        <v>0.57235213</v>
      </c>
      <c r="M60" s="18" t="n">
        <v>0</v>
      </c>
      <c r="N60" s="20" t="n">
        <v>0</v>
      </c>
      <c r="O60" s="18" t="n">
        <v>0</v>
      </c>
      <c r="P60" s="20" t="n">
        <v>0</v>
      </c>
      <c r="Q60" s="18" t="n">
        <v>19.37891252</v>
      </c>
      <c r="R60" s="20" t="n">
        <v>2.27168566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26.19262469</v>
      </c>
      <c r="F63" s="20" t="n">
        <v>1.7536678</v>
      </c>
      <c r="G63" s="18" t="n">
        <v>51.25328631</v>
      </c>
      <c r="H63" s="20" t="n">
        <v>1.92298888</v>
      </c>
      <c r="I63" s="18" t="n">
        <v>0</v>
      </c>
      <c r="J63" s="20" t="n">
        <v>0</v>
      </c>
      <c r="K63" s="18" t="n">
        <v>2.03031534</v>
      </c>
      <c r="L63" s="20" t="n">
        <v>0.48441581</v>
      </c>
      <c r="M63" s="18" t="n">
        <v>0</v>
      </c>
      <c r="N63" s="20" t="n">
        <v>0</v>
      </c>
      <c r="O63" s="18" t="n">
        <v>0</v>
      </c>
      <c r="P63" s="20" t="n">
        <v>0</v>
      </c>
      <c r="Q63" s="18" t="n">
        <v>20.52377365</v>
      </c>
      <c r="R63" s="20" t="n">
        <v>1.48772609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28.66613746</v>
      </c>
      <c r="F65" s="20" t="n">
        <v>1.92920249</v>
      </c>
      <c r="G65" s="18" t="n">
        <v>61.20001919</v>
      </c>
      <c r="H65" s="20" t="n">
        <v>2.30208862</v>
      </c>
      <c r="I65" s="18" t="n">
        <v>0</v>
      </c>
      <c r="J65" s="20" t="n">
        <v>0</v>
      </c>
      <c r="K65" s="18" t="n">
        <v>2.25720476</v>
      </c>
      <c r="L65" s="20" t="n">
        <v>0.66668328</v>
      </c>
      <c r="M65" s="18" t="n">
        <v>0.16044726</v>
      </c>
      <c r="N65" s="20" t="n">
        <v>0.16122452</v>
      </c>
      <c r="O65" s="18" t="n">
        <v>0</v>
      </c>
      <c r="P65" s="20" t="n">
        <v>0</v>
      </c>
      <c r="Q65" s="18" t="n">
        <v>7.71619132</v>
      </c>
      <c r="R65" s="20" t="n">
        <v>1.25545822</v>
      </c>
    </row>
    <row r="66" spans="1:18">
      <c r="A66" s="15" t="s">
        <v>490</v>
      </c>
      <c r="B66" s="17" t="n">
        <v>5325</v>
      </c>
      <c r="C66" s="18">
        <f>(4444.0/B66*100)</f>
        <v/>
      </c>
      <c r="D66" s="19" t="n">
        <v>881</v>
      </c>
      <c r="E66" s="18" t="n">
        <v>28.39192394</v>
      </c>
      <c r="F66" s="20" t="n">
        <v>1.52703724</v>
      </c>
      <c r="G66" s="18" t="n">
        <v>59.64696833</v>
      </c>
      <c r="H66" s="20" t="n">
        <v>1.82268421</v>
      </c>
      <c r="I66" s="18" t="n">
        <v>0</v>
      </c>
      <c r="J66" s="20" t="n">
        <v>0</v>
      </c>
      <c r="K66" s="18" t="n">
        <v>3.45644627</v>
      </c>
      <c r="L66" s="20" t="n">
        <v>0.60771718</v>
      </c>
      <c r="M66" s="18" t="n">
        <v>0</v>
      </c>
      <c r="N66" s="20" t="n">
        <v>0</v>
      </c>
      <c r="O66" s="18" t="n">
        <v>0</v>
      </c>
      <c r="P66" s="20" t="n">
        <v>0</v>
      </c>
      <c r="Q66" s="18" t="n">
        <v>8.50466147</v>
      </c>
      <c r="R66" s="20" t="n">
        <v>1.03728038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30.66152377</v>
      </c>
      <c r="F69" s="20" t="n">
        <v>3.0314695</v>
      </c>
      <c r="G69" s="18" t="n">
        <v>60.73134336</v>
      </c>
      <c r="H69" s="20" t="n">
        <v>3.98901051</v>
      </c>
      <c r="I69" s="18" t="n">
        <v>0</v>
      </c>
      <c r="J69" s="20" t="n">
        <v>0</v>
      </c>
      <c r="K69" s="18" t="n">
        <v>0</v>
      </c>
      <c r="L69" s="20" t="n">
        <v>0</v>
      </c>
      <c r="M69" s="18" t="n">
        <v>0</v>
      </c>
      <c r="N69" s="20" t="n">
        <v>0</v>
      </c>
      <c r="O69" s="18" t="n">
        <v>0</v>
      </c>
      <c r="P69" s="20" t="n">
        <v>0</v>
      </c>
      <c r="Q69" s="18" t="n">
        <v>8.60713288</v>
      </c>
      <c r="R69" s="20" t="n">
        <v>2.22282747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24.64577208</v>
      </c>
      <c r="F71" s="20" t="n">
        <v>1.85273466</v>
      </c>
      <c r="G71" s="18" t="n">
        <v>74.64900274</v>
      </c>
      <c r="H71" s="20" t="n">
        <v>1.88364789</v>
      </c>
      <c r="I71" s="18" t="n">
        <v>0</v>
      </c>
      <c r="J71" s="20" t="n">
        <v>0</v>
      </c>
      <c r="K71" s="18" t="n">
        <v>0.24484189</v>
      </c>
      <c r="L71" s="20" t="n">
        <v>0.17303082</v>
      </c>
      <c r="M71" s="18" t="n">
        <v>0</v>
      </c>
      <c r="N71" s="20" t="n">
        <v>0</v>
      </c>
      <c r="O71" s="18" t="n">
        <v>0</v>
      </c>
      <c r="P71" s="20" t="n">
        <v>0</v>
      </c>
      <c r="Q71" s="18" t="n">
        <v>0.46038329</v>
      </c>
      <c r="R71" s="20" t="n">
        <v>0.23143126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26.64878518</v>
      </c>
      <c r="F76" s="20" t="n">
        <v>1.73965417</v>
      </c>
      <c r="G76" s="18" t="n">
        <v>59.72307095</v>
      </c>
      <c r="H76" s="20" t="n">
        <v>2.02384459</v>
      </c>
      <c r="I76" s="18" t="n">
        <v>0</v>
      </c>
      <c r="J76" s="20" t="n">
        <v>0</v>
      </c>
      <c r="K76" s="18" t="n">
        <v>4.37012094</v>
      </c>
      <c r="L76" s="20" t="n">
        <v>0.94524357</v>
      </c>
      <c r="M76" s="18" t="n">
        <v>0</v>
      </c>
      <c r="N76" s="20" t="n">
        <v>0</v>
      </c>
      <c r="O76" s="18" t="n">
        <v>0</v>
      </c>
      <c r="P76" s="20" t="n">
        <v>0</v>
      </c>
      <c r="Q76" s="18" t="n">
        <v>9.258022929999999</v>
      </c>
      <c r="R76" s="20" t="n">
        <v>1.05813646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19.02883496</v>
      </c>
      <c r="F80" s="20" t="n">
        <v>1.79782548</v>
      </c>
      <c r="G80" s="18" t="n">
        <v>80.79466194</v>
      </c>
      <c r="H80" s="20" t="n">
        <v>1.78625599</v>
      </c>
      <c r="I80" s="18" t="n">
        <v>0</v>
      </c>
      <c r="J80" s="20" t="n">
        <v>0</v>
      </c>
      <c r="K80" s="18" t="n">
        <v>0</v>
      </c>
      <c r="L80" s="20" t="n">
        <v>0</v>
      </c>
      <c r="M80" s="18" t="n">
        <v>0</v>
      </c>
      <c r="N80" s="20" t="n">
        <v>0</v>
      </c>
      <c r="O80" s="18" t="n">
        <v>0</v>
      </c>
      <c r="P80" s="20" t="n">
        <v>0</v>
      </c>
      <c r="Q80" s="18" t="n">
        <v>0.1765031</v>
      </c>
      <c r="R80" s="20" t="n">
        <v>0.12866269</v>
      </c>
    </row>
    <row r="81" spans="1:18">
      <c r="A81" s="15" t="s">
        <v>505</v>
      </c>
      <c r="B81" s="17" t="n">
        <v>1657</v>
      </c>
      <c r="C81" s="18">
        <f>(1389.0/B81*100)</f>
        <v/>
      </c>
      <c r="D81" s="19" t="n">
        <v>268</v>
      </c>
      <c r="E81" s="18" t="n">
        <v>16.32701735</v>
      </c>
      <c r="F81" s="20" t="n">
        <v>1.91430176</v>
      </c>
      <c r="G81" s="18" t="n">
        <v>76.81104477</v>
      </c>
      <c r="H81" s="20" t="n">
        <v>2.10062359</v>
      </c>
      <c r="I81" s="18" t="n">
        <v>0</v>
      </c>
      <c r="J81" s="20" t="n">
        <v>0</v>
      </c>
      <c r="K81" s="18" t="n">
        <v>3.48581436</v>
      </c>
      <c r="L81" s="20" t="n">
        <v>1.56617079</v>
      </c>
      <c r="M81" s="18" t="n">
        <v>0</v>
      </c>
      <c r="N81" s="20" t="n">
        <v>0</v>
      </c>
      <c r="O81" s="18" t="n">
        <v>0</v>
      </c>
      <c r="P81" s="20" t="n">
        <v>0</v>
      </c>
      <c r="Q81" s="18" t="n">
        <v>3.37612351</v>
      </c>
      <c r="R81" s="20" t="n">
        <v>0.85514007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413</v>
      </c>
    </row>
    <row r="2" spans="1:20">
      <c r="A2" s="5" t="s">
        <v>655</v>
      </c>
    </row>
    <row customHeight="1" ht="30" r="4" spans="1:20">
      <c r="A4" s="6" t="n"/>
      <c r="B4" s="7" t="s">
        <v>415</v>
      </c>
      <c r="C4" s="7" t="s">
        <v>416</v>
      </c>
      <c r="D4" s="8" t="s">
        <v>415</v>
      </c>
      <c r="E4" s="9" t="s">
        <v>417</v>
      </c>
      <c r="F4" s="10" t="n"/>
      <c r="G4" s="9" t="s">
        <v>524</v>
      </c>
      <c r="H4" s="10" t="n"/>
      <c r="I4" s="9" t="s">
        <v>525</v>
      </c>
      <c r="J4" s="10" t="n"/>
      <c r="K4" s="9" t="s">
        <v>419</v>
      </c>
      <c r="L4" s="10" t="n"/>
      <c r="M4" s="9" t="s">
        <v>420</v>
      </c>
      <c r="N4" s="10" t="n"/>
      <c r="O4" s="9" t="s">
        <v>421</v>
      </c>
      <c r="P4" s="10" t="n"/>
      <c r="Q4" s="9" t="s">
        <v>422</v>
      </c>
      <c r="R4" s="10" t="n"/>
      <c r="S4" s="9" t="s">
        <v>423</v>
      </c>
      <c r="T4" s="10" t="n"/>
    </row>
    <row r="5" spans="1:20">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c r="S5" s="12" t="s">
        <v>425</v>
      </c>
      <c r="T5" s="11" t="s">
        <v>427</v>
      </c>
    </row>
    <row r="6" spans="1:20">
      <c r="A6" s="13" t="s">
        <v>428</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c r="S7" s="18" t="s">
        <v>467</v>
      </c>
      <c r="T7" s="20" t="s">
        <v>467</v>
      </c>
    </row>
    <row r="8" spans="1:20">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c r="S8" s="18" t="s">
        <v>467</v>
      </c>
      <c r="T8" s="20" t="s">
        <v>467</v>
      </c>
    </row>
    <row r="9" spans="1:20">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c r="S9" s="18" t="s">
        <v>467</v>
      </c>
      <c r="T9" s="20" t="s">
        <v>467</v>
      </c>
    </row>
    <row r="10" spans="1:20">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c r="S10" s="18" t="s">
        <v>467</v>
      </c>
      <c r="T10" s="20" t="s">
        <v>467</v>
      </c>
    </row>
    <row r="11" spans="1:20">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c r="S11" s="18" t="s">
        <v>467</v>
      </c>
      <c r="T11" s="20" t="s">
        <v>467</v>
      </c>
    </row>
    <row r="12" spans="1:20">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c r="S12" s="18" t="s">
        <v>467</v>
      </c>
      <c r="T12" s="20" t="s">
        <v>467</v>
      </c>
    </row>
    <row r="13" spans="1:20">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c r="S13" s="18" t="s">
        <v>467</v>
      </c>
      <c r="T13" s="20" t="s">
        <v>467</v>
      </c>
    </row>
    <row r="14" spans="1:20">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c r="S14" s="18" t="s">
        <v>467</v>
      </c>
      <c r="T14" s="20" t="s">
        <v>467</v>
      </c>
    </row>
    <row r="15" spans="1:20">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c r="S15" s="18" t="s">
        <v>467</v>
      </c>
      <c r="T15" s="20" t="s">
        <v>467</v>
      </c>
    </row>
    <row r="16" spans="1:20">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c r="S16" s="18" t="s">
        <v>467</v>
      </c>
      <c r="T16" s="20" t="s">
        <v>467</v>
      </c>
    </row>
    <row r="17" spans="1:20">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c r="S17" s="18" t="s">
        <v>467</v>
      </c>
      <c r="T17" s="20" t="s">
        <v>467</v>
      </c>
    </row>
    <row r="18" spans="1:20">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c r="S18" s="18" t="s">
        <v>467</v>
      </c>
      <c r="T18" s="20" t="s">
        <v>467</v>
      </c>
    </row>
    <row r="19" spans="1:20">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c r="S19" s="18" t="s">
        <v>467</v>
      </c>
      <c r="T19" s="20" t="s">
        <v>467</v>
      </c>
    </row>
    <row r="20" spans="1:20">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c r="S20" s="18" t="s">
        <v>467</v>
      </c>
      <c r="T20" s="20" t="s">
        <v>467</v>
      </c>
    </row>
    <row r="21" spans="1:20">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c r="S21" s="18" t="s">
        <v>467</v>
      </c>
      <c r="T21" s="20" t="s">
        <v>467</v>
      </c>
    </row>
    <row r="22" spans="1:20">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c r="S22" s="18" t="s">
        <v>467</v>
      </c>
      <c r="T22" s="20" t="s">
        <v>467</v>
      </c>
    </row>
    <row r="23" spans="1:20">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c r="S23" s="18" t="s">
        <v>467</v>
      </c>
      <c r="T23" s="20" t="s">
        <v>467</v>
      </c>
    </row>
    <row r="24" spans="1:20">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c r="S24" s="18" t="s">
        <v>467</v>
      </c>
      <c r="T24" s="20" t="s">
        <v>467</v>
      </c>
    </row>
    <row r="25" spans="1:20">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c r="S25" s="18" t="s">
        <v>467</v>
      </c>
      <c r="T25" s="20" t="s">
        <v>467</v>
      </c>
    </row>
    <row r="26" spans="1:20">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c r="S26" s="18" t="s">
        <v>467</v>
      </c>
      <c r="T26" s="20" t="s">
        <v>467</v>
      </c>
    </row>
    <row r="27" spans="1:20">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c r="S27" s="18" t="s">
        <v>467</v>
      </c>
      <c r="T27" s="20" t="s">
        <v>467</v>
      </c>
    </row>
    <row r="28" spans="1:20">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c r="S28" s="18" t="s">
        <v>467</v>
      </c>
      <c r="T28" s="20" t="s">
        <v>467</v>
      </c>
    </row>
    <row r="29" spans="1:20">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c r="S29" s="18" t="s">
        <v>467</v>
      </c>
      <c r="T29" s="20" t="s">
        <v>467</v>
      </c>
    </row>
    <row r="30" spans="1:20">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c r="S30" s="18" t="s">
        <v>467</v>
      </c>
      <c r="T30" s="20" t="s">
        <v>467</v>
      </c>
    </row>
    <row r="31" spans="1:20">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c r="S31" s="18" t="s">
        <v>467</v>
      </c>
      <c r="T31" s="20" t="s">
        <v>467</v>
      </c>
    </row>
    <row r="32" spans="1:20">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c r="S32" s="18" t="s">
        <v>467</v>
      </c>
      <c r="T32" s="20" t="s">
        <v>467</v>
      </c>
    </row>
    <row r="33" spans="1:20">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c r="S33" s="18" t="s">
        <v>467</v>
      </c>
      <c r="T33" s="20" t="s">
        <v>467</v>
      </c>
    </row>
    <row r="34" spans="1:20">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c r="S34" s="18" t="s">
        <v>467</v>
      </c>
      <c r="T34" s="20" t="s">
        <v>467</v>
      </c>
    </row>
    <row r="35" spans="1:20">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c r="S35" s="18" t="s">
        <v>467</v>
      </c>
      <c r="T35" s="20" t="s">
        <v>467</v>
      </c>
    </row>
    <row r="36" spans="1:20">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c r="S36" s="18" t="s">
        <v>467</v>
      </c>
      <c r="T36" s="20" t="s">
        <v>467</v>
      </c>
    </row>
    <row r="37" spans="1:20">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c r="S37" s="18" t="s">
        <v>467</v>
      </c>
      <c r="T37" s="20" t="s">
        <v>467</v>
      </c>
    </row>
    <row r="38" spans="1:20">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c r="S38" s="18" t="s">
        <v>467</v>
      </c>
      <c r="T38" s="20" t="s">
        <v>467</v>
      </c>
    </row>
    <row r="39" spans="1:20">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c r="S39" s="18" t="s">
        <v>467</v>
      </c>
      <c r="T39" s="20" t="s">
        <v>467</v>
      </c>
    </row>
    <row r="40" spans="1:20">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c r="S40" s="18" t="s">
        <v>467</v>
      </c>
      <c r="T40" s="20" t="s">
        <v>467</v>
      </c>
    </row>
    <row r="41" spans="1:20">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c r="S41" s="18" t="s">
        <v>467</v>
      </c>
      <c r="T41" s="20" t="s">
        <v>467</v>
      </c>
    </row>
    <row r="42" spans="1:20">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465</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466</v>
      </c>
      <c r="B44" s="17" t="n">
        <v>5215</v>
      </c>
      <c r="C44" s="18">
        <f>(4361.0/B44*100)</f>
        <v/>
      </c>
      <c r="D44" s="19" t="n">
        <v>854</v>
      </c>
      <c r="E44" s="18" t="n">
        <v>24.29898709</v>
      </c>
      <c r="F44" s="20" t="n">
        <v>1.79567538</v>
      </c>
      <c r="G44" s="18" t="n">
        <v>8.725489680000001</v>
      </c>
      <c r="H44" s="20" t="n">
        <v>1.3036825</v>
      </c>
      <c r="I44" s="18" t="n">
        <v>38.96469042</v>
      </c>
      <c r="J44" s="20" t="n">
        <v>2.29180318</v>
      </c>
      <c r="K44" s="18" t="n">
        <v>0</v>
      </c>
      <c r="L44" s="20" t="n">
        <v>0</v>
      </c>
      <c r="M44" s="18" t="n">
        <v>2.64647826</v>
      </c>
      <c r="N44" s="20" t="n">
        <v>0.6653067</v>
      </c>
      <c r="O44" s="18" t="n">
        <v>0</v>
      </c>
      <c r="P44" s="20" t="n">
        <v>0</v>
      </c>
      <c r="Q44" s="18" t="n">
        <v>0</v>
      </c>
      <c r="R44" s="20" t="n">
        <v>0</v>
      </c>
      <c r="S44" s="18" t="n">
        <v>25.36435455</v>
      </c>
      <c r="T44" s="20" t="n">
        <v>1.80683231</v>
      </c>
    </row>
    <row r="45" spans="1:20">
      <c r="A45" s="15" t="s">
        <v>468</v>
      </c>
      <c r="B45" s="17" t="n">
        <v>5519</v>
      </c>
      <c r="C45" s="18">
        <f>(4579.0/B45*100)</f>
        <v/>
      </c>
      <c r="D45" s="19" t="n">
        <v>940</v>
      </c>
      <c r="E45" s="18" t="n">
        <v>25.11890903</v>
      </c>
      <c r="F45" s="20" t="n">
        <v>1.63347006</v>
      </c>
      <c r="G45" s="18" t="n">
        <v>15.62794542</v>
      </c>
      <c r="H45" s="20" t="n">
        <v>1.21162848</v>
      </c>
      <c r="I45" s="18" t="n">
        <v>23.84205094</v>
      </c>
      <c r="J45" s="20" t="n">
        <v>1.37746318</v>
      </c>
      <c r="K45" s="18" t="n">
        <v>0</v>
      </c>
      <c r="L45" s="20" t="n">
        <v>0</v>
      </c>
      <c r="M45" s="18" t="n">
        <v>5.56935891</v>
      </c>
      <c r="N45" s="20" t="n">
        <v>0.77499817</v>
      </c>
      <c r="O45" s="18" t="n">
        <v>0.6527768</v>
      </c>
      <c r="P45" s="20" t="n">
        <v>0.29169926</v>
      </c>
      <c r="Q45" s="18" t="n">
        <v>0</v>
      </c>
      <c r="R45" s="20" t="n">
        <v>0</v>
      </c>
      <c r="S45" s="18" t="n">
        <v>29.1889589</v>
      </c>
      <c r="T45" s="20" t="n">
        <v>1.8493089</v>
      </c>
    </row>
    <row r="46" spans="1:20">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c r="S46" s="18" t="s">
        <v>467</v>
      </c>
      <c r="T46" s="20" t="s">
        <v>467</v>
      </c>
    </row>
    <row r="47" spans="1:20">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c r="S47" s="18" t="s">
        <v>467</v>
      </c>
      <c r="T47" s="20" t="s">
        <v>467</v>
      </c>
    </row>
    <row r="48" spans="1:20">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c r="S48" s="18" t="s">
        <v>467</v>
      </c>
      <c r="T48" s="20" t="s">
        <v>467</v>
      </c>
    </row>
    <row r="49" spans="1:20">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c r="S49" s="18" t="s">
        <v>467</v>
      </c>
      <c r="T49" s="20" t="s">
        <v>467</v>
      </c>
    </row>
    <row r="50" spans="1:20">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c r="S50" s="18" t="s">
        <v>467</v>
      </c>
      <c r="T50" s="20" t="s">
        <v>467</v>
      </c>
    </row>
    <row r="51" spans="1:20">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c r="S51" s="18" t="s">
        <v>467</v>
      </c>
      <c r="T51" s="20" t="s">
        <v>467</v>
      </c>
    </row>
    <row r="52" spans="1:20">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c r="S52" s="18" t="s">
        <v>467</v>
      </c>
      <c r="T52" s="20" t="s">
        <v>467</v>
      </c>
    </row>
    <row r="53" spans="1:20">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c r="S53" s="18" t="s">
        <v>467</v>
      </c>
      <c r="T53" s="20" t="s">
        <v>467</v>
      </c>
    </row>
    <row r="54" spans="1:20">
      <c r="A54" s="15" t="s">
        <v>477</v>
      </c>
      <c r="B54" s="17" t="n">
        <v>5316</v>
      </c>
      <c r="C54" s="18">
        <f>(4420.0/B54*100)</f>
        <v/>
      </c>
      <c r="D54" s="19" t="n">
        <v>896</v>
      </c>
      <c r="E54" s="18" t="n">
        <v>22.53294207</v>
      </c>
      <c r="F54" s="20" t="n">
        <v>1.55172752</v>
      </c>
      <c r="G54" s="18" t="n">
        <v>2.45907778</v>
      </c>
      <c r="H54" s="20" t="n">
        <v>0.61238302</v>
      </c>
      <c r="I54" s="18" t="n">
        <v>44.43802863</v>
      </c>
      <c r="J54" s="20" t="n">
        <v>1.92791986</v>
      </c>
      <c r="K54" s="18" t="n">
        <v>0</v>
      </c>
      <c r="L54" s="20" t="n">
        <v>0</v>
      </c>
      <c r="M54" s="18" t="n">
        <v>1.36494092</v>
      </c>
      <c r="N54" s="20" t="n">
        <v>0.39957393</v>
      </c>
      <c r="O54" s="18" t="n">
        <v>0.29913152</v>
      </c>
      <c r="P54" s="20" t="n">
        <v>0.16077095</v>
      </c>
      <c r="Q54" s="18" t="n">
        <v>0.30403541</v>
      </c>
      <c r="R54" s="20" t="n">
        <v>0.1655155</v>
      </c>
      <c r="S54" s="18" t="n">
        <v>28.60184366</v>
      </c>
      <c r="T54" s="20" t="n">
        <v>1.54569829</v>
      </c>
    </row>
    <row r="55" spans="1:20">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c r="S55" s="18" t="s">
        <v>467</v>
      </c>
      <c r="T55" s="20" t="s">
        <v>467</v>
      </c>
    </row>
    <row r="56" spans="1:20">
      <c r="A56" s="15" t="s">
        <v>479</v>
      </c>
      <c r="B56" s="17" t="n">
        <v>6513</v>
      </c>
      <c r="C56" s="18">
        <f>(5435.0/B56*100)</f>
        <v/>
      </c>
      <c r="D56" s="19" t="n">
        <v>1078</v>
      </c>
      <c r="E56" s="18" t="n">
        <v>42.48007671</v>
      </c>
      <c r="F56" s="20" t="n">
        <v>1.8171071</v>
      </c>
      <c r="G56" s="18" t="n">
        <v>17.68980827</v>
      </c>
      <c r="H56" s="20" t="n">
        <v>1.32688997</v>
      </c>
      <c r="I56" s="18" t="n">
        <v>31.54908681</v>
      </c>
      <c r="J56" s="20" t="n">
        <v>1.67379805</v>
      </c>
      <c r="K56" s="18" t="n">
        <v>0</v>
      </c>
      <c r="L56" s="20" t="n">
        <v>0</v>
      </c>
      <c r="M56" s="18" t="n">
        <v>0.49888596</v>
      </c>
      <c r="N56" s="20" t="n">
        <v>0.23202661</v>
      </c>
      <c r="O56" s="18" t="n">
        <v>0.21535996</v>
      </c>
      <c r="P56" s="20" t="n">
        <v>0.15071145</v>
      </c>
      <c r="Q56" s="18" t="n">
        <v>0</v>
      </c>
      <c r="R56" s="20" t="n">
        <v>0</v>
      </c>
      <c r="S56" s="18" t="n">
        <v>7.5667823</v>
      </c>
      <c r="T56" s="20" t="n">
        <v>1.02372977</v>
      </c>
    </row>
    <row r="57" spans="1:20">
      <c r="A57" s="15" t="s">
        <v>480</v>
      </c>
      <c r="B57" s="17" t="n">
        <v>7267</v>
      </c>
      <c r="C57" s="18">
        <f>(6058.0/B57*100)</f>
        <v/>
      </c>
      <c r="D57" s="19" t="n">
        <v>1209</v>
      </c>
      <c r="E57" s="18" t="n">
        <v>32.2511659</v>
      </c>
      <c r="F57" s="20" t="n">
        <v>1.40862991</v>
      </c>
      <c r="G57" s="18" t="n">
        <v>12.77062568</v>
      </c>
      <c r="H57" s="20" t="n">
        <v>1.14201694</v>
      </c>
      <c r="I57" s="18" t="n">
        <v>33.69062441</v>
      </c>
      <c r="J57" s="20" t="n">
        <v>1.71032858</v>
      </c>
      <c r="K57" s="18" t="n">
        <v>0</v>
      </c>
      <c r="L57" s="20" t="n">
        <v>0</v>
      </c>
      <c r="M57" s="18" t="n">
        <v>2.49056627</v>
      </c>
      <c r="N57" s="20" t="n">
        <v>0.59190977</v>
      </c>
      <c r="O57" s="18" t="n">
        <v>0</v>
      </c>
      <c r="P57" s="20" t="n">
        <v>0</v>
      </c>
      <c r="Q57" s="18" t="n">
        <v>0</v>
      </c>
      <c r="R57" s="20" t="n">
        <v>0</v>
      </c>
      <c r="S57" s="18" t="n">
        <v>18.79701774</v>
      </c>
      <c r="T57" s="20" t="n">
        <v>1.33572317</v>
      </c>
    </row>
    <row r="58" spans="1:20">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c r="S58" s="21" t="s">
        <v>482</v>
      </c>
      <c r="T58" s="22" t="s">
        <v>482</v>
      </c>
    </row>
    <row r="59" spans="1:20">
      <c r="A59" s="15" t="s">
        <v>483</v>
      </c>
      <c r="B59" s="17" t="n">
        <v>4826</v>
      </c>
      <c r="C59" s="18">
        <f>(4007.0/B59*100)</f>
        <v/>
      </c>
      <c r="D59" s="19" t="n">
        <v>819</v>
      </c>
      <c r="E59" s="18" t="n">
        <v>50.1934793</v>
      </c>
      <c r="F59" s="20" t="n">
        <v>2.32358955</v>
      </c>
      <c r="G59" s="18" t="n">
        <v>5.65030875</v>
      </c>
      <c r="H59" s="20" t="n">
        <v>0.95974814</v>
      </c>
      <c r="I59" s="18" t="n">
        <v>24.53495347</v>
      </c>
      <c r="J59" s="20" t="n">
        <v>1.69232267</v>
      </c>
      <c r="K59" s="18" t="n">
        <v>0</v>
      </c>
      <c r="L59" s="20" t="n">
        <v>0</v>
      </c>
      <c r="M59" s="18" t="n">
        <v>0.5743810499999999</v>
      </c>
      <c r="N59" s="20" t="n">
        <v>0.25377151</v>
      </c>
      <c r="O59" s="18" t="n">
        <v>0</v>
      </c>
      <c r="P59" s="20" t="n">
        <v>0</v>
      </c>
      <c r="Q59" s="18" t="n">
        <v>0</v>
      </c>
      <c r="R59" s="20" t="n">
        <v>0</v>
      </c>
      <c r="S59" s="18" t="n">
        <v>19.04687743</v>
      </c>
      <c r="T59" s="20" t="n">
        <v>1.8645665</v>
      </c>
    </row>
    <row r="60" spans="1:20">
      <c r="A60" s="15" t="s">
        <v>484</v>
      </c>
      <c r="B60" s="17" t="n">
        <v>4546</v>
      </c>
      <c r="C60" s="18">
        <f>(3788.0/B60*100)</f>
        <v/>
      </c>
      <c r="D60" s="19" t="n">
        <v>758</v>
      </c>
      <c r="E60" s="18" t="n">
        <v>22.26250887</v>
      </c>
      <c r="F60" s="20" t="n">
        <v>1.90294226</v>
      </c>
      <c r="G60" s="18" t="n">
        <v>7.08081889</v>
      </c>
      <c r="H60" s="20" t="n">
        <v>1.0298577</v>
      </c>
      <c r="I60" s="18" t="n">
        <v>32.65118874</v>
      </c>
      <c r="J60" s="20" t="n">
        <v>2.06684764</v>
      </c>
      <c r="K60" s="18" t="n">
        <v>0</v>
      </c>
      <c r="L60" s="20" t="n">
        <v>0</v>
      </c>
      <c r="M60" s="18" t="n">
        <v>2.92327225</v>
      </c>
      <c r="N60" s="20" t="n">
        <v>0.57754439</v>
      </c>
      <c r="O60" s="18" t="n">
        <v>0</v>
      </c>
      <c r="P60" s="20" t="n">
        <v>0</v>
      </c>
      <c r="Q60" s="18" t="n">
        <v>0</v>
      </c>
      <c r="R60" s="20" t="n">
        <v>0</v>
      </c>
      <c r="S60" s="18" t="n">
        <v>35.08221125</v>
      </c>
      <c r="T60" s="20" t="n">
        <v>2.18908654</v>
      </c>
    </row>
    <row r="61" spans="1:20">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c r="S61" s="18" t="s">
        <v>467</v>
      </c>
      <c r="T61" s="20" t="s">
        <v>467</v>
      </c>
    </row>
    <row r="62" spans="1:20">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c r="S62" s="18" t="s">
        <v>467</v>
      </c>
      <c r="T62" s="20" t="s">
        <v>467</v>
      </c>
    </row>
    <row r="63" spans="1:20">
      <c r="A63" s="15" t="s">
        <v>487</v>
      </c>
      <c r="B63" s="17" t="n">
        <v>5324</v>
      </c>
      <c r="C63" s="18">
        <f>(4435.0/B63*100)</f>
        <v/>
      </c>
      <c r="D63" s="19" t="n">
        <v>889</v>
      </c>
      <c r="E63" s="18" t="n">
        <v>22.8146884</v>
      </c>
      <c r="F63" s="20" t="n">
        <v>1.54158646</v>
      </c>
      <c r="G63" s="18" t="n">
        <v>8.75391372</v>
      </c>
      <c r="H63" s="20" t="n">
        <v>1.18665455</v>
      </c>
      <c r="I63" s="18" t="n">
        <v>26.80150688</v>
      </c>
      <c r="J63" s="20" t="n">
        <v>1.67148867</v>
      </c>
      <c r="K63" s="18" t="n">
        <v>0</v>
      </c>
      <c r="L63" s="20" t="n">
        <v>0</v>
      </c>
      <c r="M63" s="18" t="n">
        <v>2.03031534</v>
      </c>
      <c r="N63" s="20" t="n">
        <v>0.48441581</v>
      </c>
      <c r="O63" s="18" t="n">
        <v>0</v>
      </c>
      <c r="P63" s="20" t="n">
        <v>0</v>
      </c>
      <c r="Q63" s="18" t="n">
        <v>0</v>
      </c>
      <c r="R63" s="20" t="n">
        <v>0</v>
      </c>
      <c r="S63" s="18" t="n">
        <v>39.59957565</v>
      </c>
      <c r="T63" s="20" t="n">
        <v>1.5917861</v>
      </c>
    </row>
    <row r="64" spans="1:20">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c r="S64" s="21" t="s">
        <v>482</v>
      </c>
      <c r="T64" s="22" t="s">
        <v>482</v>
      </c>
    </row>
    <row r="65" spans="1:20">
      <c r="A65" s="15" t="s">
        <v>489</v>
      </c>
      <c r="B65" s="17" t="n">
        <v>3634</v>
      </c>
      <c r="C65" s="18">
        <f>(3024.0/B65*100)</f>
        <v/>
      </c>
      <c r="D65" s="19" t="n">
        <v>610</v>
      </c>
      <c r="E65" s="18" t="n">
        <v>14.42562621</v>
      </c>
      <c r="F65" s="20" t="n">
        <v>1.54901843</v>
      </c>
      <c r="G65" s="18" t="n">
        <v>2.64325537</v>
      </c>
      <c r="H65" s="20" t="n">
        <v>0.67055365</v>
      </c>
      <c r="I65" s="18" t="n">
        <v>63.11538882</v>
      </c>
      <c r="J65" s="20" t="n">
        <v>2.02127429</v>
      </c>
      <c r="K65" s="18" t="n">
        <v>0</v>
      </c>
      <c r="L65" s="20" t="n">
        <v>0</v>
      </c>
      <c r="M65" s="18" t="n">
        <v>2.25720476</v>
      </c>
      <c r="N65" s="20" t="n">
        <v>0.66668328</v>
      </c>
      <c r="O65" s="18" t="n">
        <v>0.16044726</v>
      </c>
      <c r="P65" s="20" t="n">
        <v>0.16122452</v>
      </c>
      <c r="Q65" s="18" t="n">
        <v>0</v>
      </c>
      <c r="R65" s="20" t="n">
        <v>0</v>
      </c>
      <c r="S65" s="18" t="n">
        <v>17.39807758</v>
      </c>
      <c r="T65" s="20" t="n">
        <v>1.7759717</v>
      </c>
    </row>
    <row r="66" spans="1:20">
      <c r="A66" s="15" t="s">
        <v>490</v>
      </c>
      <c r="B66" s="17" t="n">
        <v>5325</v>
      </c>
      <c r="C66" s="18">
        <f>(4444.0/B66*100)</f>
        <v/>
      </c>
      <c r="D66" s="19" t="n">
        <v>881</v>
      </c>
      <c r="E66" s="18" t="n">
        <v>21.59348648</v>
      </c>
      <c r="F66" s="20" t="n">
        <v>1.51897459</v>
      </c>
      <c r="G66" s="18" t="n">
        <v>6.77067887</v>
      </c>
      <c r="H66" s="20" t="n">
        <v>0.98327524</v>
      </c>
      <c r="I66" s="18" t="n">
        <v>39.94539479</v>
      </c>
      <c r="J66" s="20" t="n">
        <v>1.91428999</v>
      </c>
      <c r="K66" s="18" t="n">
        <v>0</v>
      </c>
      <c r="L66" s="20" t="n">
        <v>0</v>
      </c>
      <c r="M66" s="18" t="n">
        <v>3.66921405</v>
      </c>
      <c r="N66" s="20" t="n">
        <v>0.61858192</v>
      </c>
      <c r="O66" s="18" t="n">
        <v>0</v>
      </c>
      <c r="P66" s="20" t="n">
        <v>0</v>
      </c>
      <c r="Q66" s="18" t="n">
        <v>0</v>
      </c>
      <c r="R66" s="20" t="n">
        <v>0</v>
      </c>
      <c r="S66" s="18" t="n">
        <v>28.02122582</v>
      </c>
      <c r="T66" s="20" t="n">
        <v>1.80030804</v>
      </c>
    </row>
    <row r="67" spans="1:20">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c r="S67" s="18" t="s">
        <v>467</v>
      </c>
      <c r="T67" s="20" t="s">
        <v>467</v>
      </c>
    </row>
    <row r="68" spans="1:20">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c r="S68" s="18" t="s">
        <v>467</v>
      </c>
      <c r="T68" s="20" t="s">
        <v>467</v>
      </c>
    </row>
    <row r="69" spans="1:20">
      <c r="A69" s="15" t="s">
        <v>493</v>
      </c>
      <c r="B69" s="17" t="n">
        <v>1398</v>
      </c>
      <c r="C69" s="18">
        <f>(1169.0/B69*100)</f>
        <v/>
      </c>
      <c r="D69" s="19" t="n">
        <v>229</v>
      </c>
      <c r="E69" s="18" t="n">
        <v>32.85134321</v>
      </c>
      <c r="F69" s="20" t="n">
        <v>2.94000456</v>
      </c>
      <c r="G69" s="18" t="n">
        <v>7.49277052</v>
      </c>
      <c r="H69" s="20" t="n">
        <v>2.54362555</v>
      </c>
      <c r="I69" s="18" t="n">
        <v>35.7214476</v>
      </c>
      <c r="J69" s="20" t="n">
        <v>3.79510342</v>
      </c>
      <c r="K69" s="18" t="n">
        <v>0</v>
      </c>
      <c r="L69" s="20" t="n">
        <v>0</v>
      </c>
      <c r="M69" s="18" t="n">
        <v>0</v>
      </c>
      <c r="N69" s="20" t="n">
        <v>0</v>
      </c>
      <c r="O69" s="18" t="n">
        <v>0</v>
      </c>
      <c r="P69" s="20" t="n">
        <v>0</v>
      </c>
      <c r="Q69" s="18" t="n">
        <v>0</v>
      </c>
      <c r="R69" s="20" t="n">
        <v>0</v>
      </c>
      <c r="S69" s="18" t="n">
        <v>23.93443867</v>
      </c>
      <c r="T69" s="20" t="n">
        <v>3.23661176</v>
      </c>
    </row>
    <row r="70" spans="1:20">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c r="S70" s="18" t="s">
        <v>467</v>
      </c>
      <c r="T70" s="20" t="s">
        <v>467</v>
      </c>
    </row>
    <row r="71" spans="1:20">
      <c r="A71" s="15" t="s">
        <v>495</v>
      </c>
      <c r="B71" s="17" t="n">
        <v>4876</v>
      </c>
      <c r="C71" s="18">
        <f>(4049.0/B71*100)</f>
        <v/>
      </c>
      <c r="D71" s="19" t="n">
        <v>827</v>
      </c>
      <c r="E71" s="18" t="n">
        <v>40.83873031</v>
      </c>
      <c r="F71" s="20" t="n">
        <v>1.99495112</v>
      </c>
      <c r="G71" s="18" t="n">
        <v>6.79235284</v>
      </c>
      <c r="H71" s="20" t="n">
        <v>0.65618091</v>
      </c>
      <c r="I71" s="18" t="n">
        <v>50.00715912</v>
      </c>
      <c r="J71" s="20" t="n">
        <v>2.0815176</v>
      </c>
      <c r="K71" s="18" t="n">
        <v>0</v>
      </c>
      <c r="L71" s="20" t="n">
        <v>0</v>
      </c>
      <c r="M71" s="18" t="n">
        <v>0.24484189</v>
      </c>
      <c r="N71" s="20" t="n">
        <v>0.17303082</v>
      </c>
      <c r="O71" s="18" t="n">
        <v>0</v>
      </c>
      <c r="P71" s="20" t="n">
        <v>0</v>
      </c>
      <c r="Q71" s="18" t="n">
        <v>0</v>
      </c>
      <c r="R71" s="20" t="n">
        <v>0</v>
      </c>
      <c r="S71" s="18" t="n">
        <v>2.11691584</v>
      </c>
      <c r="T71" s="20" t="n">
        <v>0.58121148</v>
      </c>
    </row>
    <row r="72" spans="1:20">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c r="S72" s="18" t="s">
        <v>467</v>
      </c>
      <c r="T72" s="20" t="s">
        <v>467</v>
      </c>
    </row>
    <row r="73" spans="1:20">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c r="S73" s="18" t="s">
        <v>467</v>
      </c>
      <c r="T73" s="20" t="s">
        <v>467</v>
      </c>
    </row>
    <row r="74" spans="1:20">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c r="S74" s="18" t="s">
        <v>467</v>
      </c>
      <c r="T74" s="20" t="s">
        <v>467</v>
      </c>
    </row>
    <row r="75" spans="1:20">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c r="S75" s="18" t="s">
        <v>467</v>
      </c>
      <c r="T75" s="20" t="s">
        <v>467</v>
      </c>
    </row>
    <row r="76" spans="1:20">
      <c r="A76" s="15" t="s">
        <v>500</v>
      </c>
      <c r="B76" s="17" t="n">
        <v>4692</v>
      </c>
      <c r="C76" s="18">
        <f>(3927.0/B76*100)</f>
        <v/>
      </c>
      <c r="D76" s="19" t="n">
        <v>765</v>
      </c>
      <c r="E76" s="18" t="n">
        <v>20.2662867</v>
      </c>
      <c r="F76" s="20" t="n">
        <v>1.70341955</v>
      </c>
      <c r="G76" s="18" t="n">
        <v>4.42767815</v>
      </c>
      <c r="H76" s="20" t="n">
        <v>0.76540109</v>
      </c>
      <c r="I76" s="18" t="n">
        <v>44.4147854</v>
      </c>
      <c r="J76" s="20" t="n">
        <v>1.89112586</v>
      </c>
      <c r="K76" s="18" t="n">
        <v>0</v>
      </c>
      <c r="L76" s="20" t="n">
        <v>0</v>
      </c>
      <c r="M76" s="18" t="n">
        <v>4.92834027</v>
      </c>
      <c r="N76" s="20" t="n">
        <v>0.89499098</v>
      </c>
      <c r="O76" s="18" t="n">
        <v>0</v>
      </c>
      <c r="P76" s="20" t="n">
        <v>0</v>
      </c>
      <c r="Q76" s="18" t="n">
        <v>0</v>
      </c>
      <c r="R76" s="20" t="n">
        <v>0</v>
      </c>
      <c r="S76" s="18" t="n">
        <v>25.96290948</v>
      </c>
      <c r="T76" s="20" t="n">
        <v>1.76547285</v>
      </c>
    </row>
    <row r="77" spans="1:20">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c r="S77" s="18" t="s">
        <v>467</v>
      </c>
      <c r="T77" s="20" t="s">
        <v>467</v>
      </c>
    </row>
    <row r="78" spans="1:20">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c r="S78" s="18" t="s">
        <v>467</v>
      </c>
      <c r="T78" s="20" t="s">
        <v>467</v>
      </c>
    </row>
    <row r="79" spans="1:20">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c r="S79" s="18" t="s">
        <v>467</v>
      </c>
      <c r="T79" s="20" t="s">
        <v>467</v>
      </c>
    </row>
    <row r="80" spans="1:20">
      <c r="A80" s="15" t="s">
        <v>504</v>
      </c>
      <c r="B80" s="17" t="n">
        <v>5826</v>
      </c>
      <c r="C80" s="18">
        <f>(4861.0/B80*100)</f>
        <v/>
      </c>
      <c r="D80" s="19" t="n">
        <v>965</v>
      </c>
      <c r="E80" s="18" t="n">
        <v>32.22825072</v>
      </c>
      <c r="F80" s="20" t="n">
        <v>2.23539645</v>
      </c>
      <c r="G80" s="18" t="n">
        <v>7.15572366</v>
      </c>
      <c r="H80" s="20" t="n">
        <v>0.80732646</v>
      </c>
      <c r="I80" s="18" t="n">
        <v>59.81107018</v>
      </c>
      <c r="J80" s="20" t="n">
        <v>2.27202969</v>
      </c>
      <c r="K80" s="18" t="n">
        <v>0</v>
      </c>
      <c r="L80" s="20" t="n">
        <v>0</v>
      </c>
      <c r="M80" s="18" t="n">
        <v>0</v>
      </c>
      <c r="N80" s="20" t="n">
        <v>0</v>
      </c>
      <c r="O80" s="18" t="n">
        <v>0</v>
      </c>
      <c r="P80" s="20" t="n">
        <v>0</v>
      </c>
      <c r="Q80" s="18" t="n">
        <v>0</v>
      </c>
      <c r="R80" s="20" t="n">
        <v>0</v>
      </c>
      <c r="S80" s="18" t="n">
        <v>0.80495544</v>
      </c>
      <c r="T80" s="20" t="n">
        <v>0.27842707</v>
      </c>
    </row>
    <row r="81" spans="1:20">
      <c r="A81" s="15" t="s">
        <v>505</v>
      </c>
      <c r="B81" s="17" t="n">
        <v>1657</v>
      </c>
      <c r="C81" s="18">
        <f>(1389.0/B81*100)</f>
        <v/>
      </c>
      <c r="D81" s="19" t="n">
        <v>268</v>
      </c>
      <c r="E81" s="18" t="n">
        <v>12.79129703</v>
      </c>
      <c r="F81" s="20" t="n">
        <v>2.11210772</v>
      </c>
      <c r="G81" s="18" t="n">
        <v>4.37565002</v>
      </c>
      <c r="H81" s="20" t="n">
        <v>1.25940174</v>
      </c>
      <c r="I81" s="18" t="n">
        <v>61.70280658</v>
      </c>
      <c r="J81" s="20" t="n">
        <v>3.55081631</v>
      </c>
      <c r="K81" s="18" t="n">
        <v>0</v>
      </c>
      <c r="L81" s="20" t="n">
        <v>0</v>
      </c>
      <c r="M81" s="18" t="n">
        <v>4.20045884</v>
      </c>
      <c r="N81" s="20" t="n">
        <v>1.61995104</v>
      </c>
      <c r="O81" s="18" t="n">
        <v>0</v>
      </c>
      <c r="P81" s="20" t="n">
        <v>0</v>
      </c>
      <c r="Q81" s="18" t="n">
        <v>0</v>
      </c>
      <c r="R81" s="20" t="n">
        <v>0</v>
      </c>
      <c r="S81" s="18" t="n">
        <v>16.92978753</v>
      </c>
      <c r="T81" s="20" t="n">
        <v>2.63733294</v>
      </c>
    </row>
    <row r="82" spans="1:20">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c r="S82" s="18" t="s">
        <v>467</v>
      </c>
      <c r="T82" s="20" t="s">
        <v>467</v>
      </c>
    </row>
    <row r="83" spans="1:20">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c r="S83" s="18" t="s">
        <v>467</v>
      </c>
      <c r="T83" s="20" t="s">
        <v>467</v>
      </c>
    </row>
    <row r="84" spans="1:20">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c r="S84" s="18" t="s">
        <v>467</v>
      </c>
      <c r="T84" s="20" t="s">
        <v>467</v>
      </c>
    </row>
    <row r="86" spans="1:20">
      <c r="A86" s="3" t="s">
        <v>509</v>
      </c>
    </row>
    <row r="87" spans="1:20">
      <c r="A87" s="26" t="s">
        <v>510</v>
      </c>
    </row>
    <row r="88" spans="1:20">
      <c r="A88" s="26" t="s">
        <v>511</v>
      </c>
    </row>
    <row customHeight="1" ht="30" r="89" spans="1:20">
      <c r="A89" s="26" t="s">
        <v>512</v>
      </c>
    </row>
    <row customHeight="1" ht="30" r="90" spans="1:20">
      <c r="A90" s="26" t="s">
        <v>513</v>
      </c>
    </row>
    <row customHeight="1" ht="30" r="91" spans="1:20">
      <c r="A91" s="26" t="s">
        <v>514</v>
      </c>
    </row>
    <row customHeight="1" ht="30" r="92" spans="1:20">
      <c r="A92" s="26" t="s">
        <v>515</v>
      </c>
    </row>
    <row customHeight="1" ht="30" r="93" spans="1:20">
      <c r="A93" s="26" t="s">
        <v>516</v>
      </c>
    </row>
    <row customHeight="1" ht="30" r="94" spans="1:20">
      <c r="A94" s="26" t="s">
        <v>517</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59.97490067</v>
      </c>
      <c r="F44" s="20" t="n">
        <v>1.83161019</v>
      </c>
      <c r="G44" s="18" t="n">
        <v>21.02246224</v>
      </c>
      <c r="H44" s="20" t="n">
        <v>1.6756001</v>
      </c>
      <c r="I44" s="18" t="n">
        <v>0</v>
      </c>
      <c r="J44" s="20" t="n">
        <v>0</v>
      </c>
      <c r="K44" s="18" t="n">
        <v>2.75948501</v>
      </c>
      <c r="L44" s="20" t="n">
        <v>0.6962623999999999</v>
      </c>
      <c r="M44" s="18" t="n">
        <v>0</v>
      </c>
      <c r="N44" s="20" t="n">
        <v>0</v>
      </c>
      <c r="O44" s="18" t="n">
        <v>0</v>
      </c>
      <c r="P44" s="20" t="n">
        <v>0</v>
      </c>
      <c r="Q44" s="18" t="n">
        <v>16.24315208</v>
      </c>
      <c r="R44" s="20" t="n">
        <v>1.53060571</v>
      </c>
    </row>
    <row r="45" spans="1:18">
      <c r="A45" s="15" t="s">
        <v>468</v>
      </c>
      <c r="B45" s="17" t="n">
        <v>5519</v>
      </c>
      <c r="C45" s="18">
        <f>(4579.0/B45*100)</f>
        <v/>
      </c>
      <c r="D45" s="19" t="n">
        <v>940</v>
      </c>
      <c r="E45" s="18" t="n">
        <v>70.17289082000001</v>
      </c>
      <c r="F45" s="20" t="n">
        <v>1.47766516</v>
      </c>
      <c r="G45" s="18" t="n">
        <v>12.80946066</v>
      </c>
      <c r="H45" s="20" t="n">
        <v>1.14401213</v>
      </c>
      <c r="I45" s="18" t="n">
        <v>0</v>
      </c>
      <c r="J45" s="20" t="n">
        <v>0</v>
      </c>
      <c r="K45" s="18" t="n">
        <v>5.72240564</v>
      </c>
      <c r="L45" s="20" t="n">
        <v>0.81125547</v>
      </c>
      <c r="M45" s="18" t="n">
        <v>0.30533762</v>
      </c>
      <c r="N45" s="20" t="n">
        <v>0.18025549</v>
      </c>
      <c r="O45" s="18" t="n">
        <v>0.21555782</v>
      </c>
      <c r="P45" s="20" t="n">
        <v>0.14052908</v>
      </c>
      <c r="Q45" s="18" t="n">
        <v>10.77434744</v>
      </c>
      <c r="R45" s="20" t="n">
        <v>0.98240595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56.25390179</v>
      </c>
      <c r="F54" s="20" t="n">
        <v>2.06733669</v>
      </c>
      <c r="G54" s="18" t="n">
        <v>28.64723007</v>
      </c>
      <c r="H54" s="20" t="n">
        <v>1.64923071</v>
      </c>
      <c r="I54" s="18" t="n">
        <v>0</v>
      </c>
      <c r="J54" s="20" t="n">
        <v>0</v>
      </c>
      <c r="K54" s="18" t="n">
        <v>1.51984696</v>
      </c>
      <c r="L54" s="20" t="n">
        <v>0.42440491</v>
      </c>
      <c r="M54" s="18" t="n">
        <v>0.29913152</v>
      </c>
      <c r="N54" s="20" t="n">
        <v>0.16077095</v>
      </c>
      <c r="O54" s="18" t="n">
        <v>0.31354195</v>
      </c>
      <c r="P54" s="20" t="n">
        <v>0.17720146</v>
      </c>
      <c r="Q54" s="18" t="n">
        <v>12.96634771</v>
      </c>
      <c r="R54" s="20" t="n">
        <v>1.20216347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68.68971499</v>
      </c>
      <c r="F56" s="20" t="n">
        <v>1.44221642</v>
      </c>
      <c r="G56" s="18" t="n">
        <v>26.76960205</v>
      </c>
      <c r="H56" s="20" t="n">
        <v>1.48934003</v>
      </c>
      <c r="I56" s="18" t="n">
        <v>0</v>
      </c>
      <c r="J56" s="20" t="n">
        <v>0</v>
      </c>
      <c r="K56" s="18" t="n">
        <v>0.49888596</v>
      </c>
      <c r="L56" s="20" t="n">
        <v>0.23202661</v>
      </c>
      <c r="M56" s="18" t="n">
        <v>0.21535996</v>
      </c>
      <c r="N56" s="20" t="n">
        <v>0.15071145</v>
      </c>
      <c r="O56" s="18" t="n">
        <v>0.23476608</v>
      </c>
      <c r="P56" s="20" t="n">
        <v>0.23218798</v>
      </c>
      <c r="Q56" s="18" t="n">
        <v>3.59167095</v>
      </c>
      <c r="R56" s="20" t="n">
        <v>0.58966763</v>
      </c>
    </row>
    <row r="57" spans="1:18">
      <c r="A57" s="15" t="s">
        <v>480</v>
      </c>
      <c r="B57" s="17" t="n">
        <v>7267</v>
      </c>
      <c r="C57" s="18">
        <f>(6058.0/B57*100)</f>
        <v/>
      </c>
      <c r="D57" s="19" t="n">
        <v>1209</v>
      </c>
      <c r="E57" s="18" t="n">
        <v>57.78771252</v>
      </c>
      <c r="F57" s="20" t="n">
        <v>1.7044559</v>
      </c>
      <c r="G57" s="18" t="n">
        <v>32.26182594</v>
      </c>
      <c r="H57" s="20" t="n">
        <v>1.64455766</v>
      </c>
      <c r="I57" s="18" t="n">
        <v>0</v>
      </c>
      <c r="J57" s="20" t="n">
        <v>0</v>
      </c>
      <c r="K57" s="18" t="n">
        <v>2.71529902</v>
      </c>
      <c r="L57" s="20" t="n">
        <v>0.59642693</v>
      </c>
      <c r="M57" s="18" t="n">
        <v>0</v>
      </c>
      <c r="N57" s="20" t="n">
        <v>0</v>
      </c>
      <c r="O57" s="18" t="n">
        <v>0</v>
      </c>
      <c r="P57" s="20" t="n">
        <v>0</v>
      </c>
      <c r="Q57" s="18" t="n">
        <v>7.23516252</v>
      </c>
      <c r="R57" s="20" t="n">
        <v>0.82317624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66.31910139</v>
      </c>
      <c r="F59" s="20" t="n">
        <v>2.00840526</v>
      </c>
      <c r="G59" s="18" t="n">
        <v>25.7386368</v>
      </c>
      <c r="H59" s="20" t="n">
        <v>2.01862244</v>
      </c>
      <c r="I59" s="18" t="n">
        <v>0</v>
      </c>
      <c r="J59" s="20" t="n">
        <v>0</v>
      </c>
      <c r="K59" s="18" t="n">
        <v>0.8178737</v>
      </c>
      <c r="L59" s="20" t="n">
        <v>0.29926171</v>
      </c>
      <c r="M59" s="18" t="n">
        <v>0</v>
      </c>
      <c r="N59" s="20" t="n">
        <v>0</v>
      </c>
      <c r="O59" s="18" t="n">
        <v>0</v>
      </c>
      <c r="P59" s="20" t="n">
        <v>0</v>
      </c>
      <c r="Q59" s="18" t="n">
        <v>7.12438811</v>
      </c>
      <c r="R59" s="20" t="n">
        <v>1.15723225</v>
      </c>
    </row>
    <row r="60" spans="1:18">
      <c r="A60" s="15" t="s">
        <v>484</v>
      </c>
      <c r="B60" s="17" t="n">
        <v>4546</v>
      </c>
      <c r="C60" s="18">
        <f>(3788.0/B60*100)</f>
        <v/>
      </c>
      <c r="D60" s="19" t="n">
        <v>758</v>
      </c>
      <c r="E60" s="18" t="n">
        <v>51.04107865</v>
      </c>
      <c r="F60" s="20" t="n">
        <v>2.20342209</v>
      </c>
      <c r="G60" s="18" t="n">
        <v>25.76508367</v>
      </c>
      <c r="H60" s="20" t="n">
        <v>1.79675946</v>
      </c>
      <c r="I60" s="18" t="n">
        <v>0</v>
      </c>
      <c r="J60" s="20" t="n">
        <v>0</v>
      </c>
      <c r="K60" s="18" t="n">
        <v>2.93752758</v>
      </c>
      <c r="L60" s="20" t="n">
        <v>0.57784028</v>
      </c>
      <c r="M60" s="18" t="n">
        <v>0.10078571</v>
      </c>
      <c r="N60" s="20" t="n">
        <v>0.10188324</v>
      </c>
      <c r="O60" s="18" t="n">
        <v>0</v>
      </c>
      <c r="P60" s="20" t="n">
        <v>0</v>
      </c>
      <c r="Q60" s="18" t="n">
        <v>20.15552438</v>
      </c>
      <c r="R60" s="20" t="n">
        <v>2.0896567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63.85617261</v>
      </c>
      <c r="F63" s="20" t="n">
        <v>1.72888404</v>
      </c>
      <c r="G63" s="18" t="n">
        <v>16.74752196</v>
      </c>
      <c r="H63" s="20" t="n">
        <v>1.49469837</v>
      </c>
      <c r="I63" s="18" t="n">
        <v>0</v>
      </c>
      <c r="J63" s="20" t="n">
        <v>0</v>
      </c>
      <c r="K63" s="18" t="n">
        <v>2.03031534</v>
      </c>
      <c r="L63" s="20" t="n">
        <v>0.48441581</v>
      </c>
      <c r="M63" s="18" t="n">
        <v>0</v>
      </c>
      <c r="N63" s="20" t="n">
        <v>0</v>
      </c>
      <c r="O63" s="18" t="n">
        <v>0</v>
      </c>
      <c r="P63" s="20" t="n">
        <v>0</v>
      </c>
      <c r="Q63" s="18" t="n">
        <v>17.36599008</v>
      </c>
      <c r="R63" s="20" t="n">
        <v>1.23716134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50.34926368</v>
      </c>
      <c r="F65" s="20" t="n">
        <v>1.8017442</v>
      </c>
      <c r="G65" s="18" t="n">
        <v>36.95037644</v>
      </c>
      <c r="H65" s="20" t="n">
        <v>1.71697313</v>
      </c>
      <c r="I65" s="18" t="n">
        <v>0</v>
      </c>
      <c r="J65" s="20" t="n">
        <v>0</v>
      </c>
      <c r="K65" s="18" t="n">
        <v>2.25720476</v>
      </c>
      <c r="L65" s="20" t="n">
        <v>0.66668328</v>
      </c>
      <c r="M65" s="18" t="n">
        <v>0.16044726</v>
      </c>
      <c r="N65" s="20" t="n">
        <v>0.16122452</v>
      </c>
      <c r="O65" s="18" t="n">
        <v>0</v>
      </c>
      <c r="P65" s="20" t="n">
        <v>0</v>
      </c>
      <c r="Q65" s="18" t="n">
        <v>10.28270786</v>
      </c>
      <c r="R65" s="20" t="n">
        <v>1.4318972</v>
      </c>
    </row>
    <row r="66" spans="1:18">
      <c r="A66" s="15" t="s">
        <v>490</v>
      </c>
      <c r="B66" s="17" t="n">
        <v>5325</v>
      </c>
      <c r="C66" s="18">
        <f>(4444.0/B66*100)</f>
        <v/>
      </c>
      <c r="D66" s="19" t="n">
        <v>881</v>
      </c>
      <c r="E66" s="18" t="n">
        <v>55.61368722</v>
      </c>
      <c r="F66" s="20" t="n">
        <v>1.64926812</v>
      </c>
      <c r="G66" s="18" t="n">
        <v>28.21853012</v>
      </c>
      <c r="H66" s="20" t="n">
        <v>1.3879728</v>
      </c>
      <c r="I66" s="18" t="n">
        <v>0</v>
      </c>
      <c r="J66" s="20" t="n">
        <v>0</v>
      </c>
      <c r="K66" s="18" t="n">
        <v>3.8582526</v>
      </c>
      <c r="L66" s="20" t="n">
        <v>0.63305701</v>
      </c>
      <c r="M66" s="18" t="n">
        <v>0</v>
      </c>
      <c r="N66" s="20" t="n">
        <v>0</v>
      </c>
      <c r="O66" s="18" t="n">
        <v>0</v>
      </c>
      <c r="P66" s="20" t="n">
        <v>0</v>
      </c>
      <c r="Q66" s="18" t="n">
        <v>12.30953005</v>
      </c>
      <c r="R66" s="20" t="n">
        <v>1.14773975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57.96081401</v>
      </c>
      <c r="F69" s="20" t="n">
        <v>3.34987757</v>
      </c>
      <c r="G69" s="18" t="n">
        <v>38.09398572</v>
      </c>
      <c r="H69" s="20" t="n">
        <v>3.41165203</v>
      </c>
      <c r="I69" s="18" t="n">
        <v>0</v>
      </c>
      <c r="J69" s="20" t="n">
        <v>0</v>
      </c>
      <c r="K69" s="18" t="n">
        <v>0</v>
      </c>
      <c r="L69" s="20" t="n">
        <v>0</v>
      </c>
      <c r="M69" s="18" t="n">
        <v>0</v>
      </c>
      <c r="N69" s="20" t="n">
        <v>0</v>
      </c>
      <c r="O69" s="18" t="n">
        <v>0</v>
      </c>
      <c r="P69" s="20" t="n">
        <v>0</v>
      </c>
      <c r="Q69" s="18" t="n">
        <v>3.94520026</v>
      </c>
      <c r="R69" s="20" t="n">
        <v>1.34014787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55.24562751</v>
      </c>
      <c r="F71" s="20" t="n">
        <v>1.88890982</v>
      </c>
      <c r="G71" s="18" t="n">
        <v>43.91997057</v>
      </c>
      <c r="H71" s="20" t="n">
        <v>1.88691978</v>
      </c>
      <c r="I71" s="18" t="n">
        <v>0</v>
      </c>
      <c r="J71" s="20" t="n">
        <v>0</v>
      </c>
      <c r="K71" s="18" t="n">
        <v>0.24484189</v>
      </c>
      <c r="L71" s="20" t="n">
        <v>0.17303082</v>
      </c>
      <c r="M71" s="18" t="n">
        <v>0</v>
      </c>
      <c r="N71" s="20" t="n">
        <v>0</v>
      </c>
      <c r="O71" s="18" t="n">
        <v>0</v>
      </c>
      <c r="P71" s="20" t="n">
        <v>0</v>
      </c>
      <c r="Q71" s="18" t="n">
        <v>0.58956004</v>
      </c>
      <c r="R71" s="20" t="n">
        <v>0.26184225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63.19621437</v>
      </c>
      <c r="F76" s="20" t="n">
        <v>1.89706047</v>
      </c>
      <c r="G76" s="18" t="n">
        <v>17.65056342</v>
      </c>
      <c r="H76" s="20" t="n">
        <v>1.46647108</v>
      </c>
      <c r="I76" s="18" t="n">
        <v>0</v>
      </c>
      <c r="J76" s="20" t="n">
        <v>0</v>
      </c>
      <c r="K76" s="18" t="n">
        <v>5.42284394</v>
      </c>
      <c r="L76" s="20" t="n">
        <v>0.85450955</v>
      </c>
      <c r="M76" s="18" t="n">
        <v>0</v>
      </c>
      <c r="N76" s="20" t="n">
        <v>0</v>
      </c>
      <c r="O76" s="18" t="n">
        <v>0</v>
      </c>
      <c r="P76" s="20" t="n">
        <v>0</v>
      </c>
      <c r="Q76" s="18" t="n">
        <v>13.73037827</v>
      </c>
      <c r="R76" s="20" t="n">
        <v>1.23636832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54.0324941</v>
      </c>
      <c r="F80" s="20" t="n">
        <v>1.8162606</v>
      </c>
      <c r="G80" s="18" t="n">
        <v>45.02383046</v>
      </c>
      <c r="H80" s="20" t="n">
        <v>1.77536108</v>
      </c>
      <c r="I80" s="18" t="n">
        <v>0</v>
      </c>
      <c r="J80" s="20" t="n">
        <v>0</v>
      </c>
      <c r="K80" s="18" t="n">
        <v>0</v>
      </c>
      <c r="L80" s="20" t="n">
        <v>0</v>
      </c>
      <c r="M80" s="18" t="n">
        <v>0</v>
      </c>
      <c r="N80" s="20" t="n">
        <v>0</v>
      </c>
      <c r="O80" s="18" t="n">
        <v>0</v>
      </c>
      <c r="P80" s="20" t="n">
        <v>0</v>
      </c>
      <c r="Q80" s="18" t="n">
        <v>0.94367544</v>
      </c>
      <c r="R80" s="20" t="n">
        <v>0.2900924</v>
      </c>
    </row>
    <row r="81" spans="1:18">
      <c r="A81" s="15" t="s">
        <v>505</v>
      </c>
      <c r="B81" s="17" t="n">
        <v>1657</v>
      </c>
      <c r="C81" s="18">
        <f>(1389.0/B81*100)</f>
        <v/>
      </c>
      <c r="D81" s="19" t="n">
        <v>268</v>
      </c>
      <c r="E81" s="18" t="n">
        <v>51.17932943</v>
      </c>
      <c r="F81" s="20" t="n">
        <v>4.02668789</v>
      </c>
      <c r="G81" s="18" t="n">
        <v>38.6847164</v>
      </c>
      <c r="H81" s="20" t="n">
        <v>3.91807395</v>
      </c>
      <c r="I81" s="18" t="n">
        <v>0</v>
      </c>
      <c r="J81" s="20" t="n">
        <v>0</v>
      </c>
      <c r="K81" s="18" t="n">
        <v>4.76635767</v>
      </c>
      <c r="L81" s="20" t="n">
        <v>1.6619768</v>
      </c>
      <c r="M81" s="18" t="n">
        <v>0</v>
      </c>
      <c r="N81" s="20" t="n">
        <v>0</v>
      </c>
      <c r="O81" s="18" t="n">
        <v>0</v>
      </c>
      <c r="P81" s="20" t="n">
        <v>0</v>
      </c>
      <c r="Q81" s="18" t="n">
        <v>5.36959649</v>
      </c>
      <c r="R81" s="20" t="n">
        <v>1.29548332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19.2317358</v>
      </c>
      <c r="F44" s="20" t="n">
        <v>1.5218216</v>
      </c>
      <c r="G44" s="18" t="n">
        <v>64.87887995</v>
      </c>
      <c r="H44" s="20" t="n">
        <v>1.74614861</v>
      </c>
      <c r="I44" s="18" t="n">
        <v>0</v>
      </c>
      <c r="J44" s="20" t="n">
        <v>0</v>
      </c>
      <c r="K44" s="18" t="n">
        <v>2.75948501</v>
      </c>
      <c r="L44" s="20" t="n">
        <v>0.6962623999999999</v>
      </c>
      <c r="M44" s="18" t="n">
        <v>0</v>
      </c>
      <c r="N44" s="20" t="n">
        <v>0</v>
      </c>
      <c r="O44" s="18" t="n">
        <v>0</v>
      </c>
      <c r="P44" s="20" t="n">
        <v>0</v>
      </c>
      <c r="Q44" s="18" t="n">
        <v>13.12989924</v>
      </c>
      <c r="R44" s="20" t="n">
        <v>1.44897415</v>
      </c>
    </row>
    <row r="45" spans="1:18">
      <c r="A45" s="15" t="s">
        <v>468</v>
      </c>
      <c r="B45" s="17" t="n">
        <v>5519</v>
      </c>
      <c r="C45" s="18">
        <f>(4579.0/B45*100)</f>
        <v/>
      </c>
      <c r="D45" s="19" t="n">
        <v>940</v>
      </c>
      <c r="E45" s="18" t="n">
        <v>32.00865291</v>
      </c>
      <c r="F45" s="20" t="n">
        <v>1.60605879</v>
      </c>
      <c r="G45" s="18" t="n">
        <v>52.0288478</v>
      </c>
      <c r="H45" s="20" t="n">
        <v>1.55152647</v>
      </c>
      <c r="I45" s="18" t="n">
        <v>0</v>
      </c>
      <c r="J45" s="20" t="n">
        <v>0</v>
      </c>
      <c r="K45" s="18" t="n">
        <v>5.83314459</v>
      </c>
      <c r="L45" s="20" t="n">
        <v>0.80846999</v>
      </c>
      <c r="M45" s="18" t="n">
        <v>0.30533762</v>
      </c>
      <c r="N45" s="20" t="n">
        <v>0.18025549</v>
      </c>
      <c r="O45" s="18" t="n">
        <v>0.19608423</v>
      </c>
      <c r="P45" s="20" t="n">
        <v>0.14063974</v>
      </c>
      <c r="Q45" s="18" t="n">
        <v>9.62793286</v>
      </c>
      <c r="R45" s="20" t="n">
        <v>1.17209456</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27.96250157</v>
      </c>
      <c r="F54" s="20" t="n">
        <v>1.61150784</v>
      </c>
      <c r="G54" s="18" t="n">
        <v>56.75275978</v>
      </c>
      <c r="H54" s="20" t="n">
        <v>1.65648315</v>
      </c>
      <c r="I54" s="18" t="n">
        <v>0</v>
      </c>
      <c r="J54" s="20" t="n">
        <v>0</v>
      </c>
      <c r="K54" s="18" t="n">
        <v>1.63786023</v>
      </c>
      <c r="L54" s="20" t="n">
        <v>0.43561396</v>
      </c>
      <c r="M54" s="18" t="n">
        <v>0.29913152</v>
      </c>
      <c r="N54" s="20" t="n">
        <v>0.16077095</v>
      </c>
      <c r="O54" s="18" t="n">
        <v>0.21827774</v>
      </c>
      <c r="P54" s="20" t="n">
        <v>0.14851652</v>
      </c>
      <c r="Q54" s="18" t="n">
        <v>13.12946916</v>
      </c>
      <c r="R54" s="20" t="n">
        <v>1.13113797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32.3533138</v>
      </c>
      <c r="F56" s="20" t="n">
        <v>1.70710267</v>
      </c>
      <c r="G56" s="18" t="n">
        <v>63.80889773</v>
      </c>
      <c r="H56" s="20" t="n">
        <v>1.87952235</v>
      </c>
      <c r="I56" s="18" t="n">
        <v>0</v>
      </c>
      <c r="J56" s="20" t="n">
        <v>0</v>
      </c>
      <c r="K56" s="18" t="n">
        <v>0.60568806</v>
      </c>
      <c r="L56" s="20" t="n">
        <v>0.25625861</v>
      </c>
      <c r="M56" s="18" t="n">
        <v>0.21535996</v>
      </c>
      <c r="N56" s="20" t="n">
        <v>0.15071145</v>
      </c>
      <c r="O56" s="18" t="n">
        <v>0.23476608</v>
      </c>
      <c r="P56" s="20" t="n">
        <v>0.23218798</v>
      </c>
      <c r="Q56" s="18" t="n">
        <v>2.78197437</v>
      </c>
      <c r="R56" s="20" t="n">
        <v>0.65712044</v>
      </c>
    </row>
    <row r="57" spans="1:18">
      <c r="A57" s="15" t="s">
        <v>480</v>
      </c>
      <c r="B57" s="17" t="n">
        <v>7267</v>
      </c>
      <c r="C57" s="18">
        <f>(6058.0/B57*100)</f>
        <v/>
      </c>
      <c r="D57" s="19" t="n">
        <v>1209</v>
      </c>
      <c r="E57" s="18" t="n">
        <v>30.6909979</v>
      </c>
      <c r="F57" s="20" t="n">
        <v>1.78605799</v>
      </c>
      <c r="G57" s="18" t="n">
        <v>57.42081588</v>
      </c>
      <c r="H57" s="20" t="n">
        <v>1.90360337</v>
      </c>
      <c r="I57" s="18" t="n">
        <v>0</v>
      </c>
      <c r="J57" s="20" t="n">
        <v>0</v>
      </c>
      <c r="K57" s="18" t="n">
        <v>2.87996031</v>
      </c>
      <c r="L57" s="20" t="n">
        <v>0.60775332</v>
      </c>
      <c r="M57" s="18" t="n">
        <v>0</v>
      </c>
      <c r="N57" s="20" t="n">
        <v>0</v>
      </c>
      <c r="O57" s="18" t="n">
        <v>0</v>
      </c>
      <c r="P57" s="20" t="n">
        <v>0</v>
      </c>
      <c r="Q57" s="18" t="n">
        <v>9.00822591</v>
      </c>
      <c r="R57" s="20" t="n">
        <v>0.9048116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28.10538413</v>
      </c>
      <c r="F59" s="20" t="n">
        <v>1.90716766</v>
      </c>
      <c r="G59" s="18" t="n">
        <v>62.6269126</v>
      </c>
      <c r="H59" s="20" t="n">
        <v>1.98931216</v>
      </c>
      <c r="I59" s="18" t="n">
        <v>0</v>
      </c>
      <c r="J59" s="20" t="n">
        <v>0</v>
      </c>
      <c r="K59" s="18" t="n">
        <v>0.8178737</v>
      </c>
      <c r="L59" s="20" t="n">
        <v>0.29926171</v>
      </c>
      <c r="M59" s="18" t="n">
        <v>0</v>
      </c>
      <c r="N59" s="20" t="n">
        <v>0</v>
      </c>
      <c r="O59" s="18" t="n">
        <v>0</v>
      </c>
      <c r="P59" s="20" t="n">
        <v>0</v>
      </c>
      <c r="Q59" s="18" t="n">
        <v>8.44982957</v>
      </c>
      <c r="R59" s="20" t="n">
        <v>1.2123956</v>
      </c>
    </row>
    <row r="60" spans="1:18">
      <c r="A60" s="15" t="s">
        <v>484</v>
      </c>
      <c r="B60" s="17" t="n">
        <v>4546</v>
      </c>
      <c r="C60" s="18">
        <f>(3788.0/B60*100)</f>
        <v/>
      </c>
      <c r="D60" s="19" t="n">
        <v>758</v>
      </c>
      <c r="E60" s="18" t="n">
        <v>29.3038026</v>
      </c>
      <c r="F60" s="20" t="n">
        <v>1.8675357</v>
      </c>
      <c r="G60" s="18" t="n">
        <v>43.40121392</v>
      </c>
      <c r="H60" s="20" t="n">
        <v>2.03141315</v>
      </c>
      <c r="I60" s="18" t="n">
        <v>0</v>
      </c>
      <c r="J60" s="20" t="n">
        <v>0</v>
      </c>
      <c r="K60" s="18" t="n">
        <v>3.35344413</v>
      </c>
      <c r="L60" s="20" t="n">
        <v>0.67427076</v>
      </c>
      <c r="M60" s="18" t="n">
        <v>0</v>
      </c>
      <c r="N60" s="20" t="n">
        <v>0</v>
      </c>
      <c r="O60" s="18" t="n">
        <v>0</v>
      </c>
      <c r="P60" s="20" t="n">
        <v>0</v>
      </c>
      <c r="Q60" s="18" t="n">
        <v>23.94153935</v>
      </c>
      <c r="R60" s="20" t="n">
        <v>2.08993389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25.64977381</v>
      </c>
      <c r="F63" s="20" t="n">
        <v>1.56410002</v>
      </c>
      <c r="G63" s="18" t="n">
        <v>49.67673559</v>
      </c>
      <c r="H63" s="20" t="n">
        <v>1.8371655</v>
      </c>
      <c r="I63" s="18" t="n">
        <v>0</v>
      </c>
      <c r="J63" s="20" t="n">
        <v>0</v>
      </c>
      <c r="K63" s="18" t="n">
        <v>2.28501818</v>
      </c>
      <c r="L63" s="20" t="n">
        <v>0.5189400199999999</v>
      </c>
      <c r="M63" s="18" t="n">
        <v>0</v>
      </c>
      <c r="N63" s="20" t="n">
        <v>0</v>
      </c>
      <c r="O63" s="18" t="n">
        <v>0</v>
      </c>
      <c r="P63" s="20" t="n">
        <v>0</v>
      </c>
      <c r="Q63" s="18" t="n">
        <v>22.38847241</v>
      </c>
      <c r="R63" s="20" t="n">
        <v>1.59552153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21.81872996</v>
      </c>
      <c r="F65" s="20" t="n">
        <v>1.76513617</v>
      </c>
      <c r="G65" s="18" t="n">
        <v>65.74931264999999</v>
      </c>
      <c r="H65" s="20" t="n">
        <v>1.83260448</v>
      </c>
      <c r="I65" s="18" t="n">
        <v>0</v>
      </c>
      <c r="J65" s="20" t="n">
        <v>0</v>
      </c>
      <c r="K65" s="18" t="n">
        <v>2.476636</v>
      </c>
      <c r="L65" s="20" t="n">
        <v>0.70236721</v>
      </c>
      <c r="M65" s="18" t="n">
        <v>0.16044726</v>
      </c>
      <c r="N65" s="20" t="n">
        <v>0.16122452</v>
      </c>
      <c r="O65" s="18" t="n">
        <v>0</v>
      </c>
      <c r="P65" s="20" t="n">
        <v>0</v>
      </c>
      <c r="Q65" s="18" t="n">
        <v>9.794874139999999</v>
      </c>
      <c r="R65" s="20" t="n">
        <v>1.54006978</v>
      </c>
    </row>
    <row r="66" spans="1:18">
      <c r="A66" s="15" t="s">
        <v>490</v>
      </c>
      <c r="B66" s="17" t="n">
        <v>5325</v>
      </c>
      <c r="C66" s="18">
        <f>(4444.0/B66*100)</f>
        <v/>
      </c>
      <c r="D66" s="19" t="n">
        <v>881</v>
      </c>
      <c r="E66" s="18" t="n">
        <v>25.70578742</v>
      </c>
      <c r="F66" s="20" t="n">
        <v>1.40160057</v>
      </c>
      <c r="G66" s="18" t="n">
        <v>59.22981513</v>
      </c>
      <c r="H66" s="20" t="n">
        <v>1.63517876</v>
      </c>
      <c r="I66" s="18" t="n">
        <v>0</v>
      </c>
      <c r="J66" s="20" t="n">
        <v>0</v>
      </c>
      <c r="K66" s="18" t="n">
        <v>4.17977026</v>
      </c>
      <c r="L66" s="20" t="n">
        <v>0.64268512</v>
      </c>
      <c r="M66" s="18" t="n">
        <v>0</v>
      </c>
      <c r="N66" s="20" t="n">
        <v>0</v>
      </c>
      <c r="O66" s="18" t="n">
        <v>0</v>
      </c>
      <c r="P66" s="20" t="n">
        <v>0</v>
      </c>
      <c r="Q66" s="18" t="n">
        <v>10.88462719</v>
      </c>
      <c r="R66" s="20" t="n">
        <v>1.06504177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26.1247181</v>
      </c>
      <c r="F69" s="20" t="n">
        <v>3.42063777</v>
      </c>
      <c r="G69" s="18" t="n">
        <v>64.44737546</v>
      </c>
      <c r="H69" s="20" t="n">
        <v>3.91287557</v>
      </c>
      <c r="I69" s="18" t="n">
        <v>0</v>
      </c>
      <c r="J69" s="20" t="n">
        <v>0</v>
      </c>
      <c r="K69" s="18" t="n">
        <v>0</v>
      </c>
      <c r="L69" s="20" t="n">
        <v>0</v>
      </c>
      <c r="M69" s="18" t="n">
        <v>0</v>
      </c>
      <c r="N69" s="20" t="n">
        <v>0</v>
      </c>
      <c r="O69" s="18" t="n">
        <v>0</v>
      </c>
      <c r="P69" s="20" t="n">
        <v>0</v>
      </c>
      <c r="Q69" s="18" t="n">
        <v>9.427906439999999</v>
      </c>
      <c r="R69" s="20" t="n">
        <v>2.18662694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29.8040431</v>
      </c>
      <c r="F71" s="20" t="n">
        <v>1.91077718</v>
      </c>
      <c r="G71" s="18" t="n">
        <v>68.77799822999999</v>
      </c>
      <c r="H71" s="20" t="n">
        <v>1.96046713</v>
      </c>
      <c r="I71" s="18" t="n">
        <v>0</v>
      </c>
      <c r="J71" s="20" t="n">
        <v>0</v>
      </c>
      <c r="K71" s="18" t="n">
        <v>0.24484189</v>
      </c>
      <c r="L71" s="20" t="n">
        <v>0.17303082</v>
      </c>
      <c r="M71" s="18" t="n">
        <v>0</v>
      </c>
      <c r="N71" s="20" t="n">
        <v>0</v>
      </c>
      <c r="O71" s="18" t="n">
        <v>0</v>
      </c>
      <c r="P71" s="20" t="n">
        <v>0</v>
      </c>
      <c r="Q71" s="18" t="n">
        <v>1.17311678</v>
      </c>
      <c r="R71" s="20" t="n">
        <v>0.36830965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22.04510921</v>
      </c>
      <c r="F76" s="20" t="n">
        <v>1.56798464</v>
      </c>
      <c r="G76" s="18" t="n">
        <v>60.65198309</v>
      </c>
      <c r="H76" s="20" t="n">
        <v>1.60788769</v>
      </c>
      <c r="I76" s="18" t="n">
        <v>0</v>
      </c>
      <c r="J76" s="20" t="n">
        <v>0</v>
      </c>
      <c r="K76" s="18" t="n">
        <v>5.59447832</v>
      </c>
      <c r="L76" s="20" t="n">
        <v>0.85945659</v>
      </c>
      <c r="M76" s="18" t="n">
        <v>0</v>
      </c>
      <c r="N76" s="20" t="n">
        <v>0</v>
      </c>
      <c r="O76" s="18" t="n">
        <v>0</v>
      </c>
      <c r="P76" s="20" t="n">
        <v>0</v>
      </c>
      <c r="Q76" s="18" t="n">
        <v>11.70842938</v>
      </c>
      <c r="R76" s="20" t="n">
        <v>1.26122006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19.52887546</v>
      </c>
      <c r="F80" s="20" t="n">
        <v>1.70622248</v>
      </c>
      <c r="G80" s="18" t="n">
        <v>79.26426521</v>
      </c>
      <c r="H80" s="20" t="n">
        <v>1.6596472</v>
      </c>
      <c r="I80" s="18" t="n">
        <v>0</v>
      </c>
      <c r="J80" s="20" t="n">
        <v>0</v>
      </c>
      <c r="K80" s="18" t="n">
        <v>0</v>
      </c>
      <c r="L80" s="20" t="n">
        <v>0</v>
      </c>
      <c r="M80" s="18" t="n">
        <v>0</v>
      </c>
      <c r="N80" s="20" t="n">
        <v>0</v>
      </c>
      <c r="O80" s="18" t="n">
        <v>0</v>
      </c>
      <c r="P80" s="20" t="n">
        <v>0</v>
      </c>
      <c r="Q80" s="18" t="n">
        <v>1.20685932</v>
      </c>
      <c r="R80" s="20" t="n">
        <v>0.38430281</v>
      </c>
    </row>
    <row r="81" spans="1:18">
      <c r="A81" s="15" t="s">
        <v>505</v>
      </c>
      <c r="B81" s="17" t="n">
        <v>1657</v>
      </c>
      <c r="C81" s="18">
        <f>(1389.0/B81*100)</f>
        <v/>
      </c>
      <c r="D81" s="19" t="n">
        <v>268</v>
      </c>
      <c r="E81" s="18" t="n">
        <v>21.46654749</v>
      </c>
      <c r="F81" s="20" t="n">
        <v>3.08188042</v>
      </c>
      <c r="G81" s="18" t="n">
        <v>68.75879272</v>
      </c>
      <c r="H81" s="20" t="n">
        <v>3.58359602</v>
      </c>
      <c r="I81" s="18" t="n">
        <v>0</v>
      </c>
      <c r="J81" s="20" t="n">
        <v>0</v>
      </c>
      <c r="K81" s="18" t="n">
        <v>4.76635767</v>
      </c>
      <c r="L81" s="20" t="n">
        <v>1.6619768</v>
      </c>
      <c r="M81" s="18" t="n">
        <v>0</v>
      </c>
      <c r="N81" s="20" t="n">
        <v>0</v>
      </c>
      <c r="O81" s="18" t="n">
        <v>0</v>
      </c>
      <c r="P81" s="20" t="n">
        <v>0</v>
      </c>
      <c r="Q81" s="18" t="n">
        <v>5.00830211</v>
      </c>
      <c r="R81" s="20" t="n">
        <v>1.16638964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31.47780629</v>
      </c>
      <c r="F44" s="20" t="n">
        <v>1.84247229</v>
      </c>
      <c r="G44" s="18" t="n">
        <v>58.41416091</v>
      </c>
      <c r="H44" s="20" t="n">
        <v>2.09816694</v>
      </c>
      <c r="I44" s="18" t="n">
        <v>0</v>
      </c>
      <c r="J44" s="20" t="n">
        <v>0</v>
      </c>
      <c r="K44" s="18" t="n">
        <v>2.75948501</v>
      </c>
      <c r="L44" s="20" t="n">
        <v>0.6962623999999999</v>
      </c>
      <c r="M44" s="18" t="n">
        <v>0</v>
      </c>
      <c r="N44" s="20" t="n">
        <v>0</v>
      </c>
      <c r="O44" s="18" t="n">
        <v>1.45413353</v>
      </c>
      <c r="P44" s="20" t="n">
        <v>0.45525119</v>
      </c>
      <c r="Q44" s="18" t="n">
        <v>5.89441426</v>
      </c>
      <c r="R44" s="20" t="n">
        <v>0.83258781</v>
      </c>
    </row>
    <row r="45" spans="1:18">
      <c r="A45" s="15" t="s">
        <v>468</v>
      </c>
      <c r="B45" s="17" t="n">
        <v>5519</v>
      </c>
      <c r="C45" s="18">
        <f>(4579.0/B45*100)</f>
        <v/>
      </c>
      <c r="D45" s="19" t="n">
        <v>940</v>
      </c>
      <c r="E45" s="18" t="n">
        <v>42.15319181</v>
      </c>
      <c r="F45" s="20" t="n">
        <v>1.87194263</v>
      </c>
      <c r="G45" s="18" t="n">
        <v>42.54902468</v>
      </c>
      <c r="H45" s="20" t="n">
        <v>1.57492809</v>
      </c>
      <c r="I45" s="18" t="n">
        <v>0</v>
      </c>
      <c r="J45" s="20" t="n">
        <v>0</v>
      </c>
      <c r="K45" s="18" t="n">
        <v>5.93972443</v>
      </c>
      <c r="L45" s="20" t="n">
        <v>0.7907298</v>
      </c>
      <c r="M45" s="18" t="n">
        <v>0.22073009</v>
      </c>
      <c r="N45" s="20" t="n">
        <v>0.15109821</v>
      </c>
      <c r="O45" s="18" t="n">
        <v>2.98661392</v>
      </c>
      <c r="P45" s="20" t="n">
        <v>0.56175875</v>
      </c>
      <c r="Q45" s="18" t="n">
        <v>6.15071506</v>
      </c>
      <c r="R45" s="20" t="n">
        <v>0.8466012000000001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42.75911006</v>
      </c>
      <c r="F54" s="20" t="n">
        <v>1.71987148</v>
      </c>
      <c r="G54" s="18" t="n">
        <v>50.43088594</v>
      </c>
      <c r="H54" s="20" t="n">
        <v>1.85298816</v>
      </c>
      <c r="I54" s="18" t="n">
        <v>0</v>
      </c>
      <c r="J54" s="20" t="n">
        <v>0</v>
      </c>
      <c r="K54" s="18" t="n">
        <v>1.6995814</v>
      </c>
      <c r="L54" s="20" t="n">
        <v>0.4255839</v>
      </c>
      <c r="M54" s="18" t="n">
        <v>0</v>
      </c>
      <c r="N54" s="20" t="n">
        <v>0</v>
      </c>
      <c r="O54" s="18" t="n">
        <v>1.07712271</v>
      </c>
      <c r="P54" s="20" t="n">
        <v>0.50340481</v>
      </c>
      <c r="Q54" s="18" t="n">
        <v>4.03329989</v>
      </c>
      <c r="R54" s="20" t="n">
        <v>0.73818968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39.85484291</v>
      </c>
      <c r="F56" s="20" t="n">
        <v>1.8128521</v>
      </c>
      <c r="G56" s="18" t="n">
        <v>57.89018323</v>
      </c>
      <c r="H56" s="20" t="n">
        <v>1.76458814</v>
      </c>
      <c r="I56" s="18" t="n">
        <v>0</v>
      </c>
      <c r="J56" s="20" t="n">
        <v>0</v>
      </c>
      <c r="K56" s="18" t="n">
        <v>0.69113699</v>
      </c>
      <c r="L56" s="20" t="n">
        <v>0.27209369</v>
      </c>
      <c r="M56" s="18" t="n">
        <v>0</v>
      </c>
      <c r="N56" s="20" t="n">
        <v>0</v>
      </c>
      <c r="O56" s="18" t="n">
        <v>0</v>
      </c>
      <c r="P56" s="20" t="n">
        <v>0</v>
      </c>
      <c r="Q56" s="18" t="n">
        <v>1.56383686</v>
      </c>
      <c r="R56" s="20" t="n">
        <v>0.49841072</v>
      </c>
    </row>
    <row r="57" spans="1:18">
      <c r="A57" s="15" t="s">
        <v>480</v>
      </c>
      <c r="B57" s="17" t="n">
        <v>7267</v>
      </c>
      <c r="C57" s="18">
        <f>(6058.0/B57*100)</f>
        <v/>
      </c>
      <c r="D57" s="19" t="n">
        <v>1209</v>
      </c>
      <c r="E57" s="18" t="n">
        <v>36.55486834</v>
      </c>
      <c r="F57" s="20" t="n">
        <v>1.82667956</v>
      </c>
      <c r="G57" s="18" t="n">
        <v>52.82233557</v>
      </c>
      <c r="H57" s="20" t="n">
        <v>1.99801729</v>
      </c>
      <c r="I57" s="18" t="n">
        <v>0</v>
      </c>
      <c r="J57" s="20" t="n">
        <v>0</v>
      </c>
      <c r="K57" s="18" t="n">
        <v>3.07224076</v>
      </c>
      <c r="L57" s="20" t="n">
        <v>0.6227200000000001</v>
      </c>
      <c r="M57" s="18" t="n">
        <v>0</v>
      </c>
      <c r="N57" s="20" t="n">
        <v>0</v>
      </c>
      <c r="O57" s="18" t="n">
        <v>0.28358034</v>
      </c>
      <c r="P57" s="20" t="n">
        <v>0.17990774</v>
      </c>
      <c r="Q57" s="18" t="n">
        <v>7.26697499</v>
      </c>
      <c r="R57" s="20" t="n">
        <v>0.94867338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41.2804359</v>
      </c>
      <c r="F59" s="20" t="n">
        <v>1.98698249</v>
      </c>
      <c r="G59" s="18" t="n">
        <v>49.86454351</v>
      </c>
      <c r="H59" s="20" t="n">
        <v>2.02506287</v>
      </c>
      <c r="I59" s="18" t="n">
        <v>0</v>
      </c>
      <c r="J59" s="20" t="n">
        <v>0</v>
      </c>
      <c r="K59" s="18" t="n">
        <v>0.8178737</v>
      </c>
      <c r="L59" s="20" t="n">
        <v>0.29926171</v>
      </c>
      <c r="M59" s="18" t="n">
        <v>0.04373342</v>
      </c>
      <c r="N59" s="20" t="n">
        <v>0.04359679</v>
      </c>
      <c r="O59" s="18" t="n">
        <v>6.05218249</v>
      </c>
      <c r="P59" s="20" t="n">
        <v>1.03040566</v>
      </c>
      <c r="Q59" s="18" t="n">
        <v>1.94123099</v>
      </c>
      <c r="R59" s="20" t="n">
        <v>0.65715212</v>
      </c>
    </row>
    <row r="60" spans="1:18">
      <c r="A60" s="15" t="s">
        <v>484</v>
      </c>
      <c r="B60" s="17" t="n">
        <v>4546</v>
      </c>
      <c r="C60" s="18">
        <f>(3788.0/B60*100)</f>
        <v/>
      </c>
      <c r="D60" s="19" t="n">
        <v>758</v>
      </c>
      <c r="E60" s="18" t="n">
        <v>38.83801759</v>
      </c>
      <c r="F60" s="20" t="n">
        <v>2.21539031</v>
      </c>
      <c r="G60" s="18" t="n">
        <v>42.18342733</v>
      </c>
      <c r="H60" s="20" t="n">
        <v>2.09451282</v>
      </c>
      <c r="I60" s="18" t="n">
        <v>0</v>
      </c>
      <c r="J60" s="20" t="n">
        <v>0</v>
      </c>
      <c r="K60" s="18" t="n">
        <v>4.47438472</v>
      </c>
      <c r="L60" s="20" t="n">
        <v>0.7714699699999999</v>
      </c>
      <c r="M60" s="18" t="n">
        <v>0</v>
      </c>
      <c r="N60" s="20" t="n">
        <v>0</v>
      </c>
      <c r="O60" s="18" t="n">
        <v>4.51462717</v>
      </c>
      <c r="P60" s="20" t="n">
        <v>0.93818558</v>
      </c>
      <c r="Q60" s="18" t="n">
        <v>9.989543189999999</v>
      </c>
      <c r="R60" s="20" t="n">
        <v>1.21330973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40.72767451</v>
      </c>
      <c r="F63" s="20" t="n">
        <v>1.70132354</v>
      </c>
      <c r="G63" s="18" t="n">
        <v>46.94570008</v>
      </c>
      <c r="H63" s="20" t="n">
        <v>1.58972254</v>
      </c>
      <c r="I63" s="18" t="n">
        <v>0</v>
      </c>
      <c r="J63" s="20" t="n">
        <v>0</v>
      </c>
      <c r="K63" s="18" t="n">
        <v>2.80243019</v>
      </c>
      <c r="L63" s="20" t="n">
        <v>0.60799232</v>
      </c>
      <c r="M63" s="18" t="n">
        <v>0</v>
      </c>
      <c r="N63" s="20" t="n">
        <v>0</v>
      </c>
      <c r="O63" s="18" t="n">
        <v>1.37799684</v>
      </c>
      <c r="P63" s="20" t="n">
        <v>0.40141938</v>
      </c>
      <c r="Q63" s="18" t="n">
        <v>8.14619838</v>
      </c>
      <c r="R63" s="20" t="n">
        <v>0.90222656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16.59933576</v>
      </c>
      <c r="F65" s="20" t="n">
        <v>1.5422152</v>
      </c>
      <c r="G65" s="18" t="n">
        <v>76.80126688</v>
      </c>
      <c r="H65" s="20" t="n">
        <v>1.82090582</v>
      </c>
      <c r="I65" s="18" t="n">
        <v>0</v>
      </c>
      <c r="J65" s="20" t="n">
        <v>0</v>
      </c>
      <c r="K65" s="18" t="n">
        <v>2.81469281</v>
      </c>
      <c r="L65" s="20" t="n">
        <v>0.68639347</v>
      </c>
      <c r="M65" s="18" t="n">
        <v>0</v>
      </c>
      <c r="N65" s="20" t="n">
        <v>0</v>
      </c>
      <c r="O65" s="18" t="n">
        <v>0.16222496</v>
      </c>
      <c r="P65" s="20" t="n">
        <v>0.16276509</v>
      </c>
      <c r="Q65" s="18" t="n">
        <v>3.62247959</v>
      </c>
      <c r="R65" s="20" t="n">
        <v>0.86087951</v>
      </c>
    </row>
    <row r="66" spans="1:18">
      <c r="A66" s="15" t="s">
        <v>490</v>
      </c>
      <c r="B66" s="17" t="n">
        <v>5325</v>
      </c>
      <c r="C66" s="18">
        <f>(4444.0/B66*100)</f>
        <v/>
      </c>
      <c r="D66" s="19" t="n">
        <v>881</v>
      </c>
      <c r="E66" s="18" t="n">
        <v>30.48077824</v>
      </c>
      <c r="F66" s="20" t="n">
        <v>1.69296704</v>
      </c>
      <c r="G66" s="18" t="n">
        <v>57.21089299</v>
      </c>
      <c r="H66" s="20" t="n">
        <v>1.60722861</v>
      </c>
      <c r="I66" s="18" t="n">
        <v>0</v>
      </c>
      <c r="J66" s="20" t="n">
        <v>0</v>
      </c>
      <c r="K66" s="18" t="n">
        <v>4.66897174</v>
      </c>
      <c r="L66" s="20" t="n">
        <v>0.66390733</v>
      </c>
      <c r="M66" s="18" t="n">
        <v>1.70452862</v>
      </c>
      <c r="N66" s="20" t="n">
        <v>0.44156282</v>
      </c>
      <c r="O66" s="18" t="n">
        <v>0</v>
      </c>
      <c r="P66" s="20" t="n">
        <v>0</v>
      </c>
      <c r="Q66" s="18" t="n">
        <v>5.93482842</v>
      </c>
      <c r="R66" s="20" t="n">
        <v>0.9779655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35.64439743</v>
      </c>
      <c r="F69" s="20" t="n">
        <v>3.3733557</v>
      </c>
      <c r="G69" s="18" t="n">
        <v>62.71567723</v>
      </c>
      <c r="H69" s="20" t="n">
        <v>3.40629832</v>
      </c>
      <c r="I69" s="18" t="n">
        <v>0</v>
      </c>
      <c r="J69" s="20" t="n">
        <v>0</v>
      </c>
      <c r="K69" s="18" t="n">
        <v>0</v>
      </c>
      <c r="L69" s="20" t="n">
        <v>0</v>
      </c>
      <c r="M69" s="18" t="n">
        <v>0</v>
      </c>
      <c r="N69" s="20" t="n">
        <v>0</v>
      </c>
      <c r="O69" s="18" t="n">
        <v>0.68482232</v>
      </c>
      <c r="P69" s="20" t="n">
        <v>0.45799121</v>
      </c>
      <c r="Q69" s="18" t="n">
        <v>0.95510302</v>
      </c>
      <c r="R69" s="20" t="n">
        <v>0.6733481100000001</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39.00720739</v>
      </c>
      <c r="F71" s="20" t="n">
        <v>1.92684005</v>
      </c>
      <c r="G71" s="18" t="n">
        <v>60.53374113</v>
      </c>
      <c r="H71" s="20" t="n">
        <v>1.91714148</v>
      </c>
      <c r="I71" s="18" t="n">
        <v>0</v>
      </c>
      <c r="J71" s="20" t="n">
        <v>0</v>
      </c>
      <c r="K71" s="18" t="n">
        <v>0.24484189</v>
      </c>
      <c r="L71" s="20" t="n">
        <v>0.17303082</v>
      </c>
      <c r="M71" s="18" t="n">
        <v>0</v>
      </c>
      <c r="N71" s="20" t="n">
        <v>0</v>
      </c>
      <c r="O71" s="18" t="n">
        <v>0</v>
      </c>
      <c r="P71" s="20" t="n">
        <v>0</v>
      </c>
      <c r="Q71" s="18" t="n">
        <v>0.21420959</v>
      </c>
      <c r="R71" s="20" t="n">
        <v>0.15252333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22.75180684</v>
      </c>
      <c r="F76" s="20" t="n">
        <v>1.39443247</v>
      </c>
      <c r="G76" s="18" t="n">
        <v>65.76942764</v>
      </c>
      <c r="H76" s="20" t="n">
        <v>1.52732335</v>
      </c>
      <c r="I76" s="18" t="n">
        <v>0</v>
      </c>
      <c r="J76" s="20" t="n">
        <v>0</v>
      </c>
      <c r="K76" s="18" t="n">
        <v>6.28312585</v>
      </c>
      <c r="L76" s="20" t="n">
        <v>0.93451689</v>
      </c>
      <c r="M76" s="18" t="n">
        <v>0</v>
      </c>
      <c r="N76" s="20" t="n">
        <v>0</v>
      </c>
      <c r="O76" s="18" t="n">
        <v>0.13303031</v>
      </c>
      <c r="P76" s="20" t="n">
        <v>0.13320223</v>
      </c>
      <c r="Q76" s="18" t="n">
        <v>5.06260936</v>
      </c>
      <c r="R76" s="20" t="n">
        <v>0.82600644</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36.34183657</v>
      </c>
      <c r="F80" s="20" t="n">
        <v>2.18709315</v>
      </c>
      <c r="G80" s="18" t="n">
        <v>63.65816343</v>
      </c>
      <c r="H80" s="20" t="n">
        <v>2.18709315</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(1389.0/B81*100)</f>
        <v/>
      </c>
      <c r="D81" s="19" t="n">
        <v>268</v>
      </c>
      <c r="E81" s="18" t="n">
        <v>16.00775013</v>
      </c>
      <c r="F81" s="20" t="n">
        <v>2.31328735</v>
      </c>
      <c r="G81" s="18" t="n">
        <v>72.31495261000001</v>
      </c>
      <c r="H81" s="20" t="n">
        <v>2.64136897</v>
      </c>
      <c r="I81" s="18" t="n">
        <v>0</v>
      </c>
      <c r="J81" s="20" t="n">
        <v>0</v>
      </c>
      <c r="K81" s="18" t="n">
        <v>4.76635767</v>
      </c>
      <c r="L81" s="20" t="n">
        <v>1.6619768</v>
      </c>
      <c r="M81" s="18" t="n">
        <v>0.46799953</v>
      </c>
      <c r="N81" s="20" t="n">
        <v>0.43328864</v>
      </c>
      <c r="O81" s="18" t="n">
        <v>0.46593894</v>
      </c>
      <c r="P81" s="20" t="n">
        <v>0.50260554</v>
      </c>
      <c r="Q81" s="18" t="n">
        <v>5.97700111</v>
      </c>
      <c r="R81" s="20" t="n">
        <v>1.55343985</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659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28.41130078</v>
      </c>
      <c r="F44" s="20" t="n">
        <v>1.98744532</v>
      </c>
      <c r="G44" s="18" t="n">
        <v>45.30177477</v>
      </c>
      <c r="H44" s="20" t="n">
        <v>2.27357304</v>
      </c>
      <c r="I44" s="18" t="n">
        <v>0</v>
      </c>
      <c r="J44" s="20" t="n">
        <v>0</v>
      </c>
      <c r="K44" s="18" t="n">
        <v>2.85576909</v>
      </c>
      <c r="L44" s="20" t="n">
        <v>0.7008388800000001</v>
      </c>
      <c r="M44" s="18" t="n">
        <v>0</v>
      </c>
      <c r="N44" s="20" t="n">
        <v>0</v>
      </c>
      <c r="O44" s="18" t="n">
        <v>0</v>
      </c>
      <c r="P44" s="20" t="n">
        <v>0</v>
      </c>
      <c r="Q44" s="18" t="n">
        <v>23.43115536</v>
      </c>
      <c r="R44" s="20" t="n">
        <v>1.57973483</v>
      </c>
    </row>
    <row r="45" spans="1:18">
      <c r="A45" s="15" t="s">
        <v>468</v>
      </c>
      <c r="B45" s="17" t="n">
        <v>5519</v>
      </c>
      <c r="C45" s="18">
        <f>(4579.0/B45*100)</f>
        <v/>
      </c>
      <c r="D45" s="19" t="n">
        <v>940</v>
      </c>
      <c r="E45" s="18" t="n">
        <v>39.74329014</v>
      </c>
      <c r="F45" s="20" t="n">
        <v>1.96683274</v>
      </c>
      <c r="G45" s="18" t="n">
        <v>35.95218796</v>
      </c>
      <c r="H45" s="20" t="n">
        <v>1.73607292</v>
      </c>
      <c r="I45" s="18" t="n">
        <v>0</v>
      </c>
      <c r="J45" s="20" t="n">
        <v>0</v>
      </c>
      <c r="K45" s="18" t="n">
        <v>6.77189695</v>
      </c>
      <c r="L45" s="20" t="n">
        <v>0.78207891</v>
      </c>
      <c r="M45" s="18" t="n">
        <v>1.06876765</v>
      </c>
      <c r="N45" s="20" t="n">
        <v>0.33528929</v>
      </c>
      <c r="O45" s="18" t="n">
        <v>0.07995206000000001</v>
      </c>
      <c r="P45" s="20" t="n">
        <v>0.07769571</v>
      </c>
      <c r="Q45" s="18" t="n">
        <v>16.38390525</v>
      </c>
      <c r="R45" s="20" t="n">
        <v>1.66832368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22.23562607</v>
      </c>
      <c r="F54" s="20" t="n">
        <v>1.4552235</v>
      </c>
      <c r="G54" s="18" t="n">
        <v>40.54240423</v>
      </c>
      <c r="H54" s="20" t="n">
        <v>1.63313475</v>
      </c>
      <c r="I54" s="18" t="n">
        <v>0</v>
      </c>
      <c r="J54" s="20" t="n">
        <v>0</v>
      </c>
      <c r="K54" s="18" t="n">
        <v>1.6995814</v>
      </c>
      <c r="L54" s="20" t="n">
        <v>0.4255839</v>
      </c>
      <c r="M54" s="18" t="n">
        <v>0</v>
      </c>
      <c r="N54" s="20" t="n">
        <v>0</v>
      </c>
      <c r="O54" s="18" t="n">
        <v>0.30648521</v>
      </c>
      <c r="P54" s="20" t="n">
        <v>0.16941201</v>
      </c>
      <c r="Q54" s="18" t="n">
        <v>35.21590308</v>
      </c>
      <c r="R54" s="20" t="n">
        <v>1.50404491</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44.09953826</v>
      </c>
      <c r="F56" s="20" t="n">
        <v>1.52478753</v>
      </c>
      <c r="G56" s="18" t="n">
        <v>47.63800605</v>
      </c>
      <c r="H56" s="20" t="n">
        <v>1.78941091</v>
      </c>
      <c r="I56" s="18" t="n">
        <v>0</v>
      </c>
      <c r="J56" s="20" t="n">
        <v>0</v>
      </c>
      <c r="K56" s="18" t="n">
        <v>0.81281456</v>
      </c>
      <c r="L56" s="20" t="n">
        <v>0.29759183</v>
      </c>
      <c r="M56" s="18" t="n">
        <v>0</v>
      </c>
      <c r="N56" s="20" t="n">
        <v>0</v>
      </c>
      <c r="O56" s="18" t="n">
        <v>0</v>
      </c>
      <c r="P56" s="20" t="n">
        <v>0</v>
      </c>
      <c r="Q56" s="18" t="n">
        <v>7.44964113</v>
      </c>
      <c r="R56" s="20" t="n">
        <v>1.08048076</v>
      </c>
    </row>
    <row r="57" spans="1:18">
      <c r="A57" s="15" t="s">
        <v>480</v>
      </c>
      <c r="B57" s="17" t="n">
        <v>7267</v>
      </c>
      <c r="C57" s="18">
        <f>(6058.0/B57*100)</f>
        <v/>
      </c>
      <c r="D57" s="19" t="n">
        <v>1209</v>
      </c>
      <c r="E57" s="18" t="n">
        <v>33.06228772</v>
      </c>
      <c r="F57" s="20" t="n">
        <v>1.66620944</v>
      </c>
      <c r="G57" s="18" t="n">
        <v>45.79632516</v>
      </c>
      <c r="H57" s="20" t="n">
        <v>1.7832107</v>
      </c>
      <c r="I57" s="18" t="n">
        <v>0</v>
      </c>
      <c r="J57" s="20" t="n">
        <v>0</v>
      </c>
      <c r="K57" s="18" t="n">
        <v>3.07224076</v>
      </c>
      <c r="L57" s="20" t="n">
        <v>0.6227200000000001</v>
      </c>
      <c r="M57" s="18" t="n">
        <v>0</v>
      </c>
      <c r="N57" s="20" t="n">
        <v>0</v>
      </c>
      <c r="O57" s="18" t="n">
        <v>0</v>
      </c>
      <c r="P57" s="20" t="n">
        <v>0</v>
      </c>
      <c r="Q57" s="18" t="n">
        <v>18.06914636</v>
      </c>
      <c r="R57" s="20" t="n">
        <v>1.27832178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49.65187036</v>
      </c>
      <c r="F59" s="20" t="n">
        <v>2.06038917</v>
      </c>
      <c r="G59" s="18" t="n">
        <v>27.9666563</v>
      </c>
      <c r="H59" s="20" t="n">
        <v>1.97752053</v>
      </c>
      <c r="I59" s="18" t="n">
        <v>0</v>
      </c>
      <c r="J59" s="20" t="n">
        <v>0</v>
      </c>
      <c r="K59" s="18" t="n">
        <v>0.87035381</v>
      </c>
      <c r="L59" s="20" t="n">
        <v>0.30376243</v>
      </c>
      <c r="M59" s="18" t="n">
        <v>0.04373342</v>
      </c>
      <c r="N59" s="20" t="n">
        <v>0.04359679</v>
      </c>
      <c r="O59" s="18" t="n">
        <v>0</v>
      </c>
      <c r="P59" s="20" t="n">
        <v>0</v>
      </c>
      <c r="Q59" s="18" t="n">
        <v>21.46738611</v>
      </c>
      <c r="R59" s="20" t="n">
        <v>1.75942778</v>
      </c>
    </row>
    <row r="60" spans="1:18">
      <c r="A60" s="15" t="s">
        <v>484</v>
      </c>
      <c r="B60" s="17" t="n">
        <v>4546</v>
      </c>
      <c r="C60" s="18">
        <f>(3788.0/B60*100)</f>
        <v/>
      </c>
      <c r="D60" s="19" t="n">
        <v>758</v>
      </c>
      <c r="E60" s="18" t="n">
        <v>34.39216587</v>
      </c>
      <c r="F60" s="20" t="n">
        <v>2.02683038</v>
      </c>
      <c r="G60" s="18" t="n">
        <v>25.95326989</v>
      </c>
      <c r="H60" s="20" t="n">
        <v>1.94834305</v>
      </c>
      <c r="I60" s="18" t="n">
        <v>0</v>
      </c>
      <c r="J60" s="20" t="n">
        <v>0</v>
      </c>
      <c r="K60" s="18" t="n">
        <v>4.72571685</v>
      </c>
      <c r="L60" s="20" t="n">
        <v>0.78525908</v>
      </c>
      <c r="M60" s="18" t="n">
        <v>0</v>
      </c>
      <c r="N60" s="20" t="n">
        <v>0</v>
      </c>
      <c r="O60" s="18" t="n">
        <v>0.10037565</v>
      </c>
      <c r="P60" s="20" t="n">
        <v>0.09509463999999999</v>
      </c>
      <c r="Q60" s="18" t="n">
        <v>34.82847174</v>
      </c>
      <c r="R60" s="20" t="n">
        <v>2.05817591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23.88605639</v>
      </c>
      <c r="F63" s="20" t="n">
        <v>1.47513416</v>
      </c>
      <c r="G63" s="18" t="n">
        <v>24.94595223</v>
      </c>
      <c r="H63" s="20" t="n">
        <v>1.65216727</v>
      </c>
      <c r="I63" s="18" t="n">
        <v>0</v>
      </c>
      <c r="J63" s="20" t="n">
        <v>0</v>
      </c>
      <c r="K63" s="18" t="n">
        <v>2.80243019</v>
      </c>
      <c r="L63" s="20" t="n">
        <v>0.60799232</v>
      </c>
      <c r="M63" s="18" t="n">
        <v>0</v>
      </c>
      <c r="N63" s="20" t="n">
        <v>0</v>
      </c>
      <c r="O63" s="18" t="n">
        <v>0</v>
      </c>
      <c r="P63" s="20" t="n">
        <v>0</v>
      </c>
      <c r="Q63" s="18" t="n">
        <v>48.36556119</v>
      </c>
      <c r="R63" s="20" t="n">
        <v>1.82406879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21.83538829</v>
      </c>
      <c r="F65" s="20" t="n">
        <v>1.50105278</v>
      </c>
      <c r="G65" s="18" t="n">
        <v>60.59189848</v>
      </c>
      <c r="H65" s="20" t="n">
        <v>2.30998489</v>
      </c>
      <c r="I65" s="18" t="n">
        <v>0</v>
      </c>
      <c r="J65" s="20" t="n">
        <v>0</v>
      </c>
      <c r="K65" s="18" t="n">
        <v>2.97293595</v>
      </c>
      <c r="L65" s="20" t="n">
        <v>0.70772112</v>
      </c>
      <c r="M65" s="18" t="n">
        <v>0</v>
      </c>
      <c r="N65" s="20" t="n">
        <v>0</v>
      </c>
      <c r="O65" s="18" t="n">
        <v>0</v>
      </c>
      <c r="P65" s="20" t="n">
        <v>0</v>
      </c>
      <c r="Q65" s="18" t="n">
        <v>14.59977728</v>
      </c>
      <c r="R65" s="20" t="n">
        <v>1.68799538</v>
      </c>
    </row>
    <row r="66" spans="1:18">
      <c r="A66" s="15" t="s">
        <v>490</v>
      </c>
      <c r="B66" s="17" t="n">
        <v>5325</v>
      </c>
      <c r="C66" s="18">
        <f>(4444.0/B66*100)</f>
        <v/>
      </c>
      <c r="D66" s="19" t="n">
        <v>881</v>
      </c>
      <c r="E66" s="18" t="n">
        <v>20.16347873</v>
      </c>
      <c r="F66" s="20" t="n">
        <v>1.43211374</v>
      </c>
      <c r="G66" s="18" t="n">
        <v>51.79752753</v>
      </c>
      <c r="H66" s="20" t="n">
        <v>1.90679369</v>
      </c>
      <c r="I66" s="18" t="n">
        <v>0</v>
      </c>
      <c r="J66" s="20" t="n">
        <v>0</v>
      </c>
      <c r="K66" s="18" t="n">
        <v>4.66897174</v>
      </c>
      <c r="L66" s="20" t="n">
        <v>0.66390733</v>
      </c>
      <c r="M66" s="18" t="n">
        <v>0</v>
      </c>
      <c r="N66" s="20" t="n">
        <v>0</v>
      </c>
      <c r="O66" s="18" t="n">
        <v>0</v>
      </c>
      <c r="P66" s="20" t="n">
        <v>0</v>
      </c>
      <c r="Q66" s="18" t="n">
        <v>23.37002201</v>
      </c>
      <c r="R66" s="20" t="n">
        <v>1.61404213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48.62339276</v>
      </c>
      <c r="F69" s="20" t="n">
        <v>3.18138917</v>
      </c>
      <c r="G69" s="18" t="n">
        <v>39.05407366</v>
      </c>
      <c r="H69" s="20" t="n">
        <v>3.79373073</v>
      </c>
      <c r="I69" s="18" t="n">
        <v>0</v>
      </c>
      <c r="J69" s="20" t="n">
        <v>0</v>
      </c>
      <c r="K69" s="18" t="n">
        <v>0</v>
      </c>
      <c r="L69" s="20" t="n">
        <v>0</v>
      </c>
      <c r="M69" s="18" t="n">
        <v>0</v>
      </c>
      <c r="N69" s="20" t="n">
        <v>0</v>
      </c>
      <c r="O69" s="18" t="n">
        <v>0</v>
      </c>
      <c r="P69" s="20" t="n">
        <v>0</v>
      </c>
      <c r="Q69" s="18" t="n">
        <v>12.32253358</v>
      </c>
      <c r="R69" s="20" t="n">
        <v>2.23864694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41.02717173</v>
      </c>
      <c r="F71" s="20" t="n">
        <v>2.02090601</v>
      </c>
      <c r="G71" s="18" t="n">
        <v>56.23269645</v>
      </c>
      <c r="H71" s="20" t="n">
        <v>2.10247273</v>
      </c>
      <c r="I71" s="18" t="n">
        <v>0</v>
      </c>
      <c r="J71" s="20" t="n">
        <v>0</v>
      </c>
      <c r="K71" s="18" t="n">
        <v>0.24484189</v>
      </c>
      <c r="L71" s="20" t="n">
        <v>0.17303082</v>
      </c>
      <c r="M71" s="18" t="n">
        <v>0</v>
      </c>
      <c r="N71" s="20" t="n">
        <v>0</v>
      </c>
      <c r="O71" s="18" t="n">
        <v>0</v>
      </c>
      <c r="P71" s="20" t="n">
        <v>0</v>
      </c>
      <c r="Q71" s="18" t="n">
        <v>2.49528993</v>
      </c>
      <c r="R71" s="20" t="n">
        <v>0.54397018</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25.36625673</v>
      </c>
      <c r="F76" s="20" t="n">
        <v>1.38678645</v>
      </c>
      <c r="G76" s="18" t="n">
        <v>45.66560938</v>
      </c>
      <c r="H76" s="20" t="n">
        <v>1.91020791</v>
      </c>
      <c r="I76" s="18" t="n">
        <v>0</v>
      </c>
      <c r="J76" s="20" t="n">
        <v>0</v>
      </c>
      <c r="K76" s="18" t="n">
        <v>6.57692044</v>
      </c>
      <c r="L76" s="20" t="n">
        <v>0.93138005</v>
      </c>
      <c r="M76" s="18" t="n">
        <v>0</v>
      </c>
      <c r="N76" s="20" t="n">
        <v>0</v>
      </c>
      <c r="O76" s="18" t="n">
        <v>0</v>
      </c>
      <c r="P76" s="20" t="n">
        <v>0</v>
      </c>
      <c r="Q76" s="18" t="n">
        <v>22.39121345</v>
      </c>
      <c r="R76" s="20" t="n">
        <v>1.59994339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39.25165671</v>
      </c>
      <c r="F80" s="20" t="n">
        <v>1.94290454</v>
      </c>
      <c r="G80" s="18" t="n">
        <v>59.49294617</v>
      </c>
      <c r="H80" s="20" t="n">
        <v>1.979747</v>
      </c>
      <c r="I80" s="18" t="n">
        <v>0</v>
      </c>
      <c r="J80" s="20" t="n">
        <v>0</v>
      </c>
      <c r="K80" s="18" t="n">
        <v>0</v>
      </c>
      <c r="L80" s="20" t="n">
        <v>0</v>
      </c>
      <c r="M80" s="18" t="n">
        <v>0</v>
      </c>
      <c r="N80" s="20" t="n">
        <v>0</v>
      </c>
      <c r="O80" s="18" t="n">
        <v>0</v>
      </c>
      <c r="P80" s="20" t="n">
        <v>0</v>
      </c>
      <c r="Q80" s="18" t="n">
        <v>1.25539712</v>
      </c>
      <c r="R80" s="20" t="n">
        <v>0.40532367</v>
      </c>
    </row>
    <row r="81" spans="1:18">
      <c r="A81" s="15" t="s">
        <v>505</v>
      </c>
      <c r="B81" s="17" t="n">
        <v>1657</v>
      </c>
      <c r="C81" s="18">
        <f>(1389.0/B81*100)</f>
        <v/>
      </c>
      <c r="D81" s="19" t="n">
        <v>268</v>
      </c>
      <c r="E81" s="18" t="n">
        <v>23.12967221</v>
      </c>
      <c r="F81" s="20" t="n">
        <v>2.90028473</v>
      </c>
      <c r="G81" s="18" t="n">
        <v>58.71488932</v>
      </c>
      <c r="H81" s="20" t="n">
        <v>3.3336123</v>
      </c>
      <c r="I81" s="18" t="n">
        <v>0</v>
      </c>
      <c r="J81" s="20" t="n">
        <v>0</v>
      </c>
      <c r="K81" s="18" t="n">
        <v>4.76635767</v>
      </c>
      <c r="L81" s="20" t="n">
        <v>1.6619768</v>
      </c>
      <c r="M81" s="18" t="n">
        <v>0</v>
      </c>
      <c r="N81" s="20" t="n">
        <v>0</v>
      </c>
      <c r="O81" s="18" t="n">
        <v>0</v>
      </c>
      <c r="P81" s="20" t="n">
        <v>0</v>
      </c>
      <c r="Q81" s="18" t="n">
        <v>13.3890808</v>
      </c>
      <c r="R81" s="20" t="n">
        <v>2.29175147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60.33400971</v>
      </c>
      <c r="F44" s="20" t="n">
        <v>2.05211255</v>
      </c>
      <c r="G44" s="18" t="n">
        <v>31.78411181</v>
      </c>
      <c r="H44" s="20" t="n">
        <v>1.87831365</v>
      </c>
      <c r="I44" s="18" t="n">
        <v>0</v>
      </c>
      <c r="J44" s="20" t="n">
        <v>0</v>
      </c>
      <c r="K44" s="18" t="n">
        <v>2.85576909</v>
      </c>
      <c r="L44" s="20" t="n">
        <v>0.7008388800000001</v>
      </c>
      <c r="M44" s="18" t="n">
        <v>0</v>
      </c>
      <c r="N44" s="20" t="n">
        <v>0</v>
      </c>
      <c r="O44" s="18" t="n">
        <v>0</v>
      </c>
      <c r="P44" s="20" t="n">
        <v>0</v>
      </c>
      <c r="Q44" s="18" t="n">
        <v>5.02610939</v>
      </c>
      <c r="R44" s="20" t="n">
        <v>0.59870292</v>
      </c>
    </row>
    <row r="45" spans="1:18">
      <c r="A45" s="15" t="s">
        <v>468</v>
      </c>
      <c r="B45" s="17" t="n">
        <v>5519</v>
      </c>
      <c r="C45" s="18">
        <f>(4579.0/B45*100)</f>
        <v/>
      </c>
      <c r="D45" s="19" t="n">
        <v>940</v>
      </c>
      <c r="E45" s="18" t="n">
        <v>79.35760555</v>
      </c>
      <c r="F45" s="20" t="n">
        <v>1.28270801</v>
      </c>
      <c r="G45" s="18" t="n">
        <v>10.31471057</v>
      </c>
      <c r="H45" s="20" t="n">
        <v>0.92410461</v>
      </c>
      <c r="I45" s="18" t="n">
        <v>0</v>
      </c>
      <c r="J45" s="20" t="n">
        <v>0</v>
      </c>
      <c r="K45" s="18" t="n">
        <v>6.85045795</v>
      </c>
      <c r="L45" s="20" t="n">
        <v>0.7835862</v>
      </c>
      <c r="M45" s="18" t="n">
        <v>0.18039554</v>
      </c>
      <c r="N45" s="20" t="n">
        <v>0.12786258</v>
      </c>
      <c r="O45" s="18" t="n">
        <v>0.07077305</v>
      </c>
      <c r="P45" s="20" t="n">
        <v>0.04665866</v>
      </c>
      <c r="Q45" s="18" t="n">
        <v>3.22605734</v>
      </c>
      <c r="R45" s="20" t="n">
        <v>0.53251203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62.86015479</v>
      </c>
      <c r="F54" s="20" t="n">
        <v>1.75180823</v>
      </c>
      <c r="G54" s="18" t="n">
        <v>31.61673543</v>
      </c>
      <c r="H54" s="20" t="n">
        <v>1.58152852</v>
      </c>
      <c r="I54" s="18" t="n">
        <v>0</v>
      </c>
      <c r="J54" s="20" t="n">
        <v>0</v>
      </c>
      <c r="K54" s="18" t="n">
        <v>1.6995814</v>
      </c>
      <c r="L54" s="20" t="n">
        <v>0.4255839</v>
      </c>
      <c r="M54" s="18" t="n">
        <v>0</v>
      </c>
      <c r="N54" s="20" t="n">
        <v>0</v>
      </c>
      <c r="O54" s="18" t="n">
        <v>0</v>
      </c>
      <c r="P54" s="20" t="n">
        <v>0</v>
      </c>
      <c r="Q54" s="18" t="n">
        <v>3.82352838</v>
      </c>
      <c r="R54" s="20" t="n">
        <v>0.58222824</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81.5901114</v>
      </c>
      <c r="F56" s="20" t="n">
        <v>1.42512522</v>
      </c>
      <c r="G56" s="18" t="n">
        <v>15.54627857</v>
      </c>
      <c r="H56" s="20" t="n">
        <v>1.18248731</v>
      </c>
      <c r="I56" s="18" t="n">
        <v>0</v>
      </c>
      <c r="J56" s="20" t="n">
        <v>0</v>
      </c>
      <c r="K56" s="18" t="n">
        <v>0.81281456</v>
      </c>
      <c r="L56" s="20" t="n">
        <v>0.29759183</v>
      </c>
      <c r="M56" s="18" t="n">
        <v>0</v>
      </c>
      <c r="N56" s="20" t="n">
        <v>0</v>
      </c>
      <c r="O56" s="18" t="n">
        <v>0.08589005</v>
      </c>
      <c r="P56" s="20" t="n">
        <v>0.08671640999999999</v>
      </c>
      <c r="Q56" s="18" t="n">
        <v>1.96490541</v>
      </c>
      <c r="R56" s="20" t="n">
        <v>0.62822135</v>
      </c>
    </row>
    <row r="57" spans="1:18">
      <c r="A57" s="15" t="s">
        <v>480</v>
      </c>
      <c r="B57" s="17" t="n">
        <v>7267</v>
      </c>
      <c r="C57" s="18">
        <f>(6058.0/B57*100)</f>
        <v/>
      </c>
      <c r="D57" s="19" t="n">
        <v>1209</v>
      </c>
      <c r="E57" s="18" t="n">
        <v>68.32721567</v>
      </c>
      <c r="F57" s="20" t="n">
        <v>1.47225718</v>
      </c>
      <c r="G57" s="18" t="n">
        <v>25.65637257</v>
      </c>
      <c r="H57" s="20" t="n">
        <v>1.4486135</v>
      </c>
      <c r="I57" s="18" t="n">
        <v>0</v>
      </c>
      <c r="J57" s="20" t="n">
        <v>0</v>
      </c>
      <c r="K57" s="18" t="n">
        <v>3.29433545</v>
      </c>
      <c r="L57" s="20" t="n">
        <v>0.66023459</v>
      </c>
      <c r="M57" s="18" t="n">
        <v>0</v>
      </c>
      <c r="N57" s="20" t="n">
        <v>0</v>
      </c>
      <c r="O57" s="18" t="n">
        <v>0</v>
      </c>
      <c r="P57" s="20" t="n">
        <v>0</v>
      </c>
      <c r="Q57" s="18" t="n">
        <v>2.72207632</v>
      </c>
      <c r="R57" s="20" t="n">
        <v>0.50635918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77.39556003</v>
      </c>
      <c r="F59" s="20" t="n">
        <v>1.55490231</v>
      </c>
      <c r="G59" s="18" t="n">
        <v>19.19609158</v>
      </c>
      <c r="H59" s="20" t="n">
        <v>1.62839899</v>
      </c>
      <c r="I59" s="18" t="n">
        <v>0</v>
      </c>
      <c r="J59" s="20" t="n">
        <v>0</v>
      </c>
      <c r="K59" s="18" t="n">
        <v>0.87035381</v>
      </c>
      <c r="L59" s="20" t="n">
        <v>0.30376243</v>
      </c>
      <c r="M59" s="18" t="n">
        <v>0.04373342</v>
      </c>
      <c r="N59" s="20" t="n">
        <v>0.04359679</v>
      </c>
      <c r="O59" s="18" t="n">
        <v>0</v>
      </c>
      <c r="P59" s="20" t="n">
        <v>0</v>
      </c>
      <c r="Q59" s="18" t="n">
        <v>2.49426117</v>
      </c>
      <c r="R59" s="20" t="n">
        <v>0.78790169</v>
      </c>
    </row>
    <row r="60" spans="1:18">
      <c r="A60" s="15" t="s">
        <v>484</v>
      </c>
      <c r="B60" s="17" t="n">
        <v>4546</v>
      </c>
      <c r="C60" s="18">
        <f>(3788.0/B60*100)</f>
        <v/>
      </c>
      <c r="D60" s="19" t="n">
        <v>758</v>
      </c>
      <c r="E60" s="18" t="n">
        <v>56.64763719</v>
      </c>
      <c r="F60" s="20" t="n">
        <v>2.17807625</v>
      </c>
      <c r="G60" s="18" t="n">
        <v>30.46886874</v>
      </c>
      <c r="H60" s="20" t="n">
        <v>2.13731123</v>
      </c>
      <c r="I60" s="18" t="n">
        <v>0</v>
      </c>
      <c r="J60" s="20" t="n">
        <v>0</v>
      </c>
      <c r="K60" s="18" t="n">
        <v>4.79166882</v>
      </c>
      <c r="L60" s="20" t="n">
        <v>0.79311993</v>
      </c>
      <c r="M60" s="18" t="n">
        <v>0</v>
      </c>
      <c r="N60" s="20" t="n">
        <v>0</v>
      </c>
      <c r="O60" s="18" t="n">
        <v>0</v>
      </c>
      <c r="P60" s="20" t="n">
        <v>0</v>
      </c>
      <c r="Q60" s="18" t="n">
        <v>8.091825249999999</v>
      </c>
      <c r="R60" s="20" t="n">
        <v>1.16420577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67.8311349</v>
      </c>
      <c r="F63" s="20" t="n">
        <v>1.62018955</v>
      </c>
      <c r="G63" s="18" t="n">
        <v>21.94424161</v>
      </c>
      <c r="H63" s="20" t="n">
        <v>1.42499562</v>
      </c>
      <c r="I63" s="18" t="n">
        <v>0</v>
      </c>
      <c r="J63" s="20" t="n">
        <v>0</v>
      </c>
      <c r="K63" s="18" t="n">
        <v>2.80243019</v>
      </c>
      <c r="L63" s="20" t="n">
        <v>0.60799232</v>
      </c>
      <c r="M63" s="18" t="n">
        <v>0</v>
      </c>
      <c r="N63" s="20" t="n">
        <v>0</v>
      </c>
      <c r="O63" s="18" t="n">
        <v>0</v>
      </c>
      <c r="P63" s="20" t="n">
        <v>0</v>
      </c>
      <c r="Q63" s="18" t="n">
        <v>7.4221933</v>
      </c>
      <c r="R63" s="20" t="n">
        <v>0.8125044300000001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39.24922982</v>
      </c>
      <c r="F65" s="20" t="n">
        <v>2.27326615</v>
      </c>
      <c r="G65" s="18" t="n">
        <v>56.66378713</v>
      </c>
      <c r="H65" s="20" t="n">
        <v>2.31189581</v>
      </c>
      <c r="I65" s="18" t="n">
        <v>0</v>
      </c>
      <c r="J65" s="20" t="n">
        <v>0</v>
      </c>
      <c r="K65" s="18" t="n">
        <v>2.97293595</v>
      </c>
      <c r="L65" s="20" t="n">
        <v>0.70772112</v>
      </c>
      <c r="M65" s="18" t="n">
        <v>0</v>
      </c>
      <c r="N65" s="20" t="n">
        <v>0</v>
      </c>
      <c r="O65" s="18" t="n">
        <v>0.17422999</v>
      </c>
      <c r="P65" s="20" t="n">
        <v>0.17487441</v>
      </c>
      <c r="Q65" s="18" t="n">
        <v>0.93981712</v>
      </c>
      <c r="R65" s="20" t="n">
        <v>0.3897391</v>
      </c>
    </row>
    <row r="66" spans="1:18">
      <c r="A66" s="15" t="s">
        <v>490</v>
      </c>
      <c r="B66" s="17" t="n">
        <v>5325</v>
      </c>
      <c r="C66" s="18">
        <f>(4444.0/B66*100)</f>
        <v/>
      </c>
      <c r="D66" s="19" t="n">
        <v>881</v>
      </c>
      <c r="E66" s="18" t="n">
        <v>48.91232937</v>
      </c>
      <c r="F66" s="20" t="n">
        <v>1.71892851</v>
      </c>
      <c r="G66" s="18" t="n">
        <v>42.27704852</v>
      </c>
      <c r="H66" s="20" t="n">
        <v>1.54946725</v>
      </c>
      <c r="I66" s="18" t="n">
        <v>0</v>
      </c>
      <c r="J66" s="20" t="n">
        <v>0</v>
      </c>
      <c r="K66" s="18" t="n">
        <v>4.76979239</v>
      </c>
      <c r="L66" s="20" t="n">
        <v>0.67126248</v>
      </c>
      <c r="M66" s="18" t="n">
        <v>0</v>
      </c>
      <c r="N66" s="20" t="n">
        <v>0</v>
      </c>
      <c r="O66" s="18" t="n">
        <v>0</v>
      </c>
      <c r="P66" s="20" t="n">
        <v>0</v>
      </c>
      <c r="Q66" s="18" t="n">
        <v>4.04082971</v>
      </c>
      <c r="R66" s="20" t="n">
        <v>0.7422428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66.1576745</v>
      </c>
      <c r="F69" s="20" t="n">
        <v>4.14823816</v>
      </c>
      <c r="G69" s="18" t="n">
        <v>33.5187066</v>
      </c>
      <c r="H69" s="20" t="n">
        <v>4.16175541</v>
      </c>
      <c r="I69" s="18" t="n">
        <v>0</v>
      </c>
      <c r="J69" s="20" t="n">
        <v>0</v>
      </c>
      <c r="K69" s="18" t="n">
        <v>0</v>
      </c>
      <c r="L69" s="20" t="n">
        <v>0</v>
      </c>
      <c r="M69" s="18" t="n">
        <v>0</v>
      </c>
      <c r="N69" s="20" t="n">
        <v>0</v>
      </c>
      <c r="O69" s="18" t="n">
        <v>0</v>
      </c>
      <c r="P69" s="20" t="n">
        <v>0</v>
      </c>
      <c r="Q69" s="18" t="n">
        <v>0.32361891</v>
      </c>
      <c r="R69" s="20" t="n">
        <v>0.32346369</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56.50326282</v>
      </c>
      <c r="F71" s="20" t="n">
        <v>2.21475951</v>
      </c>
      <c r="G71" s="18" t="n">
        <v>43.25189529</v>
      </c>
      <c r="H71" s="20" t="n">
        <v>2.19711463</v>
      </c>
      <c r="I71" s="18" t="n">
        <v>0</v>
      </c>
      <c r="J71" s="20" t="n">
        <v>0</v>
      </c>
      <c r="K71" s="18" t="n">
        <v>0.24484189</v>
      </c>
      <c r="L71" s="20" t="n">
        <v>0.17303082</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47.20722967</v>
      </c>
      <c r="F76" s="20" t="n">
        <v>1.86724932</v>
      </c>
      <c r="G76" s="18" t="n">
        <v>42.66538902</v>
      </c>
      <c r="H76" s="20" t="n">
        <v>1.77987343</v>
      </c>
      <c r="I76" s="18" t="n">
        <v>0</v>
      </c>
      <c r="J76" s="20" t="n">
        <v>0</v>
      </c>
      <c r="K76" s="18" t="n">
        <v>6.70244744</v>
      </c>
      <c r="L76" s="20" t="n">
        <v>0.98359276</v>
      </c>
      <c r="M76" s="18" t="n">
        <v>0</v>
      </c>
      <c r="N76" s="20" t="n">
        <v>0</v>
      </c>
      <c r="O76" s="18" t="n">
        <v>0</v>
      </c>
      <c r="P76" s="20" t="n">
        <v>0</v>
      </c>
      <c r="Q76" s="18" t="n">
        <v>3.42493387</v>
      </c>
      <c r="R76" s="20" t="n">
        <v>0.69480902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35.49557272</v>
      </c>
      <c r="F80" s="20" t="n">
        <v>2.04894045</v>
      </c>
      <c r="G80" s="18" t="n">
        <v>64.41404181999999</v>
      </c>
      <c r="H80" s="20" t="n">
        <v>2.05856811</v>
      </c>
      <c r="I80" s="18" t="n">
        <v>0</v>
      </c>
      <c r="J80" s="20" t="n">
        <v>0</v>
      </c>
      <c r="K80" s="18" t="n">
        <v>0</v>
      </c>
      <c r="L80" s="20" t="n">
        <v>0</v>
      </c>
      <c r="M80" s="18" t="n">
        <v>0</v>
      </c>
      <c r="N80" s="20" t="n">
        <v>0</v>
      </c>
      <c r="O80" s="18" t="n">
        <v>0</v>
      </c>
      <c r="P80" s="20" t="n">
        <v>0</v>
      </c>
      <c r="Q80" s="18" t="n">
        <v>0.09038546</v>
      </c>
      <c r="R80" s="20" t="n">
        <v>0.12775346</v>
      </c>
    </row>
    <row r="81" spans="1:18">
      <c r="A81" s="15" t="s">
        <v>505</v>
      </c>
      <c r="B81" s="17" t="n">
        <v>1657</v>
      </c>
      <c r="C81" s="18">
        <f>(1389.0/B81*100)</f>
        <v/>
      </c>
      <c r="D81" s="19" t="n">
        <v>268</v>
      </c>
      <c r="E81" s="18" t="n">
        <v>33.54211653</v>
      </c>
      <c r="F81" s="20" t="n">
        <v>3.41880354</v>
      </c>
      <c r="G81" s="18" t="n">
        <v>57.76134096</v>
      </c>
      <c r="H81" s="20" t="n">
        <v>3.13729926</v>
      </c>
      <c r="I81" s="18" t="n">
        <v>0</v>
      </c>
      <c r="J81" s="20" t="n">
        <v>0</v>
      </c>
      <c r="K81" s="18" t="n">
        <v>4.76635767</v>
      </c>
      <c r="L81" s="20" t="n">
        <v>1.6619768</v>
      </c>
      <c r="M81" s="18" t="n">
        <v>0</v>
      </c>
      <c r="N81" s="20" t="n">
        <v>0</v>
      </c>
      <c r="O81" s="18" t="n">
        <v>0</v>
      </c>
      <c r="P81" s="20" t="n">
        <v>0</v>
      </c>
      <c r="Q81" s="18" t="n">
        <v>3.93018483</v>
      </c>
      <c r="R81" s="20" t="n">
        <v>1.10039085</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40.51647666</v>
      </c>
      <c r="F44" s="20" t="n">
        <v>1.99052315</v>
      </c>
      <c r="G44" s="18" t="n">
        <v>30.42761867</v>
      </c>
      <c r="H44" s="20" t="n">
        <v>1.7449591</v>
      </c>
      <c r="I44" s="18" t="n">
        <v>0</v>
      </c>
      <c r="J44" s="20" t="n">
        <v>0</v>
      </c>
      <c r="K44" s="18" t="n">
        <v>3.4350827</v>
      </c>
      <c r="L44" s="20" t="n">
        <v>0.74526684</v>
      </c>
      <c r="M44" s="18" t="n">
        <v>0</v>
      </c>
      <c r="N44" s="20" t="n">
        <v>0</v>
      </c>
      <c r="O44" s="18" t="n">
        <v>0</v>
      </c>
      <c r="P44" s="20" t="n">
        <v>0</v>
      </c>
      <c r="Q44" s="18" t="n">
        <v>25.62082197</v>
      </c>
      <c r="R44" s="20" t="n">
        <v>1.7930581</v>
      </c>
    </row>
    <row r="45" spans="1:18">
      <c r="A45" s="15" t="s">
        <v>468</v>
      </c>
      <c r="B45" s="17" t="n">
        <v>5519</v>
      </c>
      <c r="C45" s="18">
        <f>(4579.0/B45*100)</f>
        <v/>
      </c>
      <c r="D45" s="19" t="n">
        <v>940</v>
      </c>
      <c r="E45" s="18" t="n">
        <v>41.27110137</v>
      </c>
      <c r="F45" s="20" t="n">
        <v>1.86458671</v>
      </c>
      <c r="G45" s="18" t="n">
        <v>21.60126641</v>
      </c>
      <c r="H45" s="20" t="n">
        <v>1.37991415</v>
      </c>
      <c r="I45" s="18" t="n">
        <v>0</v>
      </c>
      <c r="J45" s="20" t="n">
        <v>0</v>
      </c>
      <c r="K45" s="18" t="n">
        <v>7.21511962</v>
      </c>
      <c r="L45" s="20" t="n">
        <v>0.79178636</v>
      </c>
      <c r="M45" s="18" t="n">
        <v>0.23118595</v>
      </c>
      <c r="N45" s="20" t="n">
        <v>0.16713958</v>
      </c>
      <c r="O45" s="18" t="n">
        <v>0</v>
      </c>
      <c r="P45" s="20" t="n">
        <v>0</v>
      </c>
      <c r="Q45" s="18" t="n">
        <v>29.68132665</v>
      </c>
      <c r="R45" s="20" t="n">
        <v>1.86141826</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19.6078061</v>
      </c>
      <c r="F54" s="20" t="n">
        <v>1.43250302</v>
      </c>
      <c r="G54" s="18" t="n">
        <v>42.04622277</v>
      </c>
      <c r="H54" s="20" t="n">
        <v>1.67953077</v>
      </c>
      <c r="I54" s="18" t="n">
        <v>0</v>
      </c>
      <c r="J54" s="20" t="n">
        <v>0</v>
      </c>
      <c r="K54" s="18" t="n">
        <v>1.79942583</v>
      </c>
      <c r="L54" s="20" t="n">
        <v>0.43675723</v>
      </c>
      <c r="M54" s="18" t="n">
        <v>0.0953061</v>
      </c>
      <c r="N54" s="20" t="n">
        <v>0.09529177</v>
      </c>
      <c r="O54" s="18" t="n">
        <v>0.23985371</v>
      </c>
      <c r="P54" s="20" t="n">
        <v>0.14540893</v>
      </c>
      <c r="Q54" s="18" t="n">
        <v>36.21138549</v>
      </c>
      <c r="R54" s="20" t="n">
        <v>1.80037314</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57.90346501</v>
      </c>
      <c r="F56" s="20" t="n">
        <v>1.79582685</v>
      </c>
      <c r="G56" s="18" t="n">
        <v>32.55620648</v>
      </c>
      <c r="H56" s="20" t="n">
        <v>1.40431844</v>
      </c>
      <c r="I56" s="18" t="n">
        <v>0</v>
      </c>
      <c r="J56" s="20" t="n">
        <v>0</v>
      </c>
      <c r="K56" s="18" t="n">
        <v>1.15700519</v>
      </c>
      <c r="L56" s="20" t="n">
        <v>0.35131245</v>
      </c>
      <c r="M56" s="18" t="n">
        <v>0</v>
      </c>
      <c r="N56" s="20" t="n">
        <v>0</v>
      </c>
      <c r="O56" s="18" t="n">
        <v>0.23476608</v>
      </c>
      <c r="P56" s="20" t="n">
        <v>0.23218798</v>
      </c>
      <c r="Q56" s="18" t="n">
        <v>8.148557240000001</v>
      </c>
      <c r="R56" s="20" t="n">
        <v>1.15186724</v>
      </c>
    </row>
    <row r="57" spans="1:18">
      <c r="A57" s="15" t="s">
        <v>480</v>
      </c>
      <c r="B57" s="17" t="n">
        <v>7267</v>
      </c>
      <c r="C57" s="18">
        <f>(6058.0/B57*100)</f>
        <v/>
      </c>
      <c r="D57" s="19" t="n">
        <v>1209</v>
      </c>
      <c r="E57" s="18" t="n">
        <v>29.75716122</v>
      </c>
      <c r="F57" s="20" t="n">
        <v>1.308536</v>
      </c>
      <c r="G57" s="18" t="n">
        <v>47.39856435</v>
      </c>
      <c r="H57" s="20" t="n">
        <v>1.69238921</v>
      </c>
      <c r="I57" s="18" t="n">
        <v>0</v>
      </c>
      <c r="J57" s="20" t="n">
        <v>0</v>
      </c>
      <c r="K57" s="18" t="n">
        <v>3.77947269</v>
      </c>
      <c r="L57" s="20" t="n">
        <v>0.7313638099999999</v>
      </c>
      <c r="M57" s="18" t="n">
        <v>0</v>
      </c>
      <c r="N57" s="20" t="n">
        <v>0</v>
      </c>
      <c r="O57" s="18" t="n">
        <v>0</v>
      </c>
      <c r="P57" s="20" t="n">
        <v>0</v>
      </c>
      <c r="Q57" s="18" t="n">
        <v>19.06480174</v>
      </c>
      <c r="R57" s="20" t="n">
        <v>1.37663237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62.4671629</v>
      </c>
      <c r="F59" s="20" t="n">
        <v>2.14173293</v>
      </c>
      <c r="G59" s="18" t="n">
        <v>13.45551812</v>
      </c>
      <c r="H59" s="20" t="n">
        <v>1.46110374</v>
      </c>
      <c r="I59" s="18" t="n">
        <v>0</v>
      </c>
      <c r="J59" s="20" t="n">
        <v>0</v>
      </c>
      <c r="K59" s="18" t="n">
        <v>1.06505063</v>
      </c>
      <c r="L59" s="20" t="n">
        <v>0.33531189</v>
      </c>
      <c r="M59" s="18" t="n">
        <v>0.04373342</v>
      </c>
      <c r="N59" s="20" t="n">
        <v>0.04359679</v>
      </c>
      <c r="O59" s="18" t="n">
        <v>0</v>
      </c>
      <c r="P59" s="20" t="n">
        <v>0</v>
      </c>
      <c r="Q59" s="18" t="n">
        <v>22.96853492</v>
      </c>
      <c r="R59" s="20" t="n">
        <v>1.8359247</v>
      </c>
    </row>
    <row r="60" spans="1:18">
      <c r="A60" s="15" t="s">
        <v>484</v>
      </c>
      <c r="B60" s="17" t="n">
        <v>4546</v>
      </c>
      <c r="C60" s="18">
        <f>(3788.0/B60*100)</f>
        <v/>
      </c>
      <c r="D60" s="19" t="n">
        <v>758</v>
      </c>
      <c r="E60" s="18" t="n">
        <v>20.70686147</v>
      </c>
      <c r="F60" s="20" t="n">
        <v>1.65975764</v>
      </c>
      <c r="G60" s="18" t="n">
        <v>40.94149981</v>
      </c>
      <c r="H60" s="20" t="n">
        <v>2.25591207</v>
      </c>
      <c r="I60" s="18" t="n">
        <v>0</v>
      </c>
      <c r="J60" s="20" t="n">
        <v>0</v>
      </c>
      <c r="K60" s="18" t="n">
        <v>5.29803791</v>
      </c>
      <c r="L60" s="20" t="n">
        <v>0.80746512</v>
      </c>
      <c r="M60" s="18" t="n">
        <v>0</v>
      </c>
      <c r="N60" s="20" t="n">
        <v>0</v>
      </c>
      <c r="O60" s="18" t="n">
        <v>0</v>
      </c>
      <c r="P60" s="20" t="n">
        <v>0</v>
      </c>
      <c r="Q60" s="18" t="n">
        <v>33.05360082</v>
      </c>
      <c r="R60" s="20" t="n">
        <v>2.18311098</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24.46307788</v>
      </c>
      <c r="F63" s="20" t="n">
        <v>1.77660509</v>
      </c>
      <c r="G63" s="18" t="n">
        <v>25.34174587</v>
      </c>
      <c r="H63" s="20" t="n">
        <v>1.61609556</v>
      </c>
      <c r="I63" s="18" t="n">
        <v>0</v>
      </c>
      <c r="J63" s="20" t="n">
        <v>0</v>
      </c>
      <c r="K63" s="18" t="n">
        <v>3.31663318</v>
      </c>
      <c r="L63" s="20" t="n">
        <v>0.62485179</v>
      </c>
      <c r="M63" s="18" t="n">
        <v>0</v>
      </c>
      <c r="N63" s="20" t="n">
        <v>0</v>
      </c>
      <c r="O63" s="18" t="n">
        <v>0.08448682</v>
      </c>
      <c r="P63" s="20" t="n">
        <v>0.08476246</v>
      </c>
      <c r="Q63" s="18" t="n">
        <v>46.79405625</v>
      </c>
      <c r="R63" s="20" t="n">
        <v>1.85074215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14.44585241</v>
      </c>
      <c r="F65" s="20" t="n">
        <v>1.29939024</v>
      </c>
      <c r="G65" s="18" t="n">
        <v>66.85601358</v>
      </c>
      <c r="H65" s="20" t="n">
        <v>2.25700911</v>
      </c>
      <c r="I65" s="18" t="n">
        <v>0</v>
      </c>
      <c r="J65" s="20" t="n">
        <v>0</v>
      </c>
      <c r="K65" s="18" t="n">
        <v>3.54695081</v>
      </c>
      <c r="L65" s="20" t="n">
        <v>0.83191088</v>
      </c>
      <c r="M65" s="18" t="n">
        <v>0</v>
      </c>
      <c r="N65" s="20" t="n">
        <v>0</v>
      </c>
      <c r="O65" s="18" t="n">
        <v>0</v>
      </c>
      <c r="P65" s="20" t="n">
        <v>0</v>
      </c>
      <c r="Q65" s="18" t="n">
        <v>15.15118321</v>
      </c>
      <c r="R65" s="20" t="n">
        <v>1.78951615</v>
      </c>
    </row>
    <row r="66" spans="1:18">
      <c r="A66" s="15" t="s">
        <v>490</v>
      </c>
      <c r="B66" s="17" t="n">
        <v>5325</v>
      </c>
      <c r="C66" s="18">
        <f>(4444.0/B66*100)</f>
        <v/>
      </c>
      <c r="D66" s="19" t="n">
        <v>881</v>
      </c>
      <c r="E66" s="18" t="n">
        <v>28.61388562</v>
      </c>
      <c r="F66" s="20" t="n">
        <v>1.71641794</v>
      </c>
      <c r="G66" s="18" t="n">
        <v>35.63849081</v>
      </c>
      <c r="H66" s="20" t="n">
        <v>1.78640869</v>
      </c>
      <c r="I66" s="18" t="n">
        <v>0</v>
      </c>
      <c r="J66" s="20" t="n">
        <v>0</v>
      </c>
      <c r="K66" s="18" t="n">
        <v>5.57279579</v>
      </c>
      <c r="L66" s="20" t="n">
        <v>0.7283463</v>
      </c>
      <c r="M66" s="18" t="n">
        <v>0</v>
      </c>
      <c r="N66" s="20" t="n">
        <v>0</v>
      </c>
      <c r="O66" s="18" t="n">
        <v>0</v>
      </c>
      <c r="P66" s="20" t="n">
        <v>0</v>
      </c>
      <c r="Q66" s="18" t="n">
        <v>30.17482778</v>
      </c>
      <c r="R66" s="20" t="n">
        <v>1.86414679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29.49195653</v>
      </c>
      <c r="F69" s="20" t="n">
        <v>3.2632459</v>
      </c>
      <c r="G69" s="18" t="n">
        <v>56.70808397</v>
      </c>
      <c r="H69" s="20" t="n">
        <v>4.07425044</v>
      </c>
      <c r="I69" s="18" t="n">
        <v>0</v>
      </c>
      <c r="J69" s="20" t="n">
        <v>0</v>
      </c>
      <c r="K69" s="18" t="n">
        <v>0.90213153</v>
      </c>
      <c r="L69" s="20" t="n">
        <v>0.8820635</v>
      </c>
      <c r="M69" s="18" t="n">
        <v>0</v>
      </c>
      <c r="N69" s="20" t="n">
        <v>0</v>
      </c>
      <c r="O69" s="18" t="n">
        <v>0</v>
      </c>
      <c r="P69" s="20" t="n">
        <v>0</v>
      </c>
      <c r="Q69" s="18" t="n">
        <v>12.89782796</v>
      </c>
      <c r="R69" s="20" t="n">
        <v>2.6949463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48.04436294</v>
      </c>
      <c r="F71" s="20" t="n">
        <v>2.20707621</v>
      </c>
      <c r="G71" s="18" t="n">
        <v>47.8262528</v>
      </c>
      <c r="H71" s="20" t="n">
        <v>2.21893603</v>
      </c>
      <c r="I71" s="18" t="n">
        <v>0</v>
      </c>
      <c r="J71" s="20" t="n">
        <v>0</v>
      </c>
      <c r="K71" s="18" t="n">
        <v>0.24484189</v>
      </c>
      <c r="L71" s="20" t="n">
        <v>0.17303082</v>
      </c>
      <c r="M71" s="18" t="n">
        <v>0</v>
      </c>
      <c r="N71" s="20" t="n">
        <v>0</v>
      </c>
      <c r="O71" s="18" t="n">
        <v>0</v>
      </c>
      <c r="P71" s="20" t="n">
        <v>0</v>
      </c>
      <c r="Q71" s="18" t="n">
        <v>3.88454237</v>
      </c>
      <c r="R71" s="20" t="n">
        <v>0.68059304</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15.96381224</v>
      </c>
      <c r="F76" s="20" t="n">
        <v>1.5273852</v>
      </c>
      <c r="G76" s="18" t="n">
        <v>51.97503763</v>
      </c>
      <c r="H76" s="20" t="n">
        <v>1.94037532</v>
      </c>
      <c r="I76" s="18" t="n">
        <v>0</v>
      </c>
      <c r="J76" s="20" t="n">
        <v>0</v>
      </c>
      <c r="K76" s="18" t="n">
        <v>7.99326832</v>
      </c>
      <c r="L76" s="20" t="n">
        <v>1.0886371</v>
      </c>
      <c r="M76" s="18" t="n">
        <v>0</v>
      </c>
      <c r="N76" s="20" t="n">
        <v>0</v>
      </c>
      <c r="O76" s="18" t="n">
        <v>0</v>
      </c>
      <c r="P76" s="20" t="n">
        <v>0</v>
      </c>
      <c r="Q76" s="18" t="n">
        <v>24.06788181</v>
      </c>
      <c r="R76" s="20" t="n">
        <v>1.76841442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44.48467356</v>
      </c>
      <c r="F80" s="20" t="n">
        <v>2.18770326</v>
      </c>
      <c r="G80" s="18" t="n">
        <v>53.36274319</v>
      </c>
      <c r="H80" s="20" t="n">
        <v>2.18382714</v>
      </c>
      <c r="I80" s="18" t="n">
        <v>0</v>
      </c>
      <c r="J80" s="20" t="n">
        <v>0</v>
      </c>
      <c r="K80" s="18" t="n">
        <v>0</v>
      </c>
      <c r="L80" s="20" t="n">
        <v>0</v>
      </c>
      <c r="M80" s="18" t="n">
        <v>0</v>
      </c>
      <c r="N80" s="20" t="n">
        <v>0</v>
      </c>
      <c r="O80" s="18" t="n">
        <v>0</v>
      </c>
      <c r="P80" s="20" t="n">
        <v>0</v>
      </c>
      <c r="Q80" s="18" t="n">
        <v>2.15258325</v>
      </c>
      <c r="R80" s="20" t="n">
        <v>0.50035277</v>
      </c>
    </row>
    <row r="81" spans="1:18">
      <c r="A81" s="15" t="s">
        <v>505</v>
      </c>
      <c r="B81" s="17" t="n">
        <v>1657</v>
      </c>
      <c r="C81" s="18">
        <f>(1389.0/B81*100)</f>
        <v/>
      </c>
      <c r="D81" s="19" t="n">
        <v>268</v>
      </c>
      <c r="E81" s="18" t="n">
        <v>15.56756266</v>
      </c>
      <c r="F81" s="20" t="n">
        <v>2.59946326</v>
      </c>
      <c r="G81" s="18" t="n">
        <v>66.10871695</v>
      </c>
      <c r="H81" s="20" t="n">
        <v>3.5383701</v>
      </c>
      <c r="I81" s="18" t="n">
        <v>0</v>
      </c>
      <c r="J81" s="20" t="n">
        <v>0</v>
      </c>
      <c r="K81" s="18" t="n">
        <v>5.0976467</v>
      </c>
      <c r="L81" s="20" t="n">
        <v>1.69549701</v>
      </c>
      <c r="M81" s="18" t="n">
        <v>0</v>
      </c>
      <c r="N81" s="20" t="n">
        <v>0</v>
      </c>
      <c r="O81" s="18" t="n">
        <v>0</v>
      </c>
      <c r="P81" s="20" t="n">
        <v>0</v>
      </c>
      <c r="Q81" s="18" t="n">
        <v>13.2260737</v>
      </c>
      <c r="R81" s="20" t="n">
        <v>2.13100141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20.24364714</v>
      </c>
      <c r="F44" s="20" t="n">
        <v>1.59886779</v>
      </c>
      <c r="G44" s="18" t="n">
        <v>73.93664232</v>
      </c>
      <c r="H44" s="20" t="n">
        <v>1.69407181</v>
      </c>
      <c r="I44" s="18" t="n">
        <v>0</v>
      </c>
      <c r="J44" s="20" t="n">
        <v>0</v>
      </c>
      <c r="K44" s="18" t="n">
        <v>3.75596506</v>
      </c>
      <c r="L44" s="20" t="n">
        <v>0.70311904</v>
      </c>
      <c r="M44" s="18" t="n">
        <v>0</v>
      </c>
      <c r="N44" s="20" t="n">
        <v>0</v>
      </c>
      <c r="O44" s="18" t="n">
        <v>0.93531835</v>
      </c>
      <c r="P44" s="20" t="n">
        <v>0.44808579</v>
      </c>
      <c r="Q44" s="18" t="n">
        <v>1.12842714</v>
      </c>
      <c r="R44" s="20" t="n">
        <v>0.32285693</v>
      </c>
    </row>
    <row r="45" spans="1:18">
      <c r="A45" s="15" t="s">
        <v>468</v>
      </c>
      <c r="B45" s="17" t="n">
        <v>5519</v>
      </c>
      <c r="C45" s="18">
        <f>(4579.0/B45*100)</f>
        <v/>
      </c>
      <c r="D45" s="19" t="n">
        <v>940</v>
      </c>
      <c r="E45" s="18" t="n">
        <v>29.67739292</v>
      </c>
      <c r="F45" s="20" t="n">
        <v>1.54442973</v>
      </c>
      <c r="G45" s="18" t="n">
        <v>58.53135581</v>
      </c>
      <c r="H45" s="20" t="n">
        <v>1.46873327</v>
      </c>
      <c r="I45" s="18" t="n">
        <v>0</v>
      </c>
      <c r="J45" s="20" t="n">
        <v>0</v>
      </c>
      <c r="K45" s="18" t="n">
        <v>8.172267850000001</v>
      </c>
      <c r="L45" s="20" t="n">
        <v>0.8688287</v>
      </c>
      <c r="M45" s="18" t="n">
        <v>0.12482625</v>
      </c>
      <c r="N45" s="20" t="n">
        <v>0.1176394</v>
      </c>
      <c r="O45" s="18" t="n">
        <v>1.90762129</v>
      </c>
      <c r="P45" s="20" t="n">
        <v>0.46507722</v>
      </c>
      <c r="Q45" s="18" t="n">
        <v>1.58653588</v>
      </c>
      <c r="R45" s="20" t="n">
        <v>0.45108655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32.395164</v>
      </c>
      <c r="F54" s="20" t="n">
        <v>1.64135401</v>
      </c>
      <c r="G54" s="18" t="n">
        <v>64.39792781</v>
      </c>
      <c r="H54" s="20" t="n">
        <v>1.67739747</v>
      </c>
      <c r="I54" s="18" t="n">
        <v>0</v>
      </c>
      <c r="J54" s="20" t="n">
        <v>0</v>
      </c>
      <c r="K54" s="18" t="n">
        <v>1.9449056</v>
      </c>
      <c r="L54" s="20" t="n">
        <v>0.4262057</v>
      </c>
      <c r="M54" s="18" t="n">
        <v>0</v>
      </c>
      <c r="N54" s="20" t="n">
        <v>0</v>
      </c>
      <c r="O54" s="18" t="n">
        <v>0.41393334</v>
      </c>
      <c r="P54" s="20" t="n">
        <v>0.20287837</v>
      </c>
      <c r="Q54" s="18" t="n">
        <v>0.84806926</v>
      </c>
      <c r="R54" s="20" t="n">
        <v>0.30784205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24.23918989</v>
      </c>
      <c r="F56" s="20" t="n">
        <v>1.52391665</v>
      </c>
      <c r="G56" s="18" t="n">
        <v>73.48746233999999</v>
      </c>
      <c r="H56" s="20" t="n">
        <v>1.52646952</v>
      </c>
      <c r="I56" s="18" t="n">
        <v>0</v>
      </c>
      <c r="J56" s="20" t="n">
        <v>0</v>
      </c>
      <c r="K56" s="18" t="n">
        <v>1.30513505</v>
      </c>
      <c r="L56" s="20" t="n">
        <v>0.37625355</v>
      </c>
      <c r="M56" s="18" t="n">
        <v>0.11963255</v>
      </c>
      <c r="N56" s="20" t="n">
        <v>0.11909992</v>
      </c>
      <c r="O56" s="18" t="n">
        <v>0</v>
      </c>
      <c r="P56" s="20" t="n">
        <v>0</v>
      </c>
      <c r="Q56" s="18" t="n">
        <v>0.84858017</v>
      </c>
      <c r="R56" s="20" t="n">
        <v>0.3218859</v>
      </c>
    </row>
    <row r="57" spans="1:18">
      <c r="A57" s="15" t="s">
        <v>480</v>
      </c>
      <c r="B57" s="17" t="n">
        <v>7267</v>
      </c>
      <c r="C57" s="18">
        <f>(6058.0/B57*100)</f>
        <v/>
      </c>
      <c r="D57" s="19" t="n">
        <v>1209</v>
      </c>
      <c r="E57" s="18" t="n">
        <v>26.58900966</v>
      </c>
      <c r="F57" s="20" t="n">
        <v>1.24605266</v>
      </c>
      <c r="G57" s="18" t="n">
        <v>67.51618494</v>
      </c>
      <c r="H57" s="20" t="n">
        <v>1.42371767</v>
      </c>
      <c r="I57" s="18" t="n">
        <v>0</v>
      </c>
      <c r="J57" s="20" t="n">
        <v>0</v>
      </c>
      <c r="K57" s="18" t="n">
        <v>3.96799089</v>
      </c>
      <c r="L57" s="20" t="n">
        <v>0.74133585</v>
      </c>
      <c r="M57" s="18" t="n">
        <v>0</v>
      </c>
      <c r="N57" s="20" t="n">
        <v>0</v>
      </c>
      <c r="O57" s="18" t="n">
        <v>0.27497952</v>
      </c>
      <c r="P57" s="20" t="n">
        <v>0.15263984</v>
      </c>
      <c r="Q57" s="18" t="n">
        <v>1.65183499</v>
      </c>
      <c r="R57" s="20" t="n">
        <v>0.38043824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21.86368126</v>
      </c>
      <c r="F59" s="20" t="n">
        <v>1.79929773</v>
      </c>
      <c r="G59" s="18" t="n">
        <v>76.04251548000001</v>
      </c>
      <c r="H59" s="20" t="n">
        <v>1.92237391</v>
      </c>
      <c r="I59" s="18" t="n">
        <v>0</v>
      </c>
      <c r="J59" s="20" t="n">
        <v>0</v>
      </c>
      <c r="K59" s="18" t="n">
        <v>1.06505063</v>
      </c>
      <c r="L59" s="20" t="n">
        <v>0.33531189</v>
      </c>
      <c r="M59" s="18" t="n">
        <v>0</v>
      </c>
      <c r="N59" s="20" t="n">
        <v>0</v>
      </c>
      <c r="O59" s="18" t="n">
        <v>0.8974544</v>
      </c>
      <c r="P59" s="20" t="n">
        <v>0.36372397</v>
      </c>
      <c r="Q59" s="18" t="n">
        <v>0.13129822</v>
      </c>
      <c r="R59" s="20" t="n">
        <v>0.07879377999999999</v>
      </c>
    </row>
    <row r="60" spans="1:18">
      <c r="A60" s="15" t="s">
        <v>484</v>
      </c>
      <c r="B60" s="17" t="n">
        <v>4546</v>
      </c>
      <c r="C60" s="18">
        <f>(3788.0/B60*100)</f>
        <v/>
      </c>
      <c r="D60" s="19" t="n">
        <v>758</v>
      </c>
      <c r="E60" s="18" t="n">
        <v>28.77383735</v>
      </c>
      <c r="F60" s="20" t="n">
        <v>2.05399223</v>
      </c>
      <c r="G60" s="18" t="n">
        <v>62.12478612</v>
      </c>
      <c r="H60" s="20" t="n">
        <v>2.25292178</v>
      </c>
      <c r="I60" s="18" t="n">
        <v>0</v>
      </c>
      <c r="J60" s="20" t="n">
        <v>0</v>
      </c>
      <c r="K60" s="18" t="n">
        <v>5.556695</v>
      </c>
      <c r="L60" s="20" t="n">
        <v>0.8431372</v>
      </c>
      <c r="M60" s="18" t="n">
        <v>0.50515774</v>
      </c>
      <c r="N60" s="20" t="n">
        <v>0.35559588</v>
      </c>
      <c r="O60" s="18" t="n">
        <v>1.54913917</v>
      </c>
      <c r="P60" s="20" t="n">
        <v>0.73099964</v>
      </c>
      <c r="Q60" s="18" t="n">
        <v>1.49038462</v>
      </c>
      <c r="R60" s="20" t="n">
        <v>0.55651697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34.13275112</v>
      </c>
      <c r="F63" s="20" t="n">
        <v>1.66462372</v>
      </c>
      <c r="G63" s="18" t="n">
        <v>60.49905876</v>
      </c>
      <c r="H63" s="20" t="n">
        <v>1.65831801</v>
      </c>
      <c r="I63" s="18" t="n">
        <v>0</v>
      </c>
      <c r="J63" s="20" t="n">
        <v>0</v>
      </c>
      <c r="K63" s="18" t="n">
        <v>3.57809997</v>
      </c>
      <c r="L63" s="20" t="n">
        <v>0.6513165</v>
      </c>
      <c r="M63" s="18" t="n">
        <v>0</v>
      </c>
      <c r="N63" s="20" t="n">
        <v>0</v>
      </c>
      <c r="O63" s="18" t="n">
        <v>0.08719436999999999</v>
      </c>
      <c r="P63" s="20" t="n">
        <v>0.08797186</v>
      </c>
      <c r="Q63" s="18" t="n">
        <v>1.70289578</v>
      </c>
      <c r="R63" s="20" t="n">
        <v>0.44712181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18.25772783</v>
      </c>
      <c r="F65" s="20" t="n">
        <v>1.5775575</v>
      </c>
      <c r="G65" s="18" t="n">
        <v>76.66691471999999</v>
      </c>
      <c r="H65" s="20" t="n">
        <v>1.79950679</v>
      </c>
      <c r="I65" s="18" t="n">
        <v>0</v>
      </c>
      <c r="J65" s="20" t="n">
        <v>0</v>
      </c>
      <c r="K65" s="18" t="n">
        <v>4.09974401</v>
      </c>
      <c r="L65" s="20" t="n">
        <v>0.89095744</v>
      </c>
      <c r="M65" s="18" t="n">
        <v>0</v>
      </c>
      <c r="N65" s="20" t="n">
        <v>0</v>
      </c>
      <c r="O65" s="18" t="n">
        <v>0.30658292</v>
      </c>
      <c r="P65" s="20" t="n">
        <v>0.21900297</v>
      </c>
      <c r="Q65" s="18" t="n">
        <v>0.66903052</v>
      </c>
      <c r="R65" s="20" t="n">
        <v>0.33715996</v>
      </c>
    </row>
    <row r="66" spans="1:18">
      <c r="A66" s="15" t="s">
        <v>490</v>
      </c>
      <c r="B66" s="17" t="n">
        <v>5325</v>
      </c>
      <c r="C66" s="18">
        <f>(4444.0/B66*100)</f>
        <v/>
      </c>
      <c r="D66" s="19" t="n">
        <v>881</v>
      </c>
      <c r="E66" s="18" t="n">
        <v>17.92691549</v>
      </c>
      <c r="F66" s="20" t="n">
        <v>1.24864044</v>
      </c>
      <c r="G66" s="18" t="n">
        <v>74.28251134999999</v>
      </c>
      <c r="H66" s="20" t="n">
        <v>1.51393621</v>
      </c>
      <c r="I66" s="18" t="n">
        <v>0</v>
      </c>
      <c r="J66" s="20" t="n">
        <v>0</v>
      </c>
      <c r="K66" s="18" t="n">
        <v>5.89865232</v>
      </c>
      <c r="L66" s="20" t="n">
        <v>0.74647284</v>
      </c>
      <c r="M66" s="18" t="n">
        <v>1.02721299</v>
      </c>
      <c r="N66" s="20" t="n">
        <v>0.37091603</v>
      </c>
      <c r="O66" s="18" t="n">
        <v>0</v>
      </c>
      <c r="P66" s="20" t="n">
        <v>0</v>
      </c>
      <c r="Q66" s="18" t="n">
        <v>0.86470784</v>
      </c>
      <c r="R66" s="20" t="n">
        <v>0.2900129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31.46650547</v>
      </c>
      <c r="F69" s="20" t="n">
        <v>4.168191</v>
      </c>
      <c r="G69" s="18" t="n">
        <v>67.63136299999999</v>
      </c>
      <c r="H69" s="20" t="n">
        <v>4.48941746</v>
      </c>
      <c r="I69" s="18" t="n">
        <v>0</v>
      </c>
      <c r="J69" s="20" t="n">
        <v>0</v>
      </c>
      <c r="K69" s="18" t="n">
        <v>0.90213153</v>
      </c>
      <c r="L69" s="20" t="n">
        <v>0.8820635</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23.99810767</v>
      </c>
      <c r="F71" s="20" t="n">
        <v>1.55115146</v>
      </c>
      <c r="G71" s="18" t="n">
        <v>75.66050528</v>
      </c>
      <c r="H71" s="20" t="n">
        <v>1.56922532</v>
      </c>
      <c r="I71" s="18" t="n">
        <v>0</v>
      </c>
      <c r="J71" s="20" t="n">
        <v>0</v>
      </c>
      <c r="K71" s="18" t="n">
        <v>0.24484189</v>
      </c>
      <c r="L71" s="20" t="n">
        <v>0.17303082</v>
      </c>
      <c r="M71" s="18" t="n">
        <v>0</v>
      </c>
      <c r="N71" s="20" t="n">
        <v>0</v>
      </c>
      <c r="O71" s="18" t="n">
        <v>0</v>
      </c>
      <c r="P71" s="20" t="n">
        <v>0</v>
      </c>
      <c r="Q71" s="18" t="n">
        <v>0.09654517</v>
      </c>
      <c r="R71" s="20" t="n">
        <v>0.09666627999999999</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13.83698257</v>
      </c>
      <c r="F76" s="20" t="n">
        <v>1.29739879</v>
      </c>
      <c r="G76" s="18" t="n">
        <v>76.15279643</v>
      </c>
      <c r="H76" s="20" t="n">
        <v>1.71839176</v>
      </c>
      <c r="I76" s="18" t="n">
        <v>0</v>
      </c>
      <c r="J76" s="20" t="n">
        <v>0</v>
      </c>
      <c r="K76" s="18" t="n">
        <v>8.518843240000001</v>
      </c>
      <c r="L76" s="20" t="n">
        <v>1.11125424</v>
      </c>
      <c r="M76" s="18" t="n">
        <v>0</v>
      </c>
      <c r="N76" s="20" t="n">
        <v>0</v>
      </c>
      <c r="O76" s="18" t="n">
        <v>0</v>
      </c>
      <c r="P76" s="20" t="n">
        <v>0</v>
      </c>
      <c r="Q76" s="18" t="n">
        <v>1.49137776</v>
      </c>
      <c r="R76" s="20" t="n">
        <v>0.50049621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3.37094356</v>
      </c>
      <c r="F80" s="20" t="n">
        <v>0.64320203</v>
      </c>
      <c r="G80" s="18" t="n">
        <v>96.62905644</v>
      </c>
      <c r="H80" s="20" t="n">
        <v>0.64320203</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(1389.0/B81*100)</f>
        <v/>
      </c>
      <c r="D81" s="19" t="n">
        <v>268</v>
      </c>
      <c r="E81" s="18" t="n">
        <v>16.76211218</v>
      </c>
      <c r="F81" s="20" t="n">
        <v>2.22673447</v>
      </c>
      <c r="G81" s="18" t="n">
        <v>75.92636165</v>
      </c>
      <c r="H81" s="20" t="n">
        <v>2.59131139</v>
      </c>
      <c r="I81" s="18" t="n">
        <v>0</v>
      </c>
      <c r="J81" s="20" t="n">
        <v>0</v>
      </c>
      <c r="K81" s="18" t="n">
        <v>5.0976467</v>
      </c>
      <c r="L81" s="20" t="n">
        <v>1.69549701</v>
      </c>
      <c r="M81" s="18" t="n">
        <v>0.44503537</v>
      </c>
      <c r="N81" s="20" t="n">
        <v>0.44631081</v>
      </c>
      <c r="O81" s="18" t="n">
        <v>0.74838775</v>
      </c>
      <c r="P81" s="20" t="n">
        <v>0.56639426</v>
      </c>
      <c r="Q81" s="18" t="n">
        <v>1.02045634</v>
      </c>
      <c r="R81" s="20" t="n">
        <v>0.59291703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55.25457781</v>
      </c>
      <c r="F44" s="20" t="n">
        <v>2.36867033</v>
      </c>
      <c r="G44" s="18" t="n">
        <v>36.59590509</v>
      </c>
      <c r="H44" s="20" t="n">
        <v>2.44341292</v>
      </c>
      <c r="I44" s="18" t="n">
        <v>0</v>
      </c>
      <c r="J44" s="20" t="n">
        <v>0</v>
      </c>
      <c r="K44" s="18" t="n">
        <v>4.10818931</v>
      </c>
      <c r="L44" s="20" t="n">
        <v>0.72924183</v>
      </c>
      <c r="M44" s="18" t="n">
        <v>0</v>
      </c>
      <c r="N44" s="20" t="n">
        <v>0</v>
      </c>
      <c r="O44" s="18" t="n">
        <v>1.28211091</v>
      </c>
      <c r="P44" s="20" t="n">
        <v>0.46048634</v>
      </c>
      <c r="Q44" s="18" t="n">
        <v>2.75921688</v>
      </c>
      <c r="R44" s="20" t="n">
        <v>0.56074579</v>
      </c>
    </row>
    <row r="45" spans="1:18">
      <c r="A45" s="15" t="s">
        <v>468</v>
      </c>
      <c r="B45" s="17" t="n">
        <v>5519</v>
      </c>
      <c r="C45" s="18">
        <f>(4579.0/B45*100)</f>
        <v/>
      </c>
      <c r="D45" s="19" t="n">
        <v>940</v>
      </c>
      <c r="E45" s="18" t="n">
        <v>45.96880459</v>
      </c>
      <c r="F45" s="20" t="n">
        <v>1.90994597</v>
      </c>
      <c r="G45" s="18" t="n">
        <v>40.20040727</v>
      </c>
      <c r="H45" s="20" t="n">
        <v>1.67356798</v>
      </c>
      <c r="I45" s="18" t="n">
        <v>0</v>
      </c>
      <c r="J45" s="20" t="n">
        <v>0</v>
      </c>
      <c r="K45" s="18" t="n">
        <v>8.78214629</v>
      </c>
      <c r="L45" s="20" t="n">
        <v>0.91532748</v>
      </c>
      <c r="M45" s="18" t="n">
        <v>0</v>
      </c>
      <c r="N45" s="20" t="n">
        <v>0</v>
      </c>
      <c r="O45" s="18" t="n">
        <v>2.39725893</v>
      </c>
      <c r="P45" s="20" t="n">
        <v>0.58032641</v>
      </c>
      <c r="Q45" s="18" t="n">
        <v>2.65138292</v>
      </c>
      <c r="R45" s="20" t="n">
        <v>0.61234209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51.67493532</v>
      </c>
      <c r="F54" s="20" t="n">
        <v>1.94813352</v>
      </c>
      <c r="G54" s="18" t="n">
        <v>43.98130831</v>
      </c>
      <c r="H54" s="20" t="n">
        <v>1.99747795</v>
      </c>
      <c r="I54" s="18" t="n">
        <v>0</v>
      </c>
      <c r="J54" s="20" t="n">
        <v>0</v>
      </c>
      <c r="K54" s="18" t="n">
        <v>2.15255528</v>
      </c>
      <c r="L54" s="20" t="n">
        <v>0.43053847</v>
      </c>
      <c r="M54" s="18" t="n">
        <v>0</v>
      </c>
      <c r="N54" s="20" t="n">
        <v>0</v>
      </c>
      <c r="O54" s="18" t="n">
        <v>0.34652958</v>
      </c>
      <c r="P54" s="20" t="n">
        <v>0.27355928</v>
      </c>
      <c r="Q54" s="18" t="n">
        <v>1.84467152</v>
      </c>
      <c r="R54" s="20" t="n">
        <v>0.53404553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51.79503116</v>
      </c>
      <c r="F56" s="20" t="n">
        <v>1.68542913</v>
      </c>
      <c r="G56" s="18" t="n">
        <v>45.81424682</v>
      </c>
      <c r="H56" s="20" t="n">
        <v>1.66870196</v>
      </c>
      <c r="I56" s="18" t="n">
        <v>0</v>
      </c>
      <c r="J56" s="20" t="n">
        <v>0</v>
      </c>
      <c r="K56" s="18" t="n">
        <v>1.56849954</v>
      </c>
      <c r="L56" s="20" t="n">
        <v>0.4251486</v>
      </c>
      <c r="M56" s="18" t="n">
        <v>0.11963255</v>
      </c>
      <c r="N56" s="20" t="n">
        <v>0.11909992</v>
      </c>
      <c r="O56" s="18" t="n">
        <v>0</v>
      </c>
      <c r="P56" s="20" t="n">
        <v>0</v>
      </c>
      <c r="Q56" s="18" t="n">
        <v>0.70258993</v>
      </c>
      <c r="R56" s="20" t="n">
        <v>0.27584858</v>
      </c>
    </row>
    <row r="57" spans="1:18">
      <c r="A57" s="15" t="s">
        <v>480</v>
      </c>
      <c r="B57" s="17" t="n">
        <v>7267</v>
      </c>
      <c r="C57" s="18">
        <f>(6058.0/B57*100)</f>
        <v/>
      </c>
      <c r="D57" s="19" t="n">
        <v>1209</v>
      </c>
      <c r="E57" s="18" t="n">
        <v>46.61631822</v>
      </c>
      <c r="F57" s="20" t="n">
        <v>1.64075806</v>
      </c>
      <c r="G57" s="18" t="n">
        <v>45.90575601</v>
      </c>
      <c r="H57" s="20" t="n">
        <v>1.52357208</v>
      </c>
      <c r="I57" s="18" t="n">
        <v>0</v>
      </c>
      <c r="J57" s="20" t="n">
        <v>0</v>
      </c>
      <c r="K57" s="18" t="n">
        <v>4.24750006</v>
      </c>
      <c r="L57" s="20" t="n">
        <v>0.74186929</v>
      </c>
      <c r="M57" s="18" t="n">
        <v>0</v>
      </c>
      <c r="N57" s="20" t="n">
        <v>0</v>
      </c>
      <c r="O57" s="18" t="n">
        <v>0.8324494099999999</v>
      </c>
      <c r="P57" s="20" t="n">
        <v>0.30039647</v>
      </c>
      <c r="Q57" s="18" t="n">
        <v>2.39797631</v>
      </c>
      <c r="R57" s="20" t="n">
        <v>0.52856909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73.09362530999999</v>
      </c>
      <c r="F59" s="20" t="n">
        <v>1.93248393</v>
      </c>
      <c r="G59" s="18" t="n">
        <v>23.28393071</v>
      </c>
      <c r="H59" s="20" t="n">
        <v>1.87670519</v>
      </c>
      <c r="I59" s="18" t="n">
        <v>0</v>
      </c>
      <c r="J59" s="20" t="n">
        <v>0</v>
      </c>
      <c r="K59" s="18" t="n">
        <v>1.17562404</v>
      </c>
      <c r="L59" s="20" t="n">
        <v>0.35013232</v>
      </c>
      <c r="M59" s="18" t="n">
        <v>0</v>
      </c>
      <c r="N59" s="20" t="n">
        <v>0</v>
      </c>
      <c r="O59" s="18" t="n">
        <v>1.79886032</v>
      </c>
      <c r="P59" s="20" t="n">
        <v>0.60342335</v>
      </c>
      <c r="Q59" s="18" t="n">
        <v>0.64795963</v>
      </c>
      <c r="R59" s="20" t="n">
        <v>0.3246656</v>
      </c>
    </row>
    <row r="60" spans="1:18">
      <c r="A60" s="15" t="s">
        <v>484</v>
      </c>
      <c r="B60" s="17" t="n">
        <v>4546</v>
      </c>
      <c r="C60" s="18">
        <f>(3788.0/B60*100)</f>
        <v/>
      </c>
      <c r="D60" s="19" t="n">
        <v>758</v>
      </c>
      <c r="E60" s="18" t="n">
        <v>49.63917383</v>
      </c>
      <c r="F60" s="20" t="n">
        <v>2.05253911</v>
      </c>
      <c r="G60" s="18" t="n">
        <v>37.40944757</v>
      </c>
      <c r="H60" s="20" t="n">
        <v>1.98787947</v>
      </c>
      <c r="I60" s="18" t="n">
        <v>0</v>
      </c>
      <c r="J60" s="20" t="n">
        <v>0</v>
      </c>
      <c r="K60" s="18" t="n">
        <v>6.07773313</v>
      </c>
      <c r="L60" s="20" t="n">
        <v>0.89490025</v>
      </c>
      <c r="M60" s="18" t="n">
        <v>0</v>
      </c>
      <c r="N60" s="20" t="n">
        <v>0</v>
      </c>
      <c r="O60" s="18" t="n">
        <v>4.05860767</v>
      </c>
      <c r="P60" s="20" t="n">
        <v>0.97969115</v>
      </c>
      <c r="Q60" s="18" t="n">
        <v>2.81503781</v>
      </c>
      <c r="R60" s="20" t="n">
        <v>0.67569203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65.08788104999999</v>
      </c>
      <c r="F63" s="20" t="n">
        <v>1.80653698</v>
      </c>
      <c r="G63" s="18" t="n">
        <v>26.94068541</v>
      </c>
      <c r="H63" s="20" t="n">
        <v>1.61292737</v>
      </c>
      <c r="I63" s="18" t="n">
        <v>0</v>
      </c>
      <c r="J63" s="20" t="n">
        <v>0</v>
      </c>
      <c r="K63" s="18" t="n">
        <v>3.90203409</v>
      </c>
      <c r="L63" s="20" t="n">
        <v>0.67057091</v>
      </c>
      <c r="M63" s="18" t="n">
        <v>0</v>
      </c>
      <c r="N63" s="20" t="n">
        <v>0</v>
      </c>
      <c r="O63" s="18" t="n">
        <v>0.27440601</v>
      </c>
      <c r="P63" s="20" t="n">
        <v>0.19589263</v>
      </c>
      <c r="Q63" s="18" t="n">
        <v>3.79499344</v>
      </c>
      <c r="R63" s="20" t="n">
        <v>0.72656073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46.97315913</v>
      </c>
      <c r="F65" s="20" t="n">
        <v>2.3988709</v>
      </c>
      <c r="G65" s="18" t="n">
        <v>47.10710977</v>
      </c>
      <c r="H65" s="20" t="n">
        <v>2.32518073</v>
      </c>
      <c r="I65" s="18" t="n">
        <v>0</v>
      </c>
      <c r="J65" s="20" t="n">
        <v>0</v>
      </c>
      <c r="K65" s="18" t="n">
        <v>4.24658576</v>
      </c>
      <c r="L65" s="20" t="n">
        <v>0.90503254</v>
      </c>
      <c r="M65" s="18" t="n">
        <v>0</v>
      </c>
      <c r="N65" s="20" t="n">
        <v>0</v>
      </c>
      <c r="O65" s="18" t="n">
        <v>0</v>
      </c>
      <c r="P65" s="20" t="n">
        <v>0</v>
      </c>
      <c r="Q65" s="18" t="n">
        <v>1.67314533</v>
      </c>
      <c r="R65" s="20" t="n">
        <v>0.57089696</v>
      </c>
    </row>
    <row r="66" spans="1:18">
      <c r="A66" s="15" t="s">
        <v>490</v>
      </c>
      <c r="B66" s="17" t="n">
        <v>5325</v>
      </c>
      <c r="C66" s="18">
        <f>(4444.0/B66*100)</f>
        <v/>
      </c>
      <c r="D66" s="19" t="n">
        <v>881</v>
      </c>
      <c r="E66" s="18" t="n">
        <v>51.06199656</v>
      </c>
      <c r="F66" s="20" t="n">
        <v>2.00860713</v>
      </c>
      <c r="G66" s="18" t="n">
        <v>38.56863178</v>
      </c>
      <c r="H66" s="20" t="n">
        <v>1.67715032</v>
      </c>
      <c r="I66" s="18" t="n">
        <v>0</v>
      </c>
      <c r="J66" s="20" t="n">
        <v>0</v>
      </c>
      <c r="K66" s="18" t="n">
        <v>6.20818625</v>
      </c>
      <c r="L66" s="20" t="n">
        <v>0.77914017</v>
      </c>
      <c r="M66" s="18" t="n">
        <v>1.57423818</v>
      </c>
      <c r="N66" s="20" t="n">
        <v>0.416939</v>
      </c>
      <c r="O66" s="18" t="n">
        <v>0</v>
      </c>
      <c r="P66" s="20" t="n">
        <v>0</v>
      </c>
      <c r="Q66" s="18" t="n">
        <v>2.58694722</v>
      </c>
      <c r="R66" s="20" t="n">
        <v>0.54021114</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63.31032395</v>
      </c>
      <c r="F69" s="20" t="n">
        <v>2.75144453</v>
      </c>
      <c r="G69" s="18" t="n">
        <v>35.51316418</v>
      </c>
      <c r="H69" s="20" t="n">
        <v>2.89717173</v>
      </c>
      <c r="I69" s="18" t="n">
        <v>0</v>
      </c>
      <c r="J69" s="20" t="n">
        <v>0</v>
      </c>
      <c r="K69" s="18" t="n">
        <v>0.90213153</v>
      </c>
      <c r="L69" s="20" t="n">
        <v>0.8820635</v>
      </c>
      <c r="M69" s="18" t="n">
        <v>0</v>
      </c>
      <c r="N69" s="20" t="n">
        <v>0</v>
      </c>
      <c r="O69" s="18" t="n">
        <v>0.27438034</v>
      </c>
      <c r="P69" s="20" t="n">
        <v>0.2109371</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57.99642182</v>
      </c>
      <c r="F71" s="20" t="n">
        <v>2.05278303</v>
      </c>
      <c r="G71" s="18" t="n">
        <v>41.66219113</v>
      </c>
      <c r="H71" s="20" t="n">
        <v>2.0193774</v>
      </c>
      <c r="I71" s="18" t="n">
        <v>0</v>
      </c>
      <c r="J71" s="20" t="n">
        <v>0</v>
      </c>
      <c r="K71" s="18" t="n">
        <v>0.24484189</v>
      </c>
      <c r="L71" s="20" t="n">
        <v>0.17303082</v>
      </c>
      <c r="M71" s="18" t="n">
        <v>0</v>
      </c>
      <c r="N71" s="20" t="n">
        <v>0</v>
      </c>
      <c r="O71" s="18" t="n">
        <v>0</v>
      </c>
      <c r="P71" s="20" t="n">
        <v>0</v>
      </c>
      <c r="Q71" s="18" t="n">
        <v>0.09654517</v>
      </c>
      <c r="R71" s="20" t="n">
        <v>0.09666627999999999</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55.45642643</v>
      </c>
      <c r="F76" s="20" t="n">
        <v>2.12018495</v>
      </c>
      <c r="G76" s="18" t="n">
        <v>33.15849359</v>
      </c>
      <c r="H76" s="20" t="n">
        <v>1.8001326</v>
      </c>
      <c r="I76" s="18" t="n">
        <v>0</v>
      </c>
      <c r="J76" s="20" t="n">
        <v>0</v>
      </c>
      <c r="K76" s="18" t="n">
        <v>9.446260150000001</v>
      </c>
      <c r="L76" s="20" t="n">
        <v>1.15869551</v>
      </c>
      <c r="M76" s="18" t="n">
        <v>0</v>
      </c>
      <c r="N76" s="20" t="n">
        <v>0</v>
      </c>
      <c r="O76" s="18" t="n">
        <v>0</v>
      </c>
      <c r="P76" s="20" t="n">
        <v>0</v>
      </c>
      <c r="Q76" s="18" t="n">
        <v>1.93881982</v>
      </c>
      <c r="R76" s="20" t="n">
        <v>0.61785959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36.63127132</v>
      </c>
      <c r="F80" s="20" t="n">
        <v>1.87032216</v>
      </c>
      <c r="G80" s="18" t="n">
        <v>63.36872868</v>
      </c>
      <c r="H80" s="20" t="n">
        <v>1.87032216</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(1389.0/B81*100)</f>
        <v/>
      </c>
      <c r="D81" s="19" t="n">
        <v>268</v>
      </c>
      <c r="E81" s="18" t="n">
        <v>36.96247016</v>
      </c>
      <c r="F81" s="20" t="n">
        <v>3.1612083</v>
      </c>
      <c r="G81" s="18" t="n">
        <v>55.08371682</v>
      </c>
      <c r="H81" s="20" t="n">
        <v>3.62531163</v>
      </c>
      <c r="I81" s="18" t="n">
        <v>0</v>
      </c>
      <c r="J81" s="20" t="n">
        <v>0</v>
      </c>
      <c r="K81" s="18" t="n">
        <v>5.44377208</v>
      </c>
      <c r="L81" s="20" t="n">
        <v>1.91935191</v>
      </c>
      <c r="M81" s="18" t="n">
        <v>0.91303491</v>
      </c>
      <c r="N81" s="20" t="n">
        <v>0.62193585</v>
      </c>
      <c r="O81" s="18" t="n">
        <v>0.71228601</v>
      </c>
      <c r="P81" s="20" t="n">
        <v>0.49068957</v>
      </c>
      <c r="Q81" s="18" t="n">
        <v>0.8847200200000001</v>
      </c>
      <c r="R81" s="20" t="n">
        <v>0.5275417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30.44177783</v>
      </c>
      <c r="F44" s="20" t="n">
        <v>1.9297756</v>
      </c>
      <c r="G44" s="18" t="n">
        <v>22.80442439</v>
      </c>
      <c r="H44" s="20" t="n">
        <v>1.63967601</v>
      </c>
      <c r="I44" s="18" t="n">
        <v>0</v>
      </c>
      <c r="J44" s="20" t="n">
        <v>0</v>
      </c>
      <c r="K44" s="18" t="n">
        <v>5.06218513</v>
      </c>
      <c r="L44" s="20" t="n">
        <v>0.78485618</v>
      </c>
      <c r="M44" s="18" t="n">
        <v>0</v>
      </c>
      <c r="N44" s="20" t="n">
        <v>0</v>
      </c>
      <c r="O44" s="18" t="n">
        <v>0</v>
      </c>
      <c r="P44" s="20" t="n">
        <v>0</v>
      </c>
      <c r="Q44" s="18" t="n">
        <v>41.69161266</v>
      </c>
      <c r="R44" s="20" t="n">
        <v>2.14731759</v>
      </c>
    </row>
    <row r="45" spans="1:18">
      <c r="A45" s="15" t="s">
        <v>468</v>
      </c>
      <c r="B45" s="17" t="n">
        <v>5519</v>
      </c>
      <c r="C45" s="18">
        <f>(4579.0/B45*100)</f>
        <v/>
      </c>
      <c r="D45" s="19" t="n">
        <v>940</v>
      </c>
      <c r="E45" s="18" t="n">
        <v>41.18833619</v>
      </c>
      <c r="F45" s="20" t="n">
        <v>1.82080347</v>
      </c>
      <c r="G45" s="18" t="n">
        <v>5.74503378</v>
      </c>
      <c r="H45" s="20" t="n">
        <v>0.70496716</v>
      </c>
      <c r="I45" s="18" t="n">
        <v>0</v>
      </c>
      <c r="J45" s="20" t="n">
        <v>0</v>
      </c>
      <c r="K45" s="18" t="n">
        <v>10.07270208</v>
      </c>
      <c r="L45" s="20" t="n">
        <v>1.00677103</v>
      </c>
      <c r="M45" s="18" t="n">
        <v>0.59128596</v>
      </c>
      <c r="N45" s="20" t="n">
        <v>0.26597013</v>
      </c>
      <c r="O45" s="18" t="n">
        <v>0.0621538</v>
      </c>
      <c r="P45" s="20" t="n">
        <v>0.05905102</v>
      </c>
      <c r="Q45" s="18" t="n">
        <v>42.34048819</v>
      </c>
      <c r="R45" s="20" t="n">
        <v>2.0680267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21.7602142</v>
      </c>
      <c r="F54" s="20" t="n">
        <v>1.46980745</v>
      </c>
      <c r="G54" s="18" t="n">
        <v>29.02639816</v>
      </c>
      <c r="H54" s="20" t="n">
        <v>1.65847887</v>
      </c>
      <c r="I54" s="18" t="n">
        <v>0</v>
      </c>
      <c r="J54" s="20" t="n">
        <v>0</v>
      </c>
      <c r="K54" s="18" t="n">
        <v>2.36694462</v>
      </c>
      <c r="L54" s="20" t="n">
        <v>0.41671781</v>
      </c>
      <c r="M54" s="18" t="n">
        <v>0</v>
      </c>
      <c r="N54" s="20" t="n">
        <v>0</v>
      </c>
      <c r="O54" s="18" t="n">
        <v>0.11654459</v>
      </c>
      <c r="P54" s="20" t="n">
        <v>0.1092511</v>
      </c>
      <c r="Q54" s="18" t="n">
        <v>46.72989843</v>
      </c>
      <c r="R54" s="20" t="n">
        <v>1.80364896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69.50937648</v>
      </c>
      <c r="F56" s="20" t="n">
        <v>1.70529125</v>
      </c>
      <c r="G56" s="18" t="n">
        <v>17.04181933</v>
      </c>
      <c r="H56" s="20" t="n">
        <v>1.37498005</v>
      </c>
      <c r="I56" s="18" t="n">
        <v>0</v>
      </c>
      <c r="J56" s="20" t="n">
        <v>0</v>
      </c>
      <c r="K56" s="18" t="n">
        <v>2.14855083</v>
      </c>
      <c r="L56" s="20" t="n">
        <v>0.48754875</v>
      </c>
      <c r="M56" s="18" t="n">
        <v>0.11963255</v>
      </c>
      <c r="N56" s="20" t="n">
        <v>0.11909992</v>
      </c>
      <c r="O56" s="18" t="n">
        <v>0</v>
      </c>
      <c r="P56" s="20" t="n">
        <v>0</v>
      </c>
      <c r="Q56" s="18" t="n">
        <v>11.1806208</v>
      </c>
      <c r="R56" s="20" t="n">
        <v>1.15055509</v>
      </c>
    </row>
    <row r="57" spans="1:18">
      <c r="A57" s="15" t="s">
        <v>480</v>
      </c>
      <c r="B57" s="17" t="n">
        <v>7267</v>
      </c>
      <c r="C57" s="18">
        <f>(6058.0/B57*100)</f>
        <v/>
      </c>
      <c r="D57" s="19" t="n">
        <v>1209</v>
      </c>
      <c r="E57" s="18" t="n">
        <v>42.80820878</v>
      </c>
      <c r="F57" s="20" t="n">
        <v>1.6362581</v>
      </c>
      <c r="G57" s="18" t="n">
        <v>25.2846678</v>
      </c>
      <c r="H57" s="20" t="n">
        <v>1.39495101</v>
      </c>
      <c r="I57" s="18" t="n">
        <v>0</v>
      </c>
      <c r="J57" s="20" t="n">
        <v>0</v>
      </c>
      <c r="K57" s="18" t="n">
        <v>4.70993265</v>
      </c>
      <c r="L57" s="20" t="n">
        <v>0.74214213</v>
      </c>
      <c r="M57" s="18" t="n">
        <v>0</v>
      </c>
      <c r="N57" s="20" t="n">
        <v>0</v>
      </c>
      <c r="O57" s="18" t="n">
        <v>0</v>
      </c>
      <c r="P57" s="20" t="n">
        <v>0</v>
      </c>
      <c r="Q57" s="18" t="n">
        <v>27.19719076</v>
      </c>
      <c r="R57" s="20" t="n">
        <v>1.54801447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50.49035402</v>
      </c>
      <c r="F59" s="20" t="n">
        <v>2.04625095</v>
      </c>
      <c r="G59" s="18" t="n">
        <v>14.22557671</v>
      </c>
      <c r="H59" s="20" t="n">
        <v>1.45080256</v>
      </c>
      <c r="I59" s="18" t="n">
        <v>0</v>
      </c>
      <c r="J59" s="20" t="n">
        <v>0</v>
      </c>
      <c r="K59" s="18" t="n">
        <v>1.22849705</v>
      </c>
      <c r="L59" s="20" t="n">
        <v>0.35242071</v>
      </c>
      <c r="M59" s="18" t="n">
        <v>0</v>
      </c>
      <c r="N59" s="20" t="n">
        <v>0</v>
      </c>
      <c r="O59" s="18" t="n">
        <v>0</v>
      </c>
      <c r="P59" s="20" t="n">
        <v>0</v>
      </c>
      <c r="Q59" s="18" t="n">
        <v>34.05557222</v>
      </c>
      <c r="R59" s="20" t="n">
        <v>1.95209383</v>
      </c>
    </row>
    <row r="60" spans="1:18">
      <c r="A60" s="15" t="s">
        <v>484</v>
      </c>
      <c r="B60" s="17" t="n">
        <v>4546</v>
      </c>
      <c r="C60" s="18">
        <f>(3788.0/B60*100)</f>
        <v/>
      </c>
      <c r="D60" s="19" t="n">
        <v>758</v>
      </c>
      <c r="E60" s="18" t="n">
        <v>29.25560107</v>
      </c>
      <c r="F60" s="20" t="n">
        <v>1.97269515</v>
      </c>
      <c r="G60" s="18" t="n">
        <v>11.19356387</v>
      </c>
      <c r="H60" s="20" t="n">
        <v>1.2248626</v>
      </c>
      <c r="I60" s="18" t="n">
        <v>0</v>
      </c>
      <c r="J60" s="20" t="n">
        <v>0</v>
      </c>
      <c r="K60" s="18" t="n">
        <v>6.92136446</v>
      </c>
      <c r="L60" s="20" t="n">
        <v>0.96062594</v>
      </c>
      <c r="M60" s="18" t="n">
        <v>0</v>
      </c>
      <c r="N60" s="20" t="n">
        <v>0</v>
      </c>
      <c r="O60" s="18" t="n">
        <v>0</v>
      </c>
      <c r="P60" s="20" t="n">
        <v>0</v>
      </c>
      <c r="Q60" s="18" t="n">
        <v>52.6294706</v>
      </c>
      <c r="R60" s="20" t="n">
        <v>2.1959599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18.68418447</v>
      </c>
      <c r="F63" s="20" t="n">
        <v>1.4107033</v>
      </c>
      <c r="G63" s="18" t="n">
        <v>11.41072996</v>
      </c>
      <c r="H63" s="20" t="n">
        <v>1.11277795</v>
      </c>
      <c r="I63" s="18" t="n">
        <v>0</v>
      </c>
      <c r="J63" s="20" t="n">
        <v>0</v>
      </c>
      <c r="K63" s="18" t="n">
        <v>4.47855259</v>
      </c>
      <c r="L63" s="20" t="n">
        <v>0.77657245</v>
      </c>
      <c r="M63" s="18" t="n">
        <v>0</v>
      </c>
      <c r="N63" s="20" t="n">
        <v>0</v>
      </c>
      <c r="O63" s="18" t="n">
        <v>0</v>
      </c>
      <c r="P63" s="20" t="n">
        <v>0</v>
      </c>
      <c r="Q63" s="18" t="n">
        <v>65.42653298</v>
      </c>
      <c r="R63" s="20" t="n">
        <v>1.90643016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30.96351911</v>
      </c>
      <c r="F65" s="20" t="n">
        <v>2.07606989</v>
      </c>
      <c r="G65" s="18" t="n">
        <v>31.6061084</v>
      </c>
      <c r="H65" s="20" t="n">
        <v>1.65086723</v>
      </c>
      <c r="I65" s="18" t="n">
        <v>0</v>
      </c>
      <c r="J65" s="20" t="n">
        <v>0</v>
      </c>
      <c r="K65" s="18" t="n">
        <v>4.57650724</v>
      </c>
      <c r="L65" s="20" t="n">
        <v>0.94577672</v>
      </c>
      <c r="M65" s="18" t="n">
        <v>0.15837051</v>
      </c>
      <c r="N65" s="20" t="n">
        <v>0.15760777</v>
      </c>
      <c r="O65" s="18" t="n">
        <v>0</v>
      </c>
      <c r="P65" s="20" t="n">
        <v>0</v>
      </c>
      <c r="Q65" s="18" t="n">
        <v>32.69549474</v>
      </c>
      <c r="R65" s="20" t="n">
        <v>1.87228726</v>
      </c>
    </row>
    <row r="66" spans="1:18">
      <c r="A66" s="15" t="s">
        <v>490</v>
      </c>
      <c r="B66" s="17" t="n">
        <v>5325</v>
      </c>
      <c r="C66" s="18">
        <f>(4444.0/B66*100)</f>
        <v/>
      </c>
      <c r="D66" s="19" t="n">
        <v>881</v>
      </c>
      <c r="E66" s="18" t="n">
        <v>25.69879134</v>
      </c>
      <c r="F66" s="20" t="n">
        <v>1.78106922</v>
      </c>
      <c r="G66" s="18" t="n">
        <v>19.49599433</v>
      </c>
      <c r="H66" s="20" t="n">
        <v>1.29903544</v>
      </c>
      <c r="I66" s="18" t="n">
        <v>0</v>
      </c>
      <c r="J66" s="20" t="n">
        <v>0</v>
      </c>
      <c r="K66" s="18" t="n">
        <v>7.37270551</v>
      </c>
      <c r="L66" s="20" t="n">
        <v>0.8644699300000001</v>
      </c>
      <c r="M66" s="18" t="n">
        <v>0.18903855</v>
      </c>
      <c r="N66" s="20" t="n">
        <v>0.18852471</v>
      </c>
      <c r="O66" s="18" t="n">
        <v>0</v>
      </c>
      <c r="P66" s="20" t="n">
        <v>0</v>
      </c>
      <c r="Q66" s="18" t="n">
        <v>47.24347027</v>
      </c>
      <c r="R66" s="20" t="n">
        <v>1.78815796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50.33963014</v>
      </c>
      <c r="F69" s="20" t="n">
        <v>4.31774867</v>
      </c>
      <c r="G69" s="18" t="n">
        <v>24.27654668</v>
      </c>
      <c r="H69" s="20" t="n">
        <v>3.97671794</v>
      </c>
      <c r="I69" s="18" t="n">
        <v>0</v>
      </c>
      <c r="J69" s="20" t="n">
        <v>0</v>
      </c>
      <c r="K69" s="18" t="n">
        <v>1.23797019</v>
      </c>
      <c r="L69" s="20" t="n">
        <v>0.94923124</v>
      </c>
      <c r="M69" s="18" t="n">
        <v>0</v>
      </c>
      <c r="N69" s="20" t="n">
        <v>0</v>
      </c>
      <c r="O69" s="18" t="n">
        <v>0</v>
      </c>
      <c r="P69" s="20" t="n">
        <v>0</v>
      </c>
      <c r="Q69" s="18" t="n">
        <v>24.145853</v>
      </c>
      <c r="R69" s="20" t="n">
        <v>3.38438808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60.45222731</v>
      </c>
      <c r="F71" s="20" t="n">
        <v>2.17994</v>
      </c>
      <c r="G71" s="18" t="n">
        <v>32.38859966</v>
      </c>
      <c r="H71" s="20" t="n">
        <v>1.885015</v>
      </c>
      <c r="I71" s="18" t="n">
        <v>0</v>
      </c>
      <c r="J71" s="20" t="n">
        <v>0</v>
      </c>
      <c r="K71" s="18" t="n">
        <v>0.24484189</v>
      </c>
      <c r="L71" s="20" t="n">
        <v>0.17303082</v>
      </c>
      <c r="M71" s="18" t="n">
        <v>0</v>
      </c>
      <c r="N71" s="20" t="n">
        <v>0</v>
      </c>
      <c r="O71" s="18" t="n">
        <v>0</v>
      </c>
      <c r="P71" s="20" t="n">
        <v>0</v>
      </c>
      <c r="Q71" s="18" t="n">
        <v>6.91433115</v>
      </c>
      <c r="R71" s="20" t="n">
        <v>1.04259199</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30.12872258</v>
      </c>
      <c r="F76" s="20" t="n">
        <v>1.65489045</v>
      </c>
      <c r="G76" s="18" t="n">
        <v>19.18671615</v>
      </c>
      <c r="H76" s="20" t="n">
        <v>1.50612785</v>
      </c>
      <c r="I76" s="18" t="n">
        <v>0</v>
      </c>
      <c r="J76" s="20" t="n">
        <v>0</v>
      </c>
      <c r="K76" s="18" t="n">
        <v>11.0284022</v>
      </c>
      <c r="L76" s="20" t="n">
        <v>1.28389285</v>
      </c>
      <c r="M76" s="18" t="n">
        <v>0.14469136</v>
      </c>
      <c r="N76" s="20" t="n">
        <v>0.14650112</v>
      </c>
      <c r="O76" s="18" t="n">
        <v>0</v>
      </c>
      <c r="P76" s="20" t="n">
        <v>0</v>
      </c>
      <c r="Q76" s="18" t="n">
        <v>39.51146771</v>
      </c>
      <c r="R76" s="20" t="n">
        <v>1.94786523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63.42986309</v>
      </c>
      <c r="F80" s="20" t="n">
        <v>1.77958307</v>
      </c>
      <c r="G80" s="18" t="n">
        <v>33.31352858</v>
      </c>
      <c r="H80" s="20" t="n">
        <v>1.77183567</v>
      </c>
      <c r="I80" s="18" t="n">
        <v>0</v>
      </c>
      <c r="J80" s="20" t="n">
        <v>0</v>
      </c>
      <c r="K80" s="18" t="n">
        <v>0</v>
      </c>
      <c r="L80" s="20" t="n">
        <v>0</v>
      </c>
      <c r="M80" s="18" t="n">
        <v>0</v>
      </c>
      <c r="N80" s="20" t="n">
        <v>0</v>
      </c>
      <c r="O80" s="18" t="n">
        <v>0</v>
      </c>
      <c r="P80" s="20" t="n">
        <v>0</v>
      </c>
      <c r="Q80" s="18" t="n">
        <v>3.25660833</v>
      </c>
      <c r="R80" s="20" t="n">
        <v>0.6237637</v>
      </c>
    </row>
    <row r="81" spans="1:18">
      <c r="A81" s="15" t="s">
        <v>505</v>
      </c>
      <c r="B81" s="17" t="n">
        <v>1657</v>
      </c>
      <c r="C81" s="18">
        <f>(1389.0/B81*100)</f>
        <v/>
      </c>
      <c r="D81" s="19" t="n">
        <v>268</v>
      </c>
      <c r="E81" s="18" t="n">
        <v>25.47407558</v>
      </c>
      <c r="F81" s="20" t="n">
        <v>2.93234331</v>
      </c>
      <c r="G81" s="18" t="n">
        <v>37.27996231</v>
      </c>
      <c r="H81" s="20" t="n">
        <v>3.77193127</v>
      </c>
      <c r="I81" s="18" t="n">
        <v>0</v>
      </c>
      <c r="J81" s="20" t="n">
        <v>0</v>
      </c>
      <c r="K81" s="18" t="n">
        <v>6.13870951</v>
      </c>
      <c r="L81" s="20" t="n">
        <v>1.67251588</v>
      </c>
      <c r="M81" s="18" t="n">
        <v>0.44503537</v>
      </c>
      <c r="N81" s="20" t="n">
        <v>0.44631081</v>
      </c>
      <c r="O81" s="18" t="n">
        <v>0</v>
      </c>
      <c r="P81" s="20" t="n">
        <v>0</v>
      </c>
      <c r="Q81" s="18" t="n">
        <v>30.66221722</v>
      </c>
      <c r="R81" s="20" t="n">
        <v>4.0679893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61.4871472</v>
      </c>
      <c r="F44" s="20" t="n">
        <v>1.99596525</v>
      </c>
      <c r="G44" s="18" t="n">
        <v>29.23452094</v>
      </c>
      <c r="H44" s="20" t="n">
        <v>2.04712701</v>
      </c>
      <c r="I44" s="18" t="n">
        <v>0</v>
      </c>
      <c r="J44" s="20" t="n">
        <v>0</v>
      </c>
      <c r="K44" s="18" t="n">
        <v>5.06218513</v>
      </c>
      <c r="L44" s="20" t="n">
        <v>0.78485618</v>
      </c>
      <c r="M44" s="18" t="n">
        <v>0</v>
      </c>
      <c r="N44" s="20" t="n">
        <v>0</v>
      </c>
      <c r="O44" s="18" t="n">
        <v>0</v>
      </c>
      <c r="P44" s="20" t="n">
        <v>0</v>
      </c>
      <c r="Q44" s="18" t="n">
        <v>4.21614673</v>
      </c>
      <c r="R44" s="20" t="n">
        <v>0.99265689</v>
      </c>
    </row>
    <row r="45" spans="1:18">
      <c r="A45" s="15" t="s">
        <v>468</v>
      </c>
      <c r="B45" s="17" t="n">
        <v>5519</v>
      </c>
      <c r="C45" s="18">
        <f>(4579.0/B45*100)</f>
        <v/>
      </c>
      <c r="D45" s="19" t="n">
        <v>940</v>
      </c>
      <c r="E45" s="18" t="n">
        <v>56.74752707</v>
      </c>
      <c r="F45" s="20" t="n">
        <v>1.59146675</v>
      </c>
      <c r="G45" s="18" t="n">
        <v>30.87506043</v>
      </c>
      <c r="H45" s="20" t="n">
        <v>1.61517803</v>
      </c>
      <c r="I45" s="18" t="n">
        <v>0</v>
      </c>
      <c r="J45" s="20" t="n">
        <v>0</v>
      </c>
      <c r="K45" s="18" t="n">
        <v>10.13485587</v>
      </c>
      <c r="L45" s="20" t="n">
        <v>1.01116499</v>
      </c>
      <c r="M45" s="18" t="n">
        <v>0.3666737</v>
      </c>
      <c r="N45" s="20" t="n">
        <v>0.19279896</v>
      </c>
      <c r="O45" s="18" t="n">
        <v>0</v>
      </c>
      <c r="P45" s="20" t="n">
        <v>0</v>
      </c>
      <c r="Q45" s="18" t="n">
        <v>1.87588293</v>
      </c>
      <c r="R45" s="20" t="n">
        <v>0.4149152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66.28683519000001</v>
      </c>
      <c r="F54" s="20" t="n">
        <v>1.56083629</v>
      </c>
      <c r="G54" s="18" t="n">
        <v>29.07415779</v>
      </c>
      <c r="H54" s="20" t="n">
        <v>1.48708637</v>
      </c>
      <c r="I54" s="18" t="n">
        <v>0</v>
      </c>
      <c r="J54" s="20" t="n">
        <v>0</v>
      </c>
      <c r="K54" s="18" t="n">
        <v>2.36694462</v>
      </c>
      <c r="L54" s="20" t="n">
        <v>0.41671781</v>
      </c>
      <c r="M54" s="18" t="n">
        <v>0</v>
      </c>
      <c r="N54" s="20" t="n">
        <v>0</v>
      </c>
      <c r="O54" s="18" t="n">
        <v>0.10414842</v>
      </c>
      <c r="P54" s="20" t="n">
        <v>0.10432583</v>
      </c>
      <c r="Q54" s="18" t="n">
        <v>2.16791397</v>
      </c>
      <c r="R54" s="20" t="n">
        <v>0.52023703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48.57335953</v>
      </c>
      <c r="F56" s="20" t="n">
        <v>1.51769878</v>
      </c>
      <c r="G56" s="18" t="n">
        <v>47.70165093</v>
      </c>
      <c r="H56" s="20" t="n">
        <v>1.56962683</v>
      </c>
      <c r="I56" s="18" t="n">
        <v>0</v>
      </c>
      <c r="J56" s="20" t="n">
        <v>0</v>
      </c>
      <c r="K56" s="18" t="n">
        <v>2.42336733</v>
      </c>
      <c r="L56" s="20" t="n">
        <v>0.54754829</v>
      </c>
      <c r="M56" s="18" t="n">
        <v>0.11963255</v>
      </c>
      <c r="N56" s="20" t="n">
        <v>0.11909992</v>
      </c>
      <c r="O56" s="18" t="n">
        <v>0</v>
      </c>
      <c r="P56" s="20" t="n">
        <v>0</v>
      </c>
      <c r="Q56" s="18" t="n">
        <v>1.18198965</v>
      </c>
      <c r="R56" s="20" t="n">
        <v>0.2876562</v>
      </c>
    </row>
    <row r="57" spans="1:18">
      <c r="A57" s="15" t="s">
        <v>480</v>
      </c>
      <c r="B57" s="17" t="n">
        <v>7267</v>
      </c>
      <c r="C57" s="18">
        <f>(6058.0/B57*100)</f>
        <v/>
      </c>
      <c r="D57" s="19" t="n">
        <v>1209</v>
      </c>
      <c r="E57" s="18" t="n">
        <v>49.26310597</v>
      </c>
      <c r="F57" s="20" t="n">
        <v>1.66053873</v>
      </c>
      <c r="G57" s="18" t="n">
        <v>44.55753278</v>
      </c>
      <c r="H57" s="20" t="n">
        <v>1.63285247</v>
      </c>
      <c r="I57" s="18" t="n">
        <v>0</v>
      </c>
      <c r="J57" s="20" t="n">
        <v>0</v>
      </c>
      <c r="K57" s="18" t="n">
        <v>4.92893502</v>
      </c>
      <c r="L57" s="20" t="n">
        <v>0.77804484</v>
      </c>
      <c r="M57" s="18" t="n">
        <v>0</v>
      </c>
      <c r="N57" s="20" t="n">
        <v>0</v>
      </c>
      <c r="O57" s="18" t="n">
        <v>0</v>
      </c>
      <c r="P57" s="20" t="n">
        <v>0</v>
      </c>
      <c r="Q57" s="18" t="n">
        <v>1.25042623</v>
      </c>
      <c r="R57" s="20" t="n">
        <v>0.4057934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62.60452532</v>
      </c>
      <c r="F59" s="20" t="n">
        <v>1.98757756</v>
      </c>
      <c r="G59" s="18" t="n">
        <v>34.76179335</v>
      </c>
      <c r="H59" s="20" t="n">
        <v>2.03420719</v>
      </c>
      <c r="I59" s="18" t="n">
        <v>0</v>
      </c>
      <c r="J59" s="20" t="n">
        <v>0</v>
      </c>
      <c r="K59" s="18" t="n">
        <v>1.22849705</v>
      </c>
      <c r="L59" s="20" t="n">
        <v>0.35242071</v>
      </c>
      <c r="M59" s="18" t="n">
        <v>0</v>
      </c>
      <c r="N59" s="20" t="n">
        <v>0</v>
      </c>
      <c r="O59" s="18" t="n">
        <v>0</v>
      </c>
      <c r="P59" s="20" t="n">
        <v>0</v>
      </c>
      <c r="Q59" s="18" t="n">
        <v>1.40518429</v>
      </c>
      <c r="R59" s="20" t="n">
        <v>0.41755701</v>
      </c>
    </row>
    <row r="60" spans="1:18">
      <c r="A60" s="15" t="s">
        <v>484</v>
      </c>
      <c r="B60" s="17" t="n">
        <v>4546</v>
      </c>
      <c r="C60" s="18">
        <f>(3788.0/B60*100)</f>
        <v/>
      </c>
      <c r="D60" s="19" t="n">
        <v>758</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13.44255956</v>
      </c>
      <c r="F63" s="20" t="n">
        <v>1.32686804</v>
      </c>
      <c r="G63" s="18" t="n">
        <v>8.170608229999999</v>
      </c>
      <c r="H63" s="20" t="n">
        <v>0.98031954</v>
      </c>
      <c r="I63" s="18" t="n">
        <v>0</v>
      </c>
      <c r="J63" s="20" t="n">
        <v>0</v>
      </c>
      <c r="K63" s="18" t="n">
        <v>1.69113437</v>
      </c>
      <c r="L63" s="20" t="n">
        <v>0.47618748</v>
      </c>
      <c r="M63" s="18" t="n">
        <v>75.50471476</v>
      </c>
      <c r="N63" s="20" t="n">
        <v>1.39278095</v>
      </c>
      <c r="O63" s="18" t="n">
        <v>0</v>
      </c>
      <c r="P63" s="20" t="n">
        <v>0</v>
      </c>
      <c r="Q63" s="18" t="n">
        <v>1.19098307</v>
      </c>
      <c r="R63" s="20" t="n">
        <v>0.31509461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59.07462048</v>
      </c>
      <c r="F65" s="20" t="n">
        <v>2.02375314</v>
      </c>
      <c r="G65" s="18" t="n">
        <v>35.85354425</v>
      </c>
      <c r="H65" s="20" t="n">
        <v>1.90548238</v>
      </c>
      <c r="I65" s="18" t="n">
        <v>0</v>
      </c>
      <c r="J65" s="20" t="n">
        <v>0</v>
      </c>
      <c r="K65" s="18" t="n">
        <v>4.57650724</v>
      </c>
      <c r="L65" s="20" t="n">
        <v>0.94577672</v>
      </c>
      <c r="M65" s="18" t="n">
        <v>0</v>
      </c>
      <c r="N65" s="20" t="n">
        <v>0</v>
      </c>
      <c r="O65" s="18" t="n">
        <v>0.17422999</v>
      </c>
      <c r="P65" s="20" t="n">
        <v>0.17487441</v>
      </c>
      <c r="Q65" s="18" t="n">
        <v>0.32109804</v>
      </c>
      <c r="R65" s="20" t="n">
        <v>0.22977885</v>
      </c>
    </row>
    <row r="66" spans="1:18">
      <c r="A66" s="15" t="s">
        <v>490</v>
      </c>
      <c r="B66" s="17" t="n">
        <v>5325</v>
      </c>
      <c r="C66" s="18">
        <f>(4444.0/B66*100)</f>
        <v/>
      </c>
      <c r="D66" s="19" t="n">
        <v>881</v>
      </c>
      <c r="E66" s="18" t="n">
        <v>62.58309784</v>
      </c>
      <c r="F66" s="20" t="n">
        <v>1.74216835</v>
      </c>
      <c r="G66" s="18" t="n">
        <v>27.19641619</v>
      </c>
      <c r="H66" s="20" t="n">
        <v>1.84733366</v>
      </c>
      <c r="I66" s="18" t="n">
        <v>0</v>
      </c>
      <c r="J66" s="20" t="n">
        <v>0</v>
      </c>
      <c r="K66" s="18" t="n">
        <v>7.56174406</v>
      </c>
      <c r="L66" s="20" t="n">
        <v>0.92482624</v>
      </c>
      <c r="M66" s="18" t="n">
        <v>0</v>
      </c>
      <c r="N66" s="20" t="n">
        <v>0</v>
      </c>
      <c r="O66" s="18" t="n">
        <v>0</v>
      </c>
      <c r="P66" s="20" t="n">
        <v>0</v>
      </c>
      <c r="Q66" s="18" t="n">
        <v>2.6587419</v>
      </c>
      <c r="R66" s="20" t="n">
        <v>0.62734976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69.08374637999999</v>
      </c>
      <c r="F69" s="20" t="n">
        <v>2.9656634</v>
      </c>
      <c r="G69" s="18" t="n">
        <v>28.69471985</v>
      </c>
      <c r="H69" s="20" t="n">
        <v>3.04766793</v>
      </c>
      <c r="I69" s="18" t="n">
        <v>0</v>
      </c>
      <c r="J69" s="20" t="n">
        <v>0</v>
      </c>
      <c r="K69" s="18" t="n">
        <v>1.23797019</v>
      </c>
      <c r="L69" s="20" t="n">
        <v>0.94923124</v>
      </c>
      <c r="M69" s="18" t="n">
        <v>0</v>
      </c>
      <c r="N69" s="20" t="n">
        <v>0</v>
      </c>
      <c r="O69" s="18" t="n">
        <v>0</v>
      </c>
      <c r="P69" s="20" t="n">
        <v>0</v>
      </c>
      <c r="Q69" s="18" t="n">
        <v>0.98356359</v>
      </c>
      <c r="R69" s="20" t="n">
        <v>0.33764577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71.0042</v>
      </c>
      <c r="F71" s="20" t="n">
        <v>1.51786919</v>
      </c>
      <c r="G71" s="18" t="n">
        <v>28.75095812</v>
      </c>
      <c r="H71" s="20" t="n">
        <v>1.52919753</v>
      </c>
      <c r="I71" s="18" t="n">
        <v>0</v>
      </c>
      <c r="J71" s="20" t="n">
        <v>0</v>
      </c>
      <c r="K71" s="18" t="n">
        <v>0.24484189</v>
      </c>
      <c r="L71" s="20" t="n">
        <v>0.17303082</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1657</v>
      </c>
      <c r="C81" s="18">
        <f>(1389.0/B81*100)</f>
        <v/>
      </c>
      <c r="D81" s="19" t="n">
        <v>268</v>
      </c>
      <c r="E81" s="18" t="n">
        <v>68.59310126</v>
      </c>
      <c r="F81" s="20" t="n">
        <v>3.48828859</v>
      </c>
      <c r="G81" s="18" t="n">
        <v>22.77680041</v>
      </c>
      <c r="H81" s="20" t="n">
        <v>3.13660688</v>
      </c>
      <c r="I81" s="18" t="n">
        <v>0</v>
      </c>
      <c r="J81" s="20" t="n">
        <v>0</v>
      </c>
      <c r="K81" s="18" t="n">
        <v>6.13870951</v>
      </c>
      <c r="L81" s="20" t="n">
        <v>1.67251588</v>
      </c>
      <c r="M81" s="18" t="n">
        <v>0.44503537</v>
      </c>
      <c r="N81" s="20" t="n">
        <v>0.44631081</v>
      </c>
      <c r="O81" s="18" t="n">
        <v>0</v>
      </c>
      <c r="P81" s="20" t="n">
        <v>0</v>
      </c>
      <c r="Q81" s="18" t="n">
        <v>2.04635344</v>
      </c>
      <c r="R81" s="20" t="n">
        <v>0.86227403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43.24442379</v>
      </c>
      <c r="F44" s="20" t="n">
        <v>2.29211842</v>
      </c>
      <c r="G44" s="18" t="n">
        <v>47.33926331</v>
      </c>
      <c r="H44" s="20" t="n">
        <v>2.47478025</v>
      </c>
      <c r="I44" s="18" t="n">
        <v>0</v>
      </c>
      <c r="J44" s="20" t="n">
        <v>0</v>
      </c>
      <c r="K44" s="18" t="n">
        <v>7.32819553</v>
      </c>
      <c r="L44" s="20" t="n">
        <v>0.85348834</v>
      </c>
      <c r="M44" s="18" t="n">
        <v>0</v>
      </c>
      <c r="N44" s="20" t="n">
        <v>0</v>
      </c>
      <c r="O44" s="18" t="n">
        <v>1.09942602</v>
      </c>
      <c r="P44" s="20" t="n">
        <v>0.5436364299999999</v>
      </c>
      <c r="Q44" s="18" t="n">
        <v>0.98869135</v>
      </c>
      <c r="R44" s="20" t="n">
        <v>0.54170701</v>
      </c>
    </row>
    <row r="45" spans="1:18">
      <c r="A45" s="15" t="s">
        <v>468</v>
      </c>
      <c r="B45" s="17" t="n">
        <v>5519</v>
      </c>
      <c r="C45" s="18">
        <f>(4579.0/B45*100)</f>
        <v/>
      </c>
      <c r="D45" s="19" t="n">
        <v>940</v>
      </c>
      <c r="E45" s="18" t="n">
        <v>52.33160743</v>
      </c>
      <c r="F45" s="20" t="n">
        <v>1.74855968</v>
      </c>
      <c r="G45" s="18" t="n">
        <v>28.72409537</v>
      </c>
      <c r="H45" s="20" t="n">
        <v>1.39004808</v>
      </c>
      <c r="I45" s="18" t="n">
        <v>0</v>
      </c>
      <c r="J45" s="20" t="n">
        <v>0</v>
      </c>
      <c r="K45" s="18" t="n">
        <v>13.01160109</v>
      </c>
      <c r="L45" s="20" t="n">
        <v>1.15854541</v>
      </c>
      <c r="M45" s="18" t="n">
        <v>0.89508824</v>
      </c>
      <c r="N45" s="20" t="n">
        <v>0.34316837</v>
      </c>
      <c r="O45" s="18" t="n">
        <v>3.36861796</v>
      </c>
      <c r="P45" s="20" t="n">
        <v>0.71374859</v>
      </c>
      <c r="Q45" s="18" t="n">
        <v>1.66898991</v>
      </c>
      <c r="R45" s="20" t="n">
        <v>0.44207963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47.96167027</v>
      </c>
      <c r="F54" s="20" t="n">
        <v>1.56956324</v>
      </c>
      <c r="G54" s="18" t="n">
        <v>46.58466313</v>
      </c>
      <c r="H54" s="20" t="n">
        <v>1.52406097</v>
      </c>
      <c r="I54" s="18" t="n">
        <v>0</v>
      </c>
      <c r="J54" s="20" t="n">
        <v>0</v>
      </c>
      <c r="K54" s="18" t="n">
        <v>3.52776009</v>
      </c>
      <c r="L54" s="20" t="n">
        <v>0.51612187</v>
      </c>
      <c r="M54" s="18" t="n">
        <v>0.0953061</v>
      </c>
      <c r="N54" s="20" t="n">
        <v>0.09529177</v>
      </c>
      <c r="O54" s="18" t="n">
        <v>1.41707115</v>
      </c>
      <c r="P54" s="20" t="n">
        <v>0.56463533</v>
      </c>
      <c r="Q54" s="18" t="n">
        <v>0.41352926</v>
      </c>
      <c r="R54" s="20" t="n">
        <v>0.20843012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59.59599305</v>
      </c>
      <c r="F56" s="20" t="n">
        <v>1.84056402</v>
      </c>
      <c r="G56" s="18" t="n">
        <v>36.56799331</v>
      </c>
      <c r="H56" s="20" t="n">
        <v>1.87001052</v>
      </c>
      <c r="I56" s="18" t="n">
        <v>0</v>
      </c>
      <c r="J56" s="20" t="n">
        <v>0</v>
      </c>
      <c r="K56" s="18" t="n">
        <v>3.25839742</v>
      </c>
      <c r="L56" s="20" t="n">
        <v>0.76048498</v>
      </c>
      <c r="M56" s="18" t="n">
        <v>0.11963255</v>
      </c>
      <c r="N56" s="20" t="n">
        <v>0.11909992</v>
      </c>
      <c r="O56" s="18" t="n">
        <v>0</v>
      </c>
      <c r="P56" s="20" t="n">
        <v>0</v>
      </c>
      <c r="Q56" s="18" t="n">
        <v>0.45798367</v>
      </c>
      <c r="R56" s="20" t="n">
        <v>0.18769739</v>
      </c>
    </row>
    <row r="57" spans="1:18">
      <c r="A57" s="15" t="s">
        <v>480</v>
      </c>
      <c r="B57" s="17" t="n">
        <v>7267</v>
      </c>
      <c r="C57" s="18">
        <f>(6058.0/B57*100)</f>
        <v/>
      </c>
      <c r="D57" s="19" t="n">
        <v>1209</v>
      </c>
      <c r="E57" s="18" t="n">
        <v>52.43312086</v>
      </c>
      <c r="F57" s="20" t="n">
        <v>1.61099224</v>
      </c>
      <c r="G57" s="18" t="n">
        <v>38.61261624</v>
      </c>
      <c r="H57" s="20" t="n">
        <v>1.53237767</v>
      </c>
      <c r="I57" s="18" t="n">
        <v>0</v>
      </c>
      <c r="J57" s="20" t="n">
        <v>0</v>
      </c>
      <c r="K57" s="18" t="n">
        <v>7.20245066</v>
      </c>
      <c r="L57" s="20" t="n">
        <v>0.9155326</v>
      </c>
      <c r="M57" s="18" t="n">
        <v>0</v>
      </c>
      <c r="N57" s="20" t="n">
        <v>0</v>
      </c>
      <c r="O57" s="18" t="n">
        <v>0.49979876</v>
      </c>
      <c r="P57" s="20" t="n">
        <v>0.23655002</v>
      </c>
      <c r="Q57" s="18" t="n">
        <v>1.25201349</v>
      </c>
      <c r="R57" s="20" t="n">
        <v>0.39845028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61.40646752</v>
      </c>
      <c r="F59" s="20" t="n">
        <v>2.04242505</v>
      </c>
      <c r="G59" s="18" t="n">
        <v>32.29776626</v>
      </c>
      <c r="H59" s="20" t="n">
        <v>1.88283089</v>
      </c>
      <c r="I59" s="18" t="n">
        <v>0</v>
      </c>
      <c r="J59" s="20" t="n">
        <v>0</v>
      </c>
      <c r="K59" s="18" t="n">
        <v>1.79196094</v>
      </c>
      <c r="L59" s="20" t="n">
        <v>0.5742369899999999</v>
      </c>
      <c r="M59" s="18" t="n">
        <v>0</v>
      </c>
      <c r="N59" s="20" t="n">
        <v>0</v>
      </c>
      <c r="O59" s="18" t="n">
        <v>4.25199848</v>
      </c>
      <c r="P59" s="20" t="n">
        <v>0.86555017</v>
      </c>
      <c r="Q59" s="18" t="n">
        <v>0.2518068</v>
      </c>
      <c r="R59" s="20" t="n">
        <v>0.11638119</v>
      </c>
    </row>
    <row r="60" spans="1:18">
      <c r="A60" s="15" t="s">
        <v>484</v>
      </c>
      <c r="B60" s="17" t="n">
        <v>4546</v>
      </c>
      <c r="C60" s="18">
        <f>(3788.0/B60*100)</f>
        <v/>
      </c>
      <c r="D60" s="19" t="n">
        <v>758</v>
      </c>
      <c r="E60" s="18" t="n">
        <v>56.60484014</v>
      </c>
      <c r="F60" s="20" t="n">
        <v>2.21721781</v>
      </c>
      <c r="G60" s="18" t="n">
        <v>23.82099295</v>
      </c>
      <c r="H60" s="20" t="n">
        <v>1.90026297</v>
      </c>
      <c r="I60" s="18" t="n">
        <v>0</v>
      </c>
      <c r="J60" s="20" t="n">
        <v>0</v>
      </c>
      <c r="K60" s="18" t="n">
        <v>14.62119285</v>
      </c>
      <c r="L60" s="20" t="n">
        <v>1.30845254</v>
      </c>
      <c r="M60" s="18" t="n">
        <v>0</v>
      </c>
      <c r="N60" s="20" t="n">
        <v>0</v>
      </c>
      <c r="O60" s="18" t="n">
        <v>3.02485672</v>
      </c>
      <c r="P60" s="20" t="n">
        <v>0.81425314</v>
      </c>
      <c r="Q60" s="18" t="n">
        <v>1.92811734</v>
      </c>
      <c r="R60" s="20" t="n">
        <v>0.55712052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50.27922163</v>
      </c>
      <c r="F63" s="20" t="n">
        <v>1.73406905</v>
      </c>
      <c r="G63" s="18" t="n">
        <v>38.28148511</v>
      </c>
      <c r="H63" s="20" t="n">
        <v>1.73342744</v>
      </c>
      <c r="I63" s="18" t="n">
        <v>0</v>
      </c>
      <c r="J63" s="20" t="n">
        <v>0</v>
      </c>
      <c r="K63" s="18" t="n">
        <v>8.670145890000001</v>
      </c>
      <c r="L63" s="20" t="n">
        <v>0.95995464</v>
      </c>
      <c r="M63" s="18" t="n">
        <v>0</v>
      </c>
      <c r="N63" s="20" t="n">
        <v>0</v>
      </c>
      <c r="O63" s="18" t="n">
        <v>0.48588135</v>
      </c>
      <c r="P63" s="20" t="n">
        <v>0.22810723</v>
      </c>
      <c r="Q63" s="18" t="n">
        <v>2.28326602</v>
      </c>
      <c r="R63" s="20" t="n">
        <v>0.5460943700000001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49.92441376</v>
      </c>
      <c r="F65" s="20" t="n">
        <v>1.84427537</v>
      </c>
      <c r="G65" s="18" t="n">
        <v>41.23518971</v>
      </c>
      <c r="H65" s="20" t="n">
        <v>1.85698284</v>
      </c>
      <c r="I65" s="18" t="n">
        <v>0</v>
      </c>
      <c r="J65" s="20" t="n">
        <v>0</v>
      </c>
      <c r="K65" s="18" t="n">
        <v>7.40167936</v>
      </c>
      <c r="L65" s="20" t="n">
        <v>1.18188767</v>
      </c>
      <c r="M65" s="18" t="n">
        <v>0</v>
      </c>
      <c r="N65" s="20" t="n">
        <v>0</v>
      </c>
      <c r="O65" s="18" t="n">
        <v>0.33247312</v>
      </c>
      <c r="P65" s="20" t="n">
        <v>0.23622159</v>
      </c>
      <c r="Q65" s="18" t="n">
        <v>1.10624405</v>
      </c>
      <c r="R65" s="20" t="n">
        <v>0.52107611</v>
      </c>
    </row>
    <row r="66" spans="1:18">
      <c r="A66" s="15" t="s">
        <v>490</v>
      </c>
      <c r="B66" s="17" t="n">
        <v>5325</v>
      </c>
      <c r="C66" s="18">
        <f>(4444.0/B66*100)</f>
        <v/>
      </c>
      <c r="D66" s="19" t="n">
        <v>881</v>
      </c>
      <c r="E66" s="18" t="n">
        <v>57.868225</v>
      </c>
      <c r="F66" s="20" t="n">
        <v>1.66482633</v>
      </c>
      <c r="G66" s="18" t="n">
        <v>29.56751001</v>
      </c>
      <c r="H66" s="20" t="n">
        <v>1.51360946</v>
      </c>
      <c r="I66" s="18" t="n">
        <v>0</v>
      </c>
      <c r="J66" s="20" t="n">
        <v>0</v>
      </c>
      <c r="K66" s="18" t="n">
        <v>10.15215129</v>
      </c>
      <c r="L66" s="20" t="n">
        <v>1.10989312</v>
      </c>
      <c r="M66" s="18" t="n">
        <v>1.60936952</v>
      </c>
      <c r="N66" s="20" t="n">
        <v>0.45245871</v>
      </c>
      <c r="O66" s="18" t="n">
        <v>0</v>
      </c>
      <c r="P66" s="20" t="n">
        <v>0</v>
      </c>
      <c r="Q66" s="18" t="n">
        <v>0.80274418</v>
      </c>
      <c r="R66" s="20" t="n">
        <v>0.18183226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62.7856291</v>
      </c>
      <c r="F69" s="20" t="n">
        <v>2.86580721</v>
      </c>
      <c r="G69" s="18" t="n">
        <v>35.97640071</v>
      </c>
      <c r="H69" s="20" t="n">
        <v>3.05862254</v>
      </c>
      <c r="I69" s="18" t="n">
        <v>0</v>
      </c>
      <c r="J69" s="20" t="n">
        <v>0</v>
      </c>
      <c r="K69" s="18" t="n">
        <v>1.23797019</v>
      </c>
      <c r="L69" s="20" t="n">
        <v>0.94923124</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63.53664193</v>
      </c>
      <c r="F71" s="20" t="n">
        <v>1.75600514</v>
      </c>
      <c r="G71" s="18" t="n">
        <v>35.99036532</v>
      </c>
      <c r="H71" s="20" t="n">
        <v>1.72212939</v>
      </c>
      <c r="I71" s="18" t="n">
        <v>0</v>
      </c>
      <c r="J71" s="20" t="n">
        <v>0</v>
      </c>
      <c r="K71" s="18" t="n">
        <v>0.47299275</v>
      </c>
      <c r="L71" s="20" t="n">
        <v>0.30140408</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48.63312906</v>
      </c>
      <c r="F76" s="20" t="n">
        <v>2.2940601</v>
      </c>
      <c r="G76" s="18" t="n">
        <v>32.33956176</v>
      </c>
      <c r="H76" s="20" t="n">
        <v>2.10884619</v>
      </c>
      <c r="I76" s="18" t="n">
        <v>0</v>
      </c>
      <c r="J76" s="20" t="n">
        <v>0</v>
      </c>
      <c r="K76" s="18" t="n">
        <v>17.74961875</v>
      </c>
      <c r="L76" s="20" t="n">
        <v>1.53028793</v>
      </c>
      <c r="M76" s="18" t="n">
        <v>0</v>
      </c>
      <c r="N76" s="20" t="n">
        <v>0</v>
      </c>
      <c r="O76" s="18" t="n">
        <v>0</v>
      </c>
      <c r="P76" s="20" t="n">
        <v>0</v>
      </c>
      <c r="Q76" s="18" t="n">
        <v>1.27769043</v>
      </c>
      <c r="R76" s="20" t="n">
        <v>0.54502025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31.97677804</v>
      </c>
      <c r="F80" s="20" t="n">
        <v>1.45849391</v>
      </c>
      <c r="G80" s="18" t="n">
        <v>68.02322196</v>
      </c>
      <c r="H80" s="20" t="n">
        <v>1.45849391</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(1389.0/B81*100)</f>
        <v/>
      </c>
      <c r="D81" s="19" t="n">
        <v>268</v>
      </c>
      <c r="E81" s="18" t="n">
        <v>33.42314077</v>
      </c>
      <c r="F81" s="20" t="n">
        <v>3.00776393</v>
      </c>
      <c r="G81" s="18" t="n">
        <v>57.29052012</v>
      </c>
      <c r="H81" s="20" t="n">
        <v>3.19191877</v>
      </c>
      <c r="I81" s="18" t="n">
        <v>0</v>
      </c>
      <c r="J81" s="20" t="n">
        <v>0</v>
      </c>
      <c r="K81" s="18" t="n">
        <v>8.37418662</v>
      </c>
      <c r="L81" s="20" t="n">
        <v>1.98417959</v>
      </c>
      <c r="M81" s="18" t="n">
        <v>0</v>
      </c>
      <c r="N81" s="20" t="n">
        <v>0</v>
      </c>
      <c r="O81" s="18" t="n">
        <v>0.46593894</v>
      </c>
      <c r="P81" s="20" t="n">
        <v>0.50260554</v>
      </c>
      <c r="Q81" s="18" t="n">
        <v>0.44621354</v>
      </c>
      <c r="R81" s="20" t="n">
        <v>0.30663179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53.32747043</v>
      </c>
      <c r="F44" s="20" t="n">
        <v>1.88741934</v>
      </c>
      <c r="G44" s="18" t="n">
        <v>15.4263108</v>
      </c>
      <c r="H44" s="20" t="n">
        <v>1.53471691</v>
      </c>
      <c r="I44" s="18" t="n">
        <v>0</v>
      </c>
      <c r="J44" s="20" t="n">
        <v>0</v>
      </c>
      <c r="K44" s="18" t="n">
        <v>9.3528205</v>
      </c>
      <c r="L44" s="20" t="n">
        <v>1.05970324</v>
      </c>
      <c r="M44" s="18" t="n">
        <v>0</v>
      </c>
      <c r="N44" s="20" t="n">
        <v>0</v>
      </c>
      <c r="O44" s="18" t="n">
        <v>0</v>
      </c>
      <c r="P44" s="20" t="n">
        <v>0</v>
      </c>
      <c r="Q44" s="18" t="n">
        <v>21.89339826</v>
      </c>
      <c r="R44" s="20" t="n">
        <v>1.58539205</v>
      </c>
    </row>
    <row r="45" spans="1:18">
      <c r="A45" s="15" t="s">
        <v>468</v>
      </c>
      <c r="B45" s="17" t="n">
        <v>5519</v>
      </c>
      <c r="C45" s="18">
        <f>(4579.0/B45*100)</f>
        <v/>
      </c>
      <c r="D45" s="19" t="n">
        <v>940</v>
      </c>
      <c r="E45" s="18" t="n">
        <v>52.43910036</v>
      </c>
      <c r="F45" s="20" t="n">
        <v>1.61722548</v>
      </c>
      <c r="G45" s="18" t="n">
        <v>10.84758876</v>
      </c>
      <c r="H45" s="20" t="n">
        <v>1.01472986</v>
      </c>
      <c r="I45" s="18" t="n">
        <v>0</v>
      </c>
      <c r="J45" s="20" t="n">
        <v>0</v>
      </c>
      <c r="K45" s="18" t="n">
        <v>13.66074807</v>
      </c>
      <c r="L45" s="20" t="n">
        <v>1.19625585</v>
      </c>
      <c r="M45" s="18" t="n">
        <v>1.14903797</v>
      </c>
      <c r="N45" s="20" t="n">
        <v>0.33445416</v>
      </c>
      <c r="O45" s="18" t="n">
        <v>0.30945345</v>
      </c>
      <c r="P45" s="20" t="n">
        <v>0.18756074</v>
      </c>
      <c r="Q45" s="18" t="n">
        <v>21.59407139</v>
      </c>
      <c r="R45" s="20" t="n">
        <v>1.70140438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56.01388648</v>
      </c>
      <c r="F54" s="20" t="n">
        <v>1.9748941</v>
      </c>
      <c r="G54" s="18" t="n">
        <v>6.90185125</v>
      </c>
      <c r="H54" s="20" t="n">
        <v>0.82576456</v>
      </c>
      <c r="I54" s="18" t="n">
        <v>0</v>
      </c>
      <c r="J54" s="20" t="n">
        <v>0</v>
      </c>
      <c r="K54" s="18" t="n">
        <v>5.51327575</v>
      </c>
      <c r="L54" s="20" t="n">
        <v>0.71900903</v>
      </c>
      <c r="M54" s="18" t="n">
        <v>0.0953061</v>
      </c>
      <c r="N54" s="20" t="n">
        <v>0.09529177</v>
      </c>
      <c r="O54" s="18" t="n">
        <v>0.38593921</v>
      </c>
      <c r="P54" s="20" t="n">
        <v>0.22147579</v>
      </c>
      <c r="Q54" s="18" t="n">
        <v>31.08974121</v>
      </c>
      <c r="R54" s="20" t="n">
        <v>1.74005991</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60.64428077</v>
      </c>
      <c r="F56" s="20" t="n">
        <v>2.04432273</v>
      </c>
      <c r="G56" s="18" t="n">
        <v>26.58744957</v>
      </c>
      <c r="H56" s="20" t="n">
        <v>1.65423614</v>
      </c>
      <c r="I56" s="18" t="n">
        <v>0</v>
      </c>
      <c r="J56" s="20" t="n">
        <v>0</v>
      </c>
      <c r="K56" s="18" t="n">
        <v>4.05708722</v>
      </c>
      <c r="L56" s="20" t="n">
        <v>0.81028055</v>
      </c>
      <c r="M56" s="18" t="n">
        <v>0.11963255</v>
      </c>
      <c r="N56" s="20" t="n">
        <v>0.11909992</v>
      </c>
      <c r="O56" s="18" t="n">
        <v>0</v>
      </c>
      <c r="P56" s="20" t="n">
        <v>0</v>
      </c>
      <c r="Q56" s="18" t="n">
        <v>8.591549880000001</v>
      </c>
      <c r="R56" s="20" t="n">
        <v>1.08566591</v>
      </c>
    </row>
    <row r="57" spans="1:18">
      <c r="A57" s="15" t="s">
        <v>480</v>
      </c>
      <c r="B57" s="17" t="n">
        <v>7267</v>
      </c>
      <c r="C57" s="18">
        <f>(6058.0/B57*100)</f>
        <v/>
      </c>
      <c r="D57" s="19" t="n">
        <v>1209</v>
      </c>
      <c r="E57" s="18" t="n">
        <v>47.15530638</v>
      </c>
      <c r="F57" s="20" t="n">
        <v>1.80637407</v>
      </c>
      <c r="G57" s="18" t="n">
        <v>27.14125386</v>
      </c>
      <c r="H57" s="20" t="n">
        <v>1.81924623</v>
      </c>
      <c r="I57" s="18" t="n">
        <v>0</v>
      </c>
      <c r="J57" s="20" t="n">
        <v>0</v>
      </c>
      <c r="K57" s="18" t="n">
        <v>8.18463584</v>
      </c>
      <c r="L57" s="20" t="n">
        <v>1.00004192</v>
      </c>
      <c r="M57" s="18" t="n">
        <v>0</v>
      </c>
      <c r="N57" s="20" t="n">
        <v>0</v>
      </c>
      <c r="O57" s="18" t="n">
        <v>0</v>
      </c>
      <c r="P57" s="20" t="n">
        <v>0</v>
      </c>
      <c r="Q57" s="18" t="n">
        <v>17.51880392</v>
      </c>
      <c r="R57" s="20" t="n">
        <v>1.19456318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66.35497481</v>
      </c>
      <c r="F59" s="20" t="n">
        <v>1.83264546</v>
      </c>
      <c r="G59" s="18" t="n">
        <v>11.89664437</v>
      </c>
      <c r="H59" s="20" t="n">
        <v>1.25618403</v>
      </c>
      <c r="I59" s="18" t="n">
        <v>0</v>
      </c>
      <c r="J59" s="20" t="n">
        <v>0</v>
      </c>
      <c r="K59" s="18" t="n">
        <v>2.47314397</v>
      </c>
      <c r="L59" s="20" t="n">
        <v>0.65315018</v>
      </c>
      <c r="M59" s="18" t="n">
        <v>0</v>
      </c>
      <c r="N59" s="20" t="n">
        <v>0</v>
      </c>
      <c r="O59" s="18" t="n">
        <v>0</v>
      </c>
      <c r="P59" s="20" t="n">
        <v>0</v>
      </c>
      <c r="Q59" s="18" t="n">
        <v>19.27523685</v>
      </c>
      <c r="R59" s="20" t="n">
        <v>1.61927174</v>
      </c>
    </row>
    <row r="60" spans="1:18">
      <c r="A60" s="15" t="s">
        <v>484</v>
      </c>
      <c r="B60" s="17" t="n">
        <v>4546</v>
      </c>
      <c r="C60" s="18">
        <f>(3788.0/B60*100)</f>
        <v/>
      </c>
      <c r="D60" s="19" t="n">
        <v>758</v>
      </c>
      <c r="E60" s="18" t="n">
        <v>41.73768875</v>
      </c>
      <c r="F60" s="20" t="n">
        <v>1.99352197</v>
      </c>
      <c r="G60" s="18" t="n">
        <v>7.50761269</v>
      </c>
      <c r="H60" s="20" t="n">
        <v>0.96551076</v>
      </c>
      <c r="I60" s="18" t="n">
        <v>0</v>
      </c>
      <c r="J60" s="20" t="n">
        <v>0</v>
      </c>
      <c r="K60" s="18" t="n">
        <v>16.86746075</v>
      </c>
      <c r="L60" s="20" t="n">
        <v>1.65473376</v>
      </c>
      <c r="M60" s="18" t="n">
        <v>0.13452878</v>
      </c>
      <c r="N60" s="20" t="n">
        <v>0.13554332</v>
      </c>
      <c r="O60" s="18" t="n">
        <v>0.14962951</v>
      </c>
      <c r="P60" s="20" t="n">
        <v>0.15122718</v>
      </c>
      <c r="Q60" s="18" t="n">
        <v>33.60307952</v>
      </c>
      <c r="R60" s="20" t="n">
        <v>2.42580775</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36.23291062</v>
      </c>
      <c r="F63" s="20" t="n">
        <v>1.88036164</v>
      </c>
      <c r="G63" s="18" t="n">
        <v>9.461276639999999</v>
      </c>
      <c r="H63" s="20" t="n">
        <v>0.98355211</v>
      </c>
      <c r="I63" s="18" t="n">
        <v>0</v>
      </c>
      <c r="J63" s="20" t="n">
        <v>0</v>
      </c>
      <c r="K63" s="18" t="n">
        <v>10.11447765</v>
      </c>
      <c r="L63" s="20" t="n">
        <v>1.02515289</v>
      </c>
      <c r="M63" s="18" t="n">
        <v>0</v>
      </c>
      <c r="N63" s="20" t="n">
        <v>0</v>
      </c>
      <c r="O63" s="18" t="n">
        <v>0</v>
      </c>
      <c r="P63" s="20" t="n">
        <v>0</v>
      </c>
      <c r="Q63" s="18" t="n">
        <v>44.19133509</v>
      </c>
      <c r="R63" s="20" t="n">
        <v>1.82878402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47.61461451</v>
      </c>
      <c r="F65" s="20" t="n">
        <v>1.92467374</v>
      </c>
      <c r="G65" s="18" t="n">
        <v>20.30436356</v>
      </c>
      <c r="H65" s="20" t="n">
        <v>1.61231713</v>
      </c>
      <c r="I65" s="18" t="n">
        <v>0</v>
      </c>
      <c r="J65" s="20" t="n">
        <v>0</v>
      </c>
      <c r="K65" s="18" t="n">
        <v>7.73425355</v>
      </c>
      <c r="L65" s="20" t="n">
        <v>1.17582013</v>
      </c>
      <c r="M65" s="18" t="n">
        <v>0.15837051</v>
      </c>
      <c r="N65" s="20" t="n">
        <v>0.15760777</v>
      </c>
      <c r="O65" s="18" t="n">
        <v>0</v>
      </c>
      <c r="P65" s="20" t="n">
        <v>0</v>
      </c>
      <c r="Q65" s="18" t="n">
        <v>24.18839788</v>
      </c>
      <c r="R65" s="20" t="n">
        <v>1.93625107</v>
      </c>
    </row>
    <row r="66" spans="1:18">
      <c r="A66" s="15" t="s">
        <v>490</v>
      </c>
      <c r="B66" s="17" t="n">
        <v>5325</v>
      </c>
      <c r="C66" s="18">
        <f>(4444.0/B66*100)</f>
        <v/>
      </c>
      <c r="D66" s="19" t="n">
        <v>881</v>
      </c>
      <c r="E66" s="18" t="n">
        <v>42.27034242</v>
      </c>
      <c r="F66" s="20" t="n">
        <v>2.12329217</v>
      </c>
      <c r="G66" s="18" t="n">
        <v>20.25346892</v>
      </c>
      <c r="H66" s="20" t="n">
        <v>1.69644858</v>
      </c>
      <c r="I66" s="18" t="n">
        <v>0</v>
      </c>
      <c r="J66" s="20" t="n">
        <v>0</v>
      </c>
      <c r="K66" s="18" t="n">
        <v>11.17507529</v>
      </c>
      <c r="L66" s="20" t="n">
        <v>1.13538648</v>
      </c>
      <c r="M66" s="18" t="n">
        <v>0</v>
      </c>
      <c r="N66" s="20" t="n">
        <v>0</v>
      </c>
      <c r="O66" s="18" t="n">
        <v>0</v>
      </c>
      <c r="P66" s="20" t="n">
        <v>0</v>
      </c>
      <c r="Q66" s="18" t="n">
        <v>26.30111337</v>
      </c>
      <c r="R66" s="20" t="n">
        <v>1.90153408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76.6766758</v>
      </c>
      <c r="F69" s="20" t="n">
        <v>4.14853347</v>
      </c>
      <c r="G69" s="18" t="n">
        <v>3.05700821</v>
      </c>
      <c r="H69" s="20" t="n">
        <v>1.15616092</v>
      </c>
      <c r="I69" s="18" t="n">
        <v>0</v>
      </c>
      <c r="J69" s="20" t="n">
        <v>0</v>
      </c>
      <c r="K69" s="18" t="n">
        <v>1.84072191</v>
      </c>
      <c r="L69" s="20" t="n">
        <v>1.03432424</v>
      </c>
      <c r="M69" s="18" t="n">
        <v>0</v>
      </c>
      <c r="N69" s="20" t="n">
        <v>0</v>
      </c>
      <c r="O69" s="18" t="n">
        <v>0</v>
      </c>
      <c r="P69" s="20" t="n">
        <v>0</v>
      </c>
      <c r="Q69" s="18" t="n">
        <v>18.42559408</v>
      </c>
      <c r="R69" s="20" t="n">
        <v>3.67489534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66.88662839</v>
      </c>
      <c r="F71" s="20" t="n">
        <v>1.93980387</v>
      </c>
      <c r="G71" s="18" t="n">
        <v>28.8587446</v>
      </c>
      <c r="H71" s="20" t="n">
        <v>1.82707862</v>
      </c>
      <c r="I71" s="18" t="n">
        <v>0</v>
      </c>
      <c r="J71" s="20" t="n">
        <v>0</v>
      </c>
      <c r="K71" s="18" t="n">
        <v>0.47299275</v>
      </c>
      <c r="L71" s="20" t="n">
        <v>0.30140408</v>
      </c>
      <c r="M71" s="18" t="n">
        <v>0</v>
      </c>
      <c r="N71" s="20" t="n">
        <v>0</v>
      </c>
      <c r="O71" s="18" t="n">
        <v>0</v>
      </c>
      <c r="P71" s="20" t="n">
        <v>0</v>
      </c>
      <c r="Q71" s="18" t="n">
        <v>3.78163425</v>
      </c>
      <c r="R71" s="20" t="n">
        <v>0.73020662</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51.14208523</v>
      </c>
      <c r="F76" s="20" t="n">
        <v>1.99291617</v>
      </c>
      <c r="G76" s="18" t="n">
        <v>4.49228115</v>
      </c>
      <c r="H76" s="20" t="n">
        <v>0.69032341</v>
      </c>
      <c r="I76" s="18" t="n">
        <v>0</v>
      </c>
      <c r="J76" s="20" t="n">
        <v>0</v>
      </c>
      <c r="K76" s="18" t="n">
        <v>18.75976165</v>
      </c>
      <c r="L76" s="20" t="n">
        <v>1.54295866</v>
      </c>
      <c r="M76" s="18" t="n">
        <v>0</v>
      </c>
      <c r="N76" s="20" t="n">
        <v>0</v>
      </c>
      <c r="O76" s="18" t="n">
        <v>0</v>
      </c>
      <c r="P76" s="20" t="n">
        <v>0</v>
      </c>
      <c r="Q76" s="18" t="n">
        <v>25.60587197</v>
      </c>
      <c r="R76" s="20" t="n">
        <v>1.67335621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55.97994499</v>
      </c>
      <c r="F80" s="20" t="n">
        <v>1.77621595</v>
      </c>
      <c r="G80" s="18" t="n">
        <v>42.05624124</v>
      </c>
      <c r="H80" s="20" t="n">
        <v>1.78521545</v>
      </c>
      <c r="I80" s="18" t="n">
        <v>0</v>
      </c>
      <c r="J80" s="20" t="n">
        <v>0</v>
      </c>
      <c r="K80" s="18" t="n">
        <v>0.07061265999999999</v>
      </c>
      <c r="L80" s="20" t="n">
        <v>0.07070197</v>
      </c>
      <c r="M80" s="18" t="n">
        <v>0</v>
      </c>
      <c r="N80" s="20" t="n">
        <v>0</v>
      </c>
      <c r="O80" s="18" t="n">
        <v>0</v>
      </c>
      <c r="P80" s="20" t="n">
        <v>0</v>
      </c>
      <c r="Q80" s="18" t="n">
        <v>1.89320111</v>
      </c>
      <c r="R80" s="20" t="n">
        <v>0.49707994</v>
      </c>
    </row>
    <row r="81" spans="1:18">
      <c r="A81" s="15" t="s">
        <v>505</v>
      </c>
      <c r="B81" s="17" t="n">
        <v>1657</v>
      </c>
      <c r="C81" s="18">
        <f>(1389.0/B81*100)</f>
        <v/>
      </c>
      <c r="D81" s="19" t="n">
        <v>268</v>
      </c>
      <c r="E81" s="18" t="n">
        <v>56.45856968</v>
      </c>
      <c r="F81" s="20" t="n">
        <v>3.14958036</v>
      </c>
      <c r="G81" s="18" t="n">
        <v>17.0430975</v>
      </c>
      <c r="H81" s="20" t="n">
        <v>2.27518674</v>
      </c>
      <c r="I81" s="18" t="n">
        <v>0</v>
      </c>
      <c r="J81" s="20" t="n">
        <v>0</v>
      </c>
      <c r="K81" s="18" t="n">
        <v>8.37418662</v>
      </c>
      <c r="L81" s="20" t="n">
        <v>1.98417959</v>
      </c>
      <c r="M81" s="18" t="n">
        <v>0</v>
      </c>
      <c r="N81" s="20" t="n">
        <v>0</v>
      </c>
      <c r="O81" s="18" t="n">
        <v>0</v>
      </c>
      <c r="P81" s="20" t="n">
        <v>0</v>
      </c>
      <c r="Q81" s="18" t="n">
        <v>18.1241462</v>
      </c>
      <c r="R81" s="20" t="n">
        <v>2.5683151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(4361.0/B44*100)</f>
        <v/>
      </c>
      <c r="D44" s="19" t="n">
        <v>854</v>
      </c>
      <c r="E44" s="18" t="n">
        <v>46.77710569</v>
      </c>
      <c r="F44" s="20" t="n">
        <v>2.09478877</v>
      </c>
      <c r="G44" s="18" t="n">
        <v>41.22917543</v>
      </c>
      <c r="H44" s="20" t="n">
        <v>2.08184721</v>
      </c>
      <c r="I44" s="18" t="n">
        <v>0</v>
      </c>
      <c r="J44" s="20" t="n">
        <v>0</v>
      </c>
      <c r="K44" s="18" t="n">
        <v>10.99986562</v>
      </c>
      <c r="L44" s="20" t="n">
        <v>1.13529995</v>
      </c>
      <c r="M44" s="18" t="n">
        <v>0</v>
      </c>
      <c r="N44" s="20" t="n">
        <v>0</v>
      </c>
      <c r="O44" s="18" t="n">
        <v>0.99385325</v>
      </c>
      <c r="P44" s="20" t="n">
        <v>0.40753226</v>
      </c>
      <c r="Q44" s="18" t="n">
        <v>0</v>
      </c>
      <c r="R44" s="20" t="n">
        <v>0</v>
      </c>
    </row>
    <row r="45" spans="1:18">
      <c r="A45" s="15" t="s">
        <v>468</v>
      </c>
      <c r="B45" s="17" t="n">
        <v>5519</v>
      </c>
      <c r="C45" s="18">
        <f>(4579.0/B45*100)</f>
        <v/>
      </c>
      <c r="D45" s="19" t="n">
        <v>940</v>
      </c>
      <c r="E45" s="18" t="n">
        <v>63.54875848</v>
      </c>
      <c r="F45" s="20" t="n">
        <v>1.79420481</v>
      </c>
      <c r="G45" s="18" t="n">
        <v>19.28745389</v>
      </c>
      <c r="H45" s="20" t="n">
        <v>1.46281854</v>
      </c>
      <c r="I45" s="18" t="n">
        <v>0</v>
      </c>
      <c r="J45" s="20" t="n">
        <v>0</v>
      </c>
      <c r="K45" s="18" t="n">
        <v>14.92315581</v>
      </c>
      <c r="L45" s="20" t="n">
        <v>1.1948453</v>
      </c>
      <c r="M45" s="18" t="n">
        <v>0.4833319</v>
      </c>
      <c r="N45" s="20" t="n">
        <v>0.24493613</v>
      </c>
      <c r="O45" s="18" t="n">
        <v>1.75729993</v>
      </c>
      <c r="P45" s="20" t="n">
        <v>0.46462559</v>
      </c>
      <c r="Q45" s="18" t="n">
        <v>0</v>
      </c>
      <c r="R45" s="20" t="n">
        <v>0</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(4420.0/B54*100)</f>
        <v/>
      </c>
      <c r="D54" s="19" t="n">
        <v>896</v>
      </c>
      <c r="E54" s="18" t="n">
        <v>63.52527985</v>
      </c>
      <c r="F54" s="20" t="n">
        <v>1.78786656</v>
      </c>
      <c r="G54" s="18" t="n">
        <v>30.00725774</v>
      </c>
      <c r="H54" s="20" t="n">
        <v>1.71107955</v>
      </c>
      <c r="I54" s="18" t="n">
        <v>0</v>
      </c>
      <c r="J54" s="20" t="n">
        <v>0</v>
      </c>
      <c r="K54" s="18" t="n">
        <v>5.61745317</v>
      </c>
      <c r="L54" s="20" t="n">
        <v>0.7302171200000001</v>
      </c>
      <c r="M54" s="18" t="n">
        <v>0.0953061</v>
      </c>
      <c r="N54" s="20" t="n">
        <v>0.09529177</v>
      </c>
      <c r="O54" s="18" t="n">
        <v>0.7547031400000001</v>
      </c>
      <c r="P54" s="20" t="n">
        <v>0.39169522</v>
      </c>
      <c r="Q54" s="18" t="n">
        <v>0</v>
      </c>
      <c r="R54" s="20" t="n">
        <v>0</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(5435.0/B56*100)</f>
        <v/>
      </c>
      <c r="D56" s="19" t="n">
        <v>1078</v>
      </c>
      <c r="E56" s="18" t="n">
        <v>75.77781441</v>
      </c>
      <c r="F56" s="20" t="n">
        <v>1.67240577</v>
      </c>
      <c r="G56" s="18" t="n">
        <v>18.77651493</v>
      </c>
      <c r="H56" s="20" t="n">
        <v>1.50160216</v>
      </c>
      <c r="I56" s="18" t="n">
        <v>0</v>
      </c>
      <c r="J56" s="20" t="n">
        <v>0</v>
      </c>
      <c r="K56" s="18" t="n">
        <v>5.32603811</v>
      </c>
      <c r="L56" s="20" t="n">
        <v>0.9131526</v>
      </c>
      <c r="M56" s="18" t="n">
        <v>0.11963255</v>
      </c>
      <c r="N56" s="20" t="n">
        <v>0.11909992</v>
      </c>
      <c r="O56" s="18" t="n">
        <v>0</v>
      </c>
      <c r="P56" s="20" t="n">
        <v>0</v>
      </c>
      <c r="Q56" s="18" t="n">
        <v>0</v>
      </c>
      <c r="R56" s="20" t="n">
        <v>0</v>
      </c>
    </row>
    <row r="57" spans="1:18">
      <c r="A57" s="15" t="s">
        <v>480</v>
      </c>
      <c r="B57" s="17" t="n">
        <v>7267</v>
      </c>
      <c r="C57" s="18">
        <f>(6058.0/B57*100)</f>
        <v/>
      </c>
      <c r="D57" s="19" t="n">
        <v>1209</v>
      </c>
      <c r="E57" s="18" t="n">
        <v>55.86674213</v>
      </c>
      <c r="F57" s="20" t="n">
        <v>1.48592888</v>
      </c>
      <c r="G57" s="18" t="n">
        <v>34.79184902</v>
      </c>
      <c r="H57" s="20" t="n">
        <v>1.60461828</v>
      </c>
      <c r="I57" s="18" t="n">
        <v>0</v>
      </c>
      <c r="J57" s="20" t="n">
        <v>0</v>
      </c>
      <c r="K57" s="18" t="n">
        <v>9.077943960000001</v>
      </c>
      <c r="L57" s="20" t="n">
        <v>1.02342742</v>
      </c>
      <c r="M57" s="18" t="n">
        <v>0</v>
      </c>
      <c r="N57" s="20" t="n">
        <v>0</v>
      </c>
      <c r="O57" s="18" t="n">
        <v>0.26346489</v>
      </c>
      <c r="P57" s="20" t="n">
        <v>0.18435123</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(4006.0/B59*100)</f>
        <v/>
      </c>
      <c r="D59" s="19" t="n">
        <v>820</v>
      </c>
      <c r="E59" s="18" t="n">
        <v>67.71167619000001</v>
      </c>
      <c r="F59" s="20" t="n">
        <v>1.59785678</v>
      </c>
      <c r="G59" s="18" t="n">
        <v>26.68554766</v>
      </c>
      <c r="H59" s="20" t="n">
        <v>1.5254632</v>
      </c>
      <c r="I59" s="18" t="n">
        <v>0</v>
      </c>
      <c r="J59" s="20" t="n">
        <v>0</v>
      </c>
      <c r="K59" s="18" t="n">
        <v>2.77284405</v>
      </c>
      <c r="L59" s="20" t="n">
        <v>0.66869569</v>
      </c>
      <c r="M59" s="18" t="n">
        <v>0</v>
      </c>
      <c r="N59" s="20" t="n">
        <v>0</v>
      </c>
      <c r="O59" s="18" t="n">
        <v>2.8299321</v>
      </c>
      <c r="P59" s="20" t="n">
        <v>0.66758858</v>
      </c>
      <c r="Q59" s="18" t="n">
        <v>0</v>
      </c>
      <c r="R59" s="20" t="n">
        <v>0</v>
      </c>
    </row>
    <row r="60" spans="1:18">
      <c r="A60" s="15" t="s">
        <v>484</v>
      </c>
      <c r="B60" s="17" t="n">
        <v>4546</v>
      </c>
      <c r="C60" s="18">
        <f>(3788.0/B60*100)</f>
        <v/>
      </c>
      <c r="D60" s="19" t="n">
        <v>758</v>
      </c>
      <c r="E60" s="18" t="n">
        <v>48.63662484</v>
      </c>
      <c r="F60" s="20" t="n">
        <v>1.98558383</v>
      </c>
      <c r="G60" s="18" t="n">
        <v>30.5638364</v>
      </c>
      <c r="H60" s="20" t="n">
        <v>1.99331094</v>
      </c>
      <c r="I60" s="18" t="n">
        <v>0</v>
      </c>
      <c r="J60" s="20" t="n">
        <v>0</v>
      </c>
      <c r="K60" s="18" t="n">
        <v>17.59267197</v>
      </c>
      <c r="L60" s="20" t="n">
        <v>1.68418513</v>
      </c>
      <c r="M60" s="18" t="n">
        <v>0</v>
      </c>
      <c r="N60" s="20" t="n">
        <v>0</v>
      </c>
      <c r="O60" s="18" t="n">
        <v>3.2068668</v>
      </c>
      <c r="P60" s="20" t="n">
        <v>0.71811219</v>
      </c>
      <c r="Q60" s="18" t="n">
        <v>0</v>
      </c>
      <c r="R60" s="20" t="n">
        <v>0</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(4435.0/B63*100)</f>
        <v/>
      </c>
      <c r="D63" s="19" t="n">
        <v>889</v>
      </c>
      <c r="E63" s="18" t="n">
        <v>52.28488583</v>
      </c>
      <c r="F63" s="20" t="n">
        <v>1.75883576</v>
      </c>
      <c r="G63" s="18" t="n">
        <v>36.0371602</v>
      </c>
      <c r="H63" s="20" t="n">
        <v>1.68150127</v>
      </c>
      <c r="I63" s="18" t="n">
        <v>0</v>
      </c>
      <c r="J63" s="20" t="n">
        <v>0</v>
      </c>
      <c r="K63" s="18" t="n">
        <v>11.50848338</v>
      </c>
      <c r="L63" s="20" t="n">
        <v>1.10953738</v>
      </c>
      <c r="M63" s="18" t="n">
        <v>0</v>
      </c>
      <c r="N63" s="20" t="n">
        <v>0</v>
      </c>
      <c r="O63" s="18" t="n">
        <v>0.16947059</v>
      </c>
      <c r="P63" s="20" t="n">
        <v>0.11989579</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(3024.0/B65*100)</f>
        <v/>
      </c>
      <c r="D65" s="19" t="n">
        <v>610</v>
      </c>
      <c r="E65" s="18" t="n">
        <v>37.62160417</v>
      </c>
      <c r="F65" s="20" t="n">
        <v>1.99119976</v>
      </c>
      <c r="G65" s="18" t="n">
        <v>54.31154179</v>
      </c>
      <c r="H65" s="20" t="n">
        <v>2.13280428</v>
      </c>
      <c r="I65" s="18" t="n">
        <v>0</v>
      </c>
      <c r="J65" s="20" t="n">
        <v>0</v>
      </c>
      <c r="K65" s="18" t="n">
        <v>7.89262405</v>
      </c>
      <c r="L65" s="20" t="n">
        <v>1.20955321</v>
      </c>
      <c r="M65" s="18" t="n">
        <v>0</v>
      </c>
      <c r="N65" s="20" t="n">
        <v>0</v>
      </c>
      <c r="O65" s="18" t="n">
        <v>0.17422999</v>
      </c>
      <c r="P65" s="20" t="n">
        <v>0.17487441</v>
      </c>
      <c r="Q65" s="18" t="n">
        <v>0</v>
      </c>
      <c r="R65" s="20" t="n">
        <v>0</v>
      </c>
    </row>
    <row r="66" spans="1:18">
      <c r="A66" s="15" t="s">
        <v>490</v>
      </c>
      <c r="B66" s="17" t="n">
        <v>5325</v>
      </c>
      <c r="C66" s="18">
        <f>(4444.0/B66*100)</f>
        <v/>
      </c>
      <c r="D66" s="19" t="n">
        <v>881</v>
      </c>
      <c r="E66" s="18" t="n">
        <v>56.84082077</v>
      </c>
      <c r="F66" s="20" t="n">
        <v>1.73150052</v>
      </c>
      <c r="G66" s="18" t="n">
        <v>29.55265393</v>
      </c>
      <c r="H66" s="20" t="n">
        <v>1.83630184</v>
      </c>
      <c r="I66" s="18" t="n">
        <v>0</v>
      </c>
      <c r="J66" s="20" t="n">
        <v>0</v>
      </c>
      <c r="K66" s="18" t="n">
        <v>12.14538606</v>
      </c>
      <c r="L66" s="20" t="n">
        <v>1.18296311</v>
      </c>
      <c r="M66" s="18" t="n">
        <v>1.46113924</v>
      </c>
      <c r="N66" s="20" t="n">
        <v>0.5530437</v>
      </c>
      <c r="O66" s="18" t="n">
        <v>0</v>
      </c>
      <c r="P66" s="20" t="n">
        <v>0</v>
      </c>
      <c r="Q66" s="18" t="n">
        <v>0</v>
      </c>
      <c r="R66" s="20" t="n">
        <v>0</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55.16560947</v>
      </c>
      <c r="F69" s="20" t="n">
        <v>3.454306</v>
      </c>
      <c r="G69" s="18" t="n">
        <v>42.99366862</v>
      </c>
      <c r="H69" s="20" t="n">
        <v>3.91110823</v>
      </c>
      <c r="I69" s="18" t="n">
        <v>0</v>
      </c>
      <c r="J69" s="20" t="n">
        <v>0</v>
      </c>
      <c r="K69" s="18" t="n">
        <v>1.84072191</v>
      </c>
      <c r="L69" s="20" t="n">
        <v>1.03432424</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(4049.0/B71*100)</f>
        <v/>
      </c>
      <c r="D71" s="19" t="n">
        <v>827</v>
      </c>
      <c r="E71" s="18" t="n">
        <v>61.51240336</v>
      </c>
      <c r="F71" s="20" t="n">
        <v>1.90369797</v>
      </c>
      <c r="G71" s="18" t="n">
        <v>38.01460389</v>
      </c>
      <c r="H71" s="20" t="n">
        <v>1.80480757</v>
      </c>
      <c r="I71" s="18" t="n">
        <v>0</v>
      </c>
      <c r="J71" s="20" t="n">
        <v>0</v>
      </c>
      <c r="K71" s="18" t="n">
        <v>0.47299275</v>
      </c>
      <c r="L71" s="20" t="n">
        <v>0.30140408</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(3927.0/B76*100)</f>
        <v/>
      </c>
      <c r="D76" s="19" t="n">
        <v>765</v>
      </c>
      <c r="E76" s="18" t="n">
        <v>38.82635853</v>
      </c>
      <c r="F76" s="20" t="n">
        <v>1.69435687</v>
      </c>
      <c r="G76" s="18" t="n">
        <v>41.98426695</v>
      </c>
      <c r="H76" s="20" t="n">
        <v>1.65022915</v>
      </c>
      <c r="I76" s="18" t="n">
        <v>0</v>
      </c>
      <c r="J76" s="20" t="n">
        <v>0</v>
      </c>
      <c r="K76" s="18" t="n">
        <v>19.18937453</v>
      </c>
      <c r="L76" s="20" t="n">
        <v>1.50891774</v>
      </c>
      <c r="M76" s="18" t="n">
        <v>0</v>
      </c>
      <c r="N76" s="20" t="n">
        <v>0</v>
      </c>
      <c r="O76" s="18" t="n">
        <v>0</v>
      </c>
      <c r="P76" s="20" t="n">
        <v>0</v>
      </c>
      <c r="Q76" s="18" t="n">
        <v>0</v>
      </c>
      <c r="R76" s="20" t="n">
        <v>0</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(4861.0/B80*100)</f>
        <v/>
      </c>
      <c r="D80" s="19" t="n">
        <v>965</v>
      </c>
      <c r="E80" s="18" t="n">
        <v>15.19864748</v>
      </c>
      <c r="F80" s="20" t="n">
        <v>1.6176152</v>
      </c>
      <c r="G80" s="18" t="n">
        <v>84.65828144</v>
      </c>
      <c r="H80" s="20" t="n">
        <v>1.63768547</v>
      </c>
      <c r="I80" s="18" t="n">
        <v>0</v>
      </c>
      <c r="J80" s="20" t="n">
        <v>0</v>
      </c>
      <c r="K80" s="18" t="n">
        <v>0.14307108</v>
      </c>
      <c r="L80" s="20" t="n">
        <v>0.10180581</v>
      </c>
      <c r="M80" s="18" t="n">
        <v>0</v>
      </c>
      <c r="N80" s="20" t="n">
        <v>0</v>
      </c>
      <c r="O80" s="18" t="n">
        <v>0</v>
      </c>
      <c r="P80" s="20" t="n">
        <v>0</v>
      </c>
      <c r="Q80" s="18" t="n">
        <v>0</v>
      </c>
      <c r="R80" s="20" t="n">
        <v>0</v>
      </c>
    </row>
    <row r="81" spans="1:18">
      <c r="A81" s="15" t="s">
        <v>505</v>
      </c>
      <c r="B81" s="17" t="n">
        <v>1657</v>
      </c>
      <c r="C81" s="18">
        <f>(1389.0/B81*100)</f>
        <v/>
      </c>
      <c r="D81" s="19" t="n">
        <v>268</v>
      </c>
      <c r="E81" s="18" t="n">
        <v>34.03718961</v>
      </c>
      <c r="F81" s="20" t="n">
        <v>3.2969226</v>
      </c>
      <c r="G81" s="18" t="n">
        <v>57.44196981</v>
      </c>
      <c r="H81" s="20" t="n">
        <v>3.1964981</v>
      </c>
      <c r="I81" s="18" t="n">
        <v>0</v>
      </c>
      <c r="J81" s="20" t="n">
        <v>0</v>
      </c>
      <c r="K81" s="18" t="n">
        <v>8.37418662</v>
      </c>
      <c r="L81" s="20" t="n">
        <v>1.98417959</v>
      </c>
      <c r="M81" s="18" t="n">
        <v>0</v>
      </c>
      <c r="N81" s="20" t="n">
        <v>0</v>
      </c>
      <c r="O81" s="18" t="n">
        <v>0.14665395</v>
      </c>
      <c r="P81" s="20" t="n">
        <v>0.14746953</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669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3.15986867</v>
      </c>
      <c r="F44" s="20" t="n">
        <v>0.50579781</v>
      </c>
      <c r="G44" s="18" t="n">
        <v>92.51741398999999</v>
      </c>
      <c r="H44" s="20" t="n">
        <v>0.882907</v>
      </c>
      <c r="I44" s="18" t="n">
        <v>0</v>
      </c>
      <c r="J44" s="20" t="n">
        <v>0</v>
      </c>
      <c r="K44" s="18" t="n">
        <v>1.77073216</v>
      </c>
      <c r="L44" s="20" t="n">
        <v>0.43717935</v>
      </c>
      <c r="M44" s="18" t="n">
        <v>0</v>
      </c>
      <c r="N44" s="20" t="n">
        <v>0</v>
      </c>
      <c r="O44" s="18" t="n">
        <v>0.41475658</v>
      </c>
      <c r="P44" s="20" t="n">
        <v>0.21842281</v>
      </c>
      <c r="Q44" s="18" t="n">
        <v>2.13722859</v>
      </c>
      <c r="R44" s="20" t="n">
        <v>0.51640091</v>
      </c>
    </row>
    <row r="45" spans="1:18">
      <c r="A45" s="15" t="s">
        <v>468</v>
      </c>
      <c r="B45" s="17" t="n">
        <v>5519</v>
      </c>
      <c r="C45" s="18">
        <f>(4581.0/B45*100)</f>
        <v/>
      </c>
      <c r="D45" s="19" t="n">
        <v>938</v>
      </c>
      <c r="E45" s="18" t="n">
        <v>5.94556382</v>
      </c>
      <c r="F45" s="20" t="n">
        <v>0.82423829</v>
      </c>
      <c r="G45" s="18" t="n">
        <v>87.50142178999999</v>
      </c>
      <c r="H45" s="20" t="n">
        <v>1.00923068</v>
      </c>
      <c r="I45" s="18" t="n">
        <v>0</v>
      </c>
      <c r="J45" s="20" t="n">
        <v>0</v>
      </c>
      <c r="K45" s="18" t="n">
        <v>2.97216415</v>
      </c>
      <c r="L45" s="20" t="n">
        <v>0.51906142</v>
      </c>
      <c r="M45" s="18" t="n">
        <v>0</v>
      </c>
      <c r="N45" s="20" t="n">
        <v>0</v>
      </c>
      <c r="O45" s="18" t="n">
        <v>0.78349772</v>
      </c>
      <c r="P45" s="20" t="n">
        <v>0.32410712</v>
      </c>
      <c r="Q45" s="18" t="n">
        <v>2.79735251</v>
      </c>
      <c r="R45" s="20" t="n">
        <v>0.5936969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10.61952488</v>
      </c>
      <c r="F54" s="20" t="n">
        <v>0.99381508</v>
      </c>
      <c r="G54" s="18" t="n">
        <v>86.45412695</v>
      </c>
      <c r="H54" s="20" t="n">
        <v>1.16259744</v>
      </c>
      <c r="I54" s="18" t="n">
        <v>0</v>
      </c>
      <c r="J54" s="20" t="n">
        <v>0</v>
      </c>
      <c r="K54" s="18" t="n">
        <v>0.8762943</v>
      </c>
      <c r="L54" s="20" t="n">
        <v>0.31377406</v>
      </c>
      <c r="M54" s="18" t="n">
        <v>0</v>
      </c>
      <c r="N54" s="20" t="n">
        <v>0</v>
      </c>
      <c r="O54" s="18" t="n">
        <v>0.35382123</v>
      </c>
      <c r="P54" s="20" t="n">
        <v>0.17404647</v>
      </c>
      <c r="Q54" s="18" t="n">
        <v>1.69623265</v>
      </c>
      <c r="R54" s="20" t="n">
        <v>0.42437826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5.95520518</v>
      </c>
      <c r="F56" s="20" t="n">
        <v>1.00334125</v>
      </c>
      <c r="G56" s="18" t="n">
        <v>92.93022697000001</v>
      </c>
      <c r="H56" s="20" t="n">
        <v>1.07144952</v>
      </c>
      <c r="I56" s="18" t="n">
        <v>0</v>
      </c>
      <c r="J56" s="20" t="n">
        <v>0</v>
      </c>
      <c r="K56" s="18" t="n">
        <v>0.75210245</v>
      </c>
      <c r="L56" s="20" t="n">
        <v>0.31994373</v>
      </c>
      <c r="M56" s="18" t="n">
        <v>0</v>
      </c>
      <c r="N56" s="20" t="n">
        <v>0</v>
      </c>
      <c r="O56" s="18" t="n">
        <v>0</v>
      </c>
      <c r="P56" s="20" t="n">
        <v>0</v>
      </c>
      <c r="Q56" s="18" t="n">
        <v>0.3624654</v>
      </c>
      <c r="R56" s="20" t="n">
        <v>0.19335127</v>
      </c>
    </row>
    <row r="57" spans="1:18">
      <c r="A57" s="15" t="s">
        <v>480</v>
      </c>
      <c r="B57" s="17" t="n">
        <v>7267</v>
      </c>
      <c r="C57" s="18">
        <f>(6057.0/B57*100)</f>
        <v/>
      </c>
      <c r="D57" s="19" t="n">
        <v>1210</v>
      </c>
      <c r="E57" s="18" t="n">
        <v>8.018778790000001</v>
      </c>
      <c r="F57" s="20" t="n">
        <v>0.9009941299999999</v>
      </c>
      <c r="G57" s="18" t="n">
        <v>87.82647064</v>
      </c>
      <c r="H57" s="20" t="n">
        <v>1.11046603</v>
      </c>
      <c r="I57" s="18" t="n">
        <v>0</v>
      </c>
      <c r="J57" s="20" t="n">
        <v>0</v>
      </c>
      <c r="K57" s="18" t="n">
        <v>1.00350218</v>
      </c>
      <c r="L57" s="20" t="n">
        <v>0.29683648</v>
      </c>
      <c r="M57" s="18" t="n">
        <v>0</v>
      </c>
      <c r="N57" s="20" t="n">
        <v>0</v>
      </c>
      <c r="O57" s="18" t="n">
        <v>0.63885356</v>
      </c>
      <c r="P57" s="20" t="n">
        <v>0.34338542</v>
      </c>
      <c r="Q57" s="18" t="n">
        <v>2.51239483</v>
      </c>
      <c r="R57" s="20" t="n">
        <v>0.59651561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10.84427509</v>
      </c>
      <c r="F59" s="20" t="n">
        <v>1.35596703</v>
      </c>
      <c r="G59" s="18" t="n">
        <v>87.80010307000001</v>
      </c>
      <c r="H59" s="20" t="n">
        <v>1.31008443</v>
      </c>
      <c r="I59" s="18" t="n">
        <v>0</v>
      </c>
      <c r="J59" s="20" t="n">
        <v>0</v>
      </c>
      <c r="K59" s="18" t="n">
        <v>0.13127386</v>
      </c>
      <c r="L59" s="20" t="n">
        <v>0.0679177</v>
      </c>
      <c r="M59" s="18" t="n">
        <v>0.22641011</v>
      </c>
      <c r="N59" s="20" t="n">
        <v>0.18186621</v>
      </c>
      <c r="O59" s="18" t="n">
        <v>0.31920488</v>
      </c>
      <c r="P59" s="20" t="n">
        <v>0.2637655</v>
      </c>
      <c r="Q59" s="18" t="n">
        <v>0.67873299</v>
      </c>
      <c r="R59" s="20" t="n">
        <v>0.26056801</v>
      </c>
    </row>
    <row r="60" spans="1:18">
      <c r="A60" s="15" t="s">
        <v>484</v>
      </c>
      <c r="B60" s="17" t="n">
        <v>4546</v>
      </c>
      <c r="C60" s="18">
        <f>(3779.0/B60*100)</f>
        <v/>
      </c>
      <c r="D60" s="19" t="n">
        <v>767</v>
      </c>
      <c r="E60" s="18" t="n">
        <v>15.52590928</v>
      </c>
      <c r="F60" s="20" t="n">
        <v>1.77805686</v>
      </c>
      <c r="G60" s="18" t="n">
        <v>76.54779689</v>
      </c>
      <c r="H60" s="20" t="n">
        <v>1.81448407</v>
      </c>
      <c r="I60" s="18" t="n">
        <v>0</v>
      </c>
      <c r="J60" s="20" t="n">
        <v>0</v>
      </c>
      <c r="K60" s="18" t="n">
        <v>2.31918125</v>
      </c>
      <c r="L60" s="20" t="n">
        <v>0.5024769100000001</v>
      </c>
      <c r="M60" s="18" t="n">
        <v>0</v>
      </c>
      <c r="N60" s="20" t="n">
        <v>0</v>
      </c>
      <c r="O60" s="18" t="n">
        <v>1.66956235</v>
      </c>
      <c r="P60" s="20" t="n">
        <v>0.56776159</v>
      </c>
      <c r="Q60" s="18" t="n">
        <v>3.93755023</v>
      </c>
      <c r="R60" s="20" t="n">
        <v>0.95360711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11.08164971</v>
      </c>
      <c r="F63" s="20" t="n">
        <v>1.01899332</v>
      </c>
      <c r="G63" s="18" t="n">
        <v>83.64399883999999</v>
      </c>
      <c r="H63" s="20" t="n">
        <v>1.08163727</v>
      </c>
      <c r="I63" s="18" t="n">
        <v>0</v>
      </c>
      <c r="J63" s="20" t="n">
        <v>0</v>
      </c>
      <c r="K63" s="18" t="n">
        <v>1.42944669</v>
      </c>
      <c r="L63" s="20" t="n">
        <v>0.44126875</v>
      </c>
      <c r="M63" s="18" t="n">
        <v>0</v>
      </c>
      <c r="N63" s="20" t="n">
        <v>0</v>
      </c>
      <c r="O63" s="18" t="n">
        <v>0.49747945</v>
      </c>
      <c r="P63" s="20" t="n">
        <v>0.22689607</v>
      </c>
      <c r="Q63" s="18" t="n">
        <v>3.34742531</v>
      </c>
      <c r="R63" s="20" t="n">
        <v>0.61256766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5.68800026</v>
      </c>
      <c r="F65" s="20" t="n">
        <v>1.02536048</v>
      </c>
      <c r="G65" s="18" t="n">
        <v>90.09322666</v>
      </c>
      <c r="H65" s="20" t="n">
        <v>1.39965435</v>
      </c>
      <c r="I65" s="18" t="n">
        <v>0</v>
      </c>
      <c r="J65" s="20" t="n">
        <v>0</v>
      </c>
      <c r="K65" s="18" t="n">
        <v>2.47660629</v>
      </c>
      <c r="L65" s="20" t="n">
        <v>0.63831063</v>
      </c>
      <c r="M65" s="18" t="n">
        <v>0</v>
      </c>
      <c r="N65" s="20" t="n">
        <v>0</v>
      </c>
      <c r="O65" s="18" t="n">
        <v>0</v>
      </c>
      <c r="P65" s="20" t="n">
        <v>0</v>
      </c>
      <c r="Q65" s="18" t="n">
        <v>1.74216679</v>
      </c>
      <c r="R65" s="20" t="n">
        <v>0.61068866</v>
      </c>
    </row>
    <row r="66" spans="1:18">
      <c r="A66" s="15" t="s">
        <v>490</v>
      </c>
      <c r="B66" s="17" t="n">
        <v>5325</v>
      </c>
      <c r="C66" s="18">
        <f>(4446.0/B66*100)</f>
        <v/>
      </c>
      <c r="D66" s="19" t="n">
        <v>879</v>
      </c>
      <c r="E66" s="18" t="n">
        <v>4.96464404</v>
      </c>
      <c r="F66" s="20" t="n">
        <v>0.78165716</v>
      </c>
      <c r="G66" s="18" t="n">
        <v>90.81007517</v>
      </c>
      <c r="H66" s="20" t="n">
        <v>1.05967087</v>
      </c>
      <c r="I66" s="18" t="n">
        <v>0</v>
      </c>
      <c r="J66" s="20" t="n">
        <v>0</v>
      </c>
      <c r="K66" s="18" t="n">
        <v>1.97319404</v>
      </c>
      <c r="L66" s="20" t="n">
        <v>0.54581527</v>
      </c>
      <c r="M66" s="18" t="n">
        <v>0.90714669</v>
      </c>
      <c r="N66" s="20" t="n">
        <v>0.33210971</v>
      </c>
      <c r="O66" s="18" t="n">
        <v>0</v>
      </c>
      <c r="P66" s="20" t="n">
        <v>0</v>
      </c>
      <c r="Q66" s="18" t="n">
        <v>1.34494007</v>
      </c>
      <c r="R66" s="20" t="n">
        <v>0.4845477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6.50863644</v>
      </c>
      <c r="F71" s="20" t="n">
        <v>0.92566223</v>
      </c>
      <c r="G71" s="18" t="n">
        <v>93.24683112</v>
      </c>
      <c r="H71" s="20" t="n">
        <v>0.96058276</v>
      </c>
      <c r="I71" s="18" t="n">
        <v>0</v>
      </c>
      <c r="J71" s="20" t="n">
        <v>0</v>
      </c>
      <c r="K71" s="18" t="n">
        <v>0</v>
      </c>
      <c r="L71" s="20" t="n">
        <v>0</v>
      </c>
      <c r="M71" s="18" t="n">
        <v>0</v>
      </c>
      <c r="N71" s="20" t="n">
        <v>0</v>
      </c>
      <c r="O71" s="18" t="n">
        <v>0</v>
      </c>
      <c r="P71" s="20" t="n">
        <v>0</v>
      </c>
      <c r="Q71" s="18" t="n">
        <v>0.24453244</v>
      </c>
      <c r="R71" s="20" t="n">
        <v>0.25245835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5.26592184</v>
      </c>
      <c r="F76" s="20" t="n">
        <v>0.87320933</v>
      </c>
      <c r="G76" s="18" t="n">
        <v>88.20654992</v>
      </c>
      <c r="H76" s="20" t="n">
        <v>1.33425069</v>
      </c>
      <c r="I76" s="18" t="n">
        <v>0</v>
      </c>
      <c r="J76" s="20" t="n">
        <v>0</v>
      </c>
      <c r="K76" s="18" t="n">
        <v>3.25358417</v>
      </c>
      <c r="L76" s="20" t="n">
        <v>0.73216078</v>
      </c>
      <c r="M76" s="18" t="n">
        <v>0</v>
      </c>
      <c r="N76" s="20" t="n">
        <v>0</v>
      </c>
      <c r="O76" s="18" t="n">
        <v>0</v>
      </c>
      <c r="P76" s="20" t="n">
        <v>0</v>
      </c>
      <c r="Q76" s="18" t="n">
        <v>3.27394407</v>
      </c>
      <c r="R76" s="20" t="n">
        <v>0.69161193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0.66803426</v>
      </c>
      <c r="F80" s="20" t="n">
        <v>0.28793814</v>
      </c>
      <c r="G80" s="18" t="n">
        <v>99.33196574</v>
      </c>
      <c r="H80" s="20" t="n">
        <v>0.28793814</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(1379.0/B81*100)</f>
        <v/>
      </c>
      <c r="D81" s="19" t="n">
        <v>278</v>
      </c>
      <c r="E81" s="18" t="n">
        <v>2.19797815</v>
      </c>
      <c r="F81" s="20" t="n">
        <v>0.99625653</v>
      </c>
      <c r="G81" s="18" t="n">
        <v>94.9457014</v>
      </c>
      <c r="H81" s="20" t="n">
        <v>1.19612303</v>
      </c>
      <c r="I81" s="18" t="n">
        <v>0</v>
      </c>
      <c r="J81" s="20" t="n">
        <v>0</v>
      </c>
      <c r="K81" s="18" t="n">
        <v>2.45427522</v>
      </c>
      <c r="L81" s="20" t="n">
        <v>0.59156667</v>
      </c>
      <c r="M81" s="18" t="n">
        <v>0</v>
      </c>
      <c r="N81" s="20" t="n">
        <v>0</v>
      </c>
      <c r="O81" s="18" t="n">
        <v>0</v>
      </c>
      <c r="P81" s="20" t="n">
        <v>0</v>
      </c>
      <c r="Q81" s="18" t="n">
        <v>0.40204523</v>
      </c>
      <c r="R81" s="20" t="n">
        <v>0.4078886</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22.84743931</v>
      </c>
      <c r="F44" s="20" t="n">
        <v>1.58226435</v>
      </c>
      <c r="G44" s="18" t="n">
        <v>69.3484996</v>
      </c>
      <c r="H44" s="20" t="n">
        <v>1.89188114</v>
      </c>
      <c r="I44" s="18" t="n">
        <v>0</v>
      </c>
      <c r="J44" s="20" t="n">
        <v>0</v>
      </c>
      <c r="K44" s="18" t="n">
        <v>1.9848735</v>
      </c>
      <c r="L44" s="20" t="n">
        <v>0.46452556</v>
      </c>
      <c r="M44" s="18" t="n">
        <v>0</v>
      </c>
      <c r="N44" s="20" t="n">
        <v>0</v>
      </c>
      <c r="O44" s="18" t="n">
        <v>0</v>
      </c>
      <c r="P44" s="20" t="n">
        <v>0</v>
      </c>
      <c r="Q44" s="18" t="n">
        <v>5.81918759</v>
      </c>
      <c r="R44" s="20" t="n">
        <v>0.91674046</v>
      </c>
    </row>
    <row r="45" spans="1:18">
      <c r="A45" s="15" t="s">
        <v>468</v>
      </c>
      <c r="B45" s="17" t="n">
        <v>5519</v>
      </c>
      <c r="C45" s="18">
        <f>(4581.0/B45*100)</f>
        <v/>
      </c>
      <c r="D45" s="19" t="n">
        <v>938</v>
      </c>
      <c r="E45" s="18" t="n">
        <v>38.72629979</v>
      </c>
      <c r="F45" s="20" t="n">
        <v>1.74469672</v>
      </c>
      <c r="G45" s="18" t="n">
        <v>50.14839898</v>
      </c>
      <c r="H45" s="20" t="n">
        <v>1.84794482</v>
      </c>
      <c r="I45" s="18" t="n">
        <v>0</v>
      </c>
      <c r="J45" s="20" t="n">
        <v>0</v>
      </c>
      <c r="K45" s="18" t="n">
        <v>3.70123623</v>
      </c>
      <c r="L45" s="20" t="n">
        <v>0.57301074</v>
      </c>
      <c r="M45" s="18" t="n">
        <v>0.97456275</v>
      </c>
      <c r="N45" s="20" t="n">
        <v>0.38521239</v>
      </c>
      <c r="O45" s="18" t="n">
        <v>0.74709543</v>
      </c>
      <c r="P45" s="20" t="n">
        <v>0.29270587</v>
      </c>
      <c r="Q45" s="18" t="n">
        <v>5.70240682</v>
      </c>
      <c r="R45" s="20" t="n">
        <v>0.91739666</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18.70820041</v>
      </c>
      <c r="F54" s="20" t="n">
        <v>1.36571448</v>
      </c>
      <c r="G54" s="18" t="n">
        <v>67.95739802</v>
      </c>
      <c r="H54" s="20" t="n">
        <v>1.574788</v>
      </c>
      <c r="I54" s="18" t="n">
        <v>0</v>
      </c>
      <c r="J54" s="20" t="n">
        <v>0</v>
      </c>
      <c r="K54" s="18" t="n">
        <v>1.21145931</v>
      </c>
      <c r="L54" s="20" t="n">
        <v>0.36810577</v>
      </c>
      <c r="M54" s="18" t="n">
        <v>0</v>
      </c>
      <c r="N54" s="20" t="n">
        <v>0</v>
      </c>
      <c r="O54" s="18" t="n">
        <v>0.10986406</v>
      </c>
      <c r="P54" s="20" t="n">
        <v>0.10657727</v>
      </c>
      <c r="Q54" s="18" t="n">
        <v>12.01307819</v>
      </c>
      <c r="R54" s="20" t="n">
        <v>1.20594182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44.48621799</v>
      </c>
      <c r="F56" s="20" t="n">
        <v>1.72048322</v>
      </c>
      <c r="G56" s="18" t="n">
        <v>52.52094901</v>
      </c>
      <c r="H56" s="20" t="n">
        <v>1.71994712</v>
      </c>
      <c r="I56" s="18" t="n">
        <v>0</v>
      </c>
      <c r="J56" s="20" t="n">
        <v>0</v>
      </c>
      <c r="K56" s="18" t="n">
        <v>0.92638817</v>
      </c>
      <c r="L56" s="20" t="n">
        <v>0.36321538</v>
      </c>
      <c r="M56" s="18" t="n">
        <v>0</v>
      </c>
      <c r="N56" s="20" t="n">
        <v>0</v>
      </c>
      <c r="O56" s="18" t="n">
        <v>0</v>
      </c>
      <c r="P56" s="20" t="n">
        <v>0</v>
      </c>
      <c r="Q56" s="18" t="n">
        <v>2.06644484</v>
      </c>
      <c r="R56" s="20" t="n">
        <v>0.45563969</v>
      </c>
    </row>
    <row r="57" spans="1:18">
      <c r="A57" s="15" t="s">
        <v>480</v>
      </c>
      <c r="B57" s="17" t="n">
        <v>7267</v>
      </c>
      <c r="C57" s="18">
        <f>(6057.0/B57*100)</f>
        <v/>
      </c>
      <c r="D57" s="19" t="n">
        <v>1210</v>
      </c>
      <c r="E57" s="18" t="n">
        <v>13.67482356</v>
      </c>
      <c r="F57" s="20" t="n">
        <v>1.08147564</v>
      </c>
      <c r="G57" s="18" t="n">
        <v>78.81779596</v>
      </c>
      <c r="H57" s="20" t="n">
        <v>1.33436818</v>
      </c>
      <c r="I57" s="18" t="n">
        <v>0</v>
      </c>
      <c r="J57" s="20" t="n">
        <v>0</v>
      </c>
      <c r="K57" s="18" t="n">
        <v>1.28965215</v>
      </c>
      <c r="L57" s="20" t="n">
        <v>0.33949525</v>
      </c>
      <c r="M57" s="18" t="n">
        <v>0</v>
      </c>
      <c r="N57" s="20" t="n">
        <v>0</v>
      </c>
      <c r="O57" s="18" t="n">
        <v>0</v>
      </c>
      <c r="P57" s="20" t="n">
        <v>0</v>
      </c>
      <c r="Q57" s="18" t="n">
        <v>6.21772833</v>
      </c>
      <c r="R57" s="20" t="n">
        <v>0.86520074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49.31076641</v>
      </c>
      <c r="F59" s="20" t="n">
        <v>2.37007604</v>
      </c>
      <c r="G59" s="18" t="n">
        <v>45.20666357</v>
      </c>
      <c r="H59" s="20" t="n">
        <v>2.32852615</v>
      </c>
      <c r="I59" s="18" t="n">
        <v>0</v>
      </c>
      <c r="J59" s="20" t="n">
        <v>0</v>
      </c>
      <c r="K59" s="18" t="n">
        <v>0.18464387</v>
      </c>
      <c r="L59" s="20" t="n">
        <v>0.09486243</v>
      </c>
      <c r="M59" s="18" t="n">
        <v>0</v>
      </c>
      <c r="N59" s="20" t="n">
        <v>0</v>
      </c>
      <c r="O59" s="18" t="n">
        <v>0</v>
      </c>
      <c r="P59" s="20" t="n">
        <v>0</v>
      </c>
      <c r="Q59" s="18" t="n">
        <v>5.29792615</v>
      </c>
      <c r="R59" s="20" t="n">
        <v>0.71435052</v>
      </c>
    </row>
    <row r="60" spans="1:18">
      <c r="A60" s="15" t="s">
        <v>484</v>
      </c>
      <c r="B60" s="17" t="n">
        <v>4546</v>
      </c>
      <c r="C60" s="18">
        <f>(3779.0/B60*100)</f>
        <v/>
      </c>
      <c r="D60" s="19" t="n">
        <v>767</v>
      </c>
      <c r="E60" s="18" t="n">
        <v>33.44529842</v>
      </c>
      <c r="F60" s="20" t="n">
        <v>1.65740851</v>
      </c>
      <c r="G60" s="18" t="n">
        <v>48.42384357</v>
      </c>
      <c r="H60" s="20" t="n">
        <v>1.83909434</v>
      </c>
      <c r="I60" s="18" t="n">
        <v>0</v>
      </c>
      <c r="J60" s="20" t="n">
        <v>0</v>
      </c>
      <c r="K60" s="18" t="n">
        <v>2.48392214</v>
      </c>
      <c r="L60" s="20" t="n">
        <v>0.5307939</v>
      </c>
      <c r="M60" s="18" t="n">
        <v>0</v>
      </c>
      <c r="N60" s="20" t="n">
        <v>0</v>
      </c>
      <c r="O60" s="18" t="n">
        <v>0.17979468</v>
      </c>
      <c r="P60" s="20" t="n">
        <v>0.18310262</v>
      </c>
      <c r="Q60" s="18" t="n">
        <v>15.46714119</v>
      </c>
      <c r="R60" s="20" t="n">
        <v>1.59475514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35.50600548</v>
      </c>
      <c r="F63" s="20" t="n">
        <v>1.65199383</v>
      </c>
      <c r="G63" s="18" t="n">
        <v>45.08754435</v>
      </c>
      <c r="H63" s="20" t="n">
        <v>1.94025728</v>
      </c>
      <c r="I63" s="18" t="n">
        <v>0</v>
      </c>
      <c r="J63" s="20" t="n">
        <v>0</v>
      </c>
      <c r="K63" s="18" t="n">
        <v>2.0613604</v>
      </c>
      <c r="L63" s="20" t="n">
        <v>0.55219144</v>
      </c>
      <c r="M63" s="18" t="n">
        <v>0</v>
      </c>
      <c r="N63" s="20" t="n">
        <v>0</v>
      </c>
      <c r="O63" s="18" t="n">
        <v>0</v>
      </c>
      <c r="P63" s="20" t="n">
        <v>0</v>
      </c>
      <c r="Q63" s="18" t="n">
        <v>17.34508976</v>
      </c>
      <c r="R63" s="20" t="n">
        <v>1.33790499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17.50237802</v>
      </c>
      <c r="F65" s="20" t="n">
        <v>1.44154152</v>
      </c>
      <c r="G65" s="18" t="n">
        <v>71.4329365</v>
      </c>
      <c r="H65" s="20" t="n">
        <v>1.81348279</v>
      </c>
      <c r="I65" s="18" t="n">
        <v>0</v>
      </c>
      <c r="J65" s="20" t="n">
        <v>0</v>
      </c>
      <c r="K65" s="18" t="n">
        <v>2.47660629</v>
      </c>
      <c r="L65" s="20" t="n">
        <v>0.63831063</v>
      </c>
      <c r="M65" s="18" t="n">
        <v>0</v>
      </c>
      <c r="N65" s="20" t="n">
        <v>0</v>
      </c>
      <c r="O65" s="18" t="n">
        <v>0</v>
      </c>
      <c r="P65" s="20" t="n">
        <v>0</v>
      </c>
      <c r="Q65" s="18" t="n">
        <v>8.58807919</v>
      </c>
      <c r="R65" s="20" t="n">
        <v>1.24813319</v>
      </c>
    </row>
    <row r="66" spans="1:18">
      <c r="A66" s="15" t="s">
        <v>490</v>
      </c>
      <c r="B66" s="17" t="n">
        <v>5325</v>
      </c>
      <c r="C66" s="18">
        <f>(4446.0/B66*100)</f>
        <v/>
      </c>
      <c r="D66" s="19" t="n">
        <v>879</v>
      </c>
      <c r="E66" s="18" t="n">
        <v>9.62658594</v>
      </c>
      <c r="F66" s="20" t="n">
        <v>1.17861126</v>
      </c>
      <c r="G66" s="18" t="n">
        <v>82.96000852</v>
      </c>
      <c r="H66" s="20" t="n">
        <v>1.36606136</v>
      </c>
      <c r="I66" s="18" t="n">
        <v>0</v>
      </c>
      <c r="J66" s="20" t="n">
        <v>0</v>
      </c>
      <c r="K66" s="18" t="n">
        <v>2.45454244</v>
      </c>
      <c r="L66" s="20" t="n">
        <v>0.60816806</v>
      </c>
      <c r="M66" s="18" t="n">
        <v>0</v>
      </c>
      <c r="N66" s="20" t="n">
        <v>0</v>
      </c>
      <c r="O66" s="18" t="n">
        <v>0</v>
      </c>
      <c r="P66" s="20" t="n">
        <v>0</v>
      </c>
      <c r="Q66" s="18" t="n">
        <v>4.9588631</v>
      </c>
      <c r="R66" s="20" t="n">
        <v>0.7875756900000001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20.17894796</v>
      </c>
      <c r="F69" s="20" t="n">
        <v>4.51914554</v>
      </c>
      <c r="G69" s="18" t="n">
        <v>72.61318455</v>
      </c>
      <c r="H69" s="20" t="n">
        <v>3.32746779</v>
      </c>
      <c r="I69" s="18" t="n">
        <v>0</v>
      </c>
      <c r="J69" s="20" t="n">
        <v>0</v>
      </c>
      <c r="K69" s="18" t="n">
        <v>0.32672538</v>
      </c>
      <c r="L69" s="20" t="n">
        <v>0.34136169</v>
      </c>
      <c r="M69" s="18" t="n">
        <v>0</v>
      </c>
      <c r="N69" s="20" t="n">
        <v>0</v>
      </c>
      <c r="O69" s="18" t="n">
        <v>0</v>
      </c>
      <c r="P69" s="20" t="n">
        <v>0</v>
      </c>
      <c r="Q69" s="18" t="n">
        <v>6.88114211</v>
      </c>
      <c r="R69" s="20" t="n">
        <v>2.82073819</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12.27521688</v>
      </c>
      <c r="F71" s="20" t="n">
        <v>1.38909232</v>
      </c>
      <c r="G71" s="18" t="n">
        <v>87.28301655</v>
      </c>
      <c r="H71" s="20" t="n">
        <v>1.41480158</v>
      </c>
      <c r="I71" s="18" t="n">
        <v>0</v>
      </c>
      <c r="J71" s="20" t="n">
        <v>0</v>
      </c>
      <c r="K71" s="18" t="n">
        <v>0</v>
      </c>
      <c r="L71" s="20" t="n">
        <v>0</v>
      </c>
      <c r="M71" s="18" t="n">
        <v>0</v>
      </c>
      <c r="N71" s="20" t="n">
        <v>0</v>
      </c>
      <c r="O71" s="18" t="n">
        <v>0</v>
      </c>
      <c r="P71" s="20" t="n">
        <v>0</v>
      </c>
      <c r="Q71" s="18" t="n">
        <v>0.44176657</v>
      </c>
      <c r="R71" s="20" t="n">
        <v>0.32002521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6.30794045</v>
      </c>
      <c r="F76" s="20" t="n">
        <v>0.89859376</v>
      </c>
      <c r="G76" s="18" t="n">
        <v>81.71866439999999</v>
      </c>
      <c r="H76" s="20" t="n">
        <v>1.37930281</v>
      </c>
      <c r="I76" s="18" t="n">
        <v>0</v>
      </c>
      <c r="J76" s="20" t="n">
        <v>0</v>
      </c>
      <c r="K76" s="18" t="n">
        <v>3.6138118</v>
      </c>
      <c r="L76" s="20" t="n">
        <v>0.72970939</v>
      </c>
      <c r="M76" s="18" t="n">
        <v>0</v>
      </c>
      <c r="N76" s="20" t="n">
        <v>0</v>
      </c>
      <c r="O76" s="18" t="n">
        <v>0</v>
      </c>
      <c r="P76" s="20" t="n">
        <v>0</v>
      </c>
      <c r="Q76" s="18" t="n">
        <v>8.35958336</v>
      </c>
      <c r="R76" s="20" t="n">
        <v>1.05174831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20.54323485</v>
      </c>
      <c r="F80" s="20" t="n">
        <v>1.54352009</v>
      </c>
      <c r="G80" s="18" t="n">
        <v>79.27326456</v>
      </c>
      <c r="H80" s="20" t="n">
        <v>1.54794031</v>
      </c>
      <c r="I80" s="18" t="n">
        <v>0</v>
      </c>
      <c r="J80" s="20" t="n">
        <v>0</v>
      </c>
      <c r="K80" s="18" t="n">
        <v>0</v>
      </c>
      <c r="L80" s="20" t="n">
        <v>0</v>
      </c>
      <c r="M80" s="18" t="n">
        <v>0</v>
      </c>
      <c r="N80" s="20" t="n">
        <v>0</v>
      </c>
      <c r="O80" s="18" t="n">
        <v>0</v>
      </c>
      <c r="P80" s="20" t="n">
        <v>0</v>
      </c>
      <c r="Q80" s="18" t="n">
        <v>0.18350059</v>
      </c>
      <c r="R80" s="20" t="n">
        <v>0.1350874</v>
      </c>
    </row>
    <row r="81" spans="1:18">
      <c r="A81" s="15" t="s">
        <v>505</v>
      </c>
      <c r="B81" s="17" t="n">
        <v>1657</v>
      </c>
      <c r="C81" s="18">
        <f>(1379.0/B81*100)</f>
        <v/>
      </c>
      <c r="D81" s="19" t="n">
        <v>278</v>
      </c>
      <c r="E81" s="18" t="n">
        <v>17.84530503</v>
      </c>
      <c r="F81" s="20" t="n">
        <v>2.09236935</v>
      </c>
      <c r="G81" s="18" t="n">
        <v>77.49094427</v>
      </c>
      <c r="H81" s="20" t="n">
        <v>2.490975</v>
      </c>
      <c r="I81" s="18" t="n">
        <v>0</v>
      </c>
      <c r="J81" s="20" t="n">
        <v>0</v>
      </c>
      <c r="K81" s="18" t="n">
        <v>2.78637594</v>
      </c>
      <c r="L81" s="20" t="n">
        <v>0.71296192</v>
      </c>
      <c r="M81" s="18" t="n">
        <v>0</v>
      </c>
      <c r="N81" s="20" t="n">
        <v>0</v>
      </c>
      <c r="O81" s="18" t="n">
        <v>0</v>
      </c>
      <c r="P81" s="20" t="n">
        <v>0</v>
      </c>
      <c r="Q81" s="18" t="n">
        <v>1.87737477</v>
      </c>
      <c r="R81" s="20" t="n">
        <v>0.79280368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24.85078704</v>
      </c>
      <c r="F44" s="20" t="n">
        <v>1.8807663</v>
      </c>
      <c r="G44" s="18" t="n">
        <v>62.08546165</v>
      </c>
      <c r="H44" s="20" t="n">
        <v>2.33210294</v>
      </c>
      <c r="I44" s="18" t="n">
        <v>0</v>
      </c>
      <c r="J44" s="20" t="n">
        <v>0</v>
      </c>
      <c r="K44" s="18" t="n">
        <v>2.83919456</v>
      </c>
      <c r="L44" s="20" t="n">
        <v>0.60902667</v>
      </c>
      <c r="M44" s="18" t="n">
        <v>0</v>
      </c>
      <c r="N44" s="20" t="n">
        <v>0</v>
      </c>
      <c r="O44" s="18" t="n">
        <v>0</v>
      </c>
      <c r="P44" s="20" t="n">
        <v>0</v>
      </c>
      <c r="Q44" s="18" t="n">
        <v>10.22455674</v>
      </c>
      <c r="R44" s="20" t="n">
        <v>1.30208813</v>
      </c>
    </row>
    <row r="45" spans="1:18">
      <c r="A45" s="15" t="s">
        <v>468</v>
      </c>
      <c r="B45" s="17" t="n">
        <v>5519</v>
      </c>
      <c r="C45" s="18">
        <f>(4581.0/B45*100)</f>
        <v/>
      </c>
      <c r="D45" s="19" t="n">
        <v>938</v>
      </c>
      <c r="E45" s="18" t="n">
        <v>39.44527382</v>
      </c>
      <c r="F45" s="20" t="n">
        <v>1.5269559</v>
      </c>
      <c r="G45" s="18" t="n">
        <v>43.80585859</v>
      </c>
      <c r="H45" s="20" t="n">
        <v>1.72184602</v>
      </c>
      <c r="I45" s="18" t="n">
        <v>0</v>
      </c>
      <c r="J45" s="20" t="n">
        <v>0</v>
      </c>
      <c r="K45" s="18" t="n">
        <v>4.44935326</v>
      </c>
      <c r="L45" s="20" t="n">
        <v>0.63872942</v>
      </c>
      <c r="M45" s="18" t="n">
        <v>0.6962753</v>
      </c>
      <c r="N45" s="20" t="n">
        <v>0.34647001</v>
      </c>
      <c r="O45" s="18" t="n">
        <v>0.05198468</v>
      </c>
      <c r="P45" s="20" t="n">
        <v>0.06021769</v>
      </c>
      <c r="Q45" s="18" t="n">
        <v>11.55125436</v>
      </c>
      <c r="R45" s="20" t="n">
        <v>1.261337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22.38355289</v>
      </c>
      <c r="F54" s="20" t="n">
        <v>1.36539375</v>
      </c>
      <c r="G54" s="18" t="n">
        <v>59.62714916</v>
      </c>
      <c r="H54" s="20" t="n">
        <v>1.63230319</v>
      </c>
      <c r="I54" s="18" t="n">
        <v>0</v>
      </c>
      <c r="J54" s="20" t="n">
        <v>0</v>
      </c>
      <c r="K54" s="18" t="n">
        <v>1.54489815</v>
      </c>
      <c r="L54" s="20" t="n">
        <v>0.41285772</v>
      </c>
      <c r="M54" s="18" t="n">
        <v>0</v>
      </c>
      <c r="N54" s="20" t="n">
        <v>0</v>
      </c>
      <c r="O54" s="18" t="n">
        <v>0.10986406</v>
      </c>
      <c r="P54" s="20" t="n">
        <v>0.10657727</v>
      </c>
      <c r="Q54" s="18" t="n">
        <v>16.33453574</v>
      </c>
      <c r="R54" s="20" t="n">
        <v>1.29617647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32.24914577</v>
      </c>
      <c r="F56" s="20" t="n">
        <v>1.66928889</v>
      </c>
      <c r="G56" s="18" t="n">
        <v>64.79105797</v>
      </c>
      <c r="H56" s="20" t="n">
        <v>1.81790545</v>
      </c>
      <c r="I56" s="18" t="n">
        <v>0</v>
      </c>
      <c r="J56" s="20" t="n">
        <v>0</v>
      </c>
      <c r="K56" s="18" t="n">
        <v>0.97024203</v>
      </c>
      <c r="L56" s="20" t="n">
        <v>0.3711115</v>
      </c>
      <c r="M56" s="18" t="n">
        <v>0</v>
      </c>
      <c r="N56" s="20" t="n">
        <v>0</v>
      </c>
      <c r="O56" s="18" t="n">
        <v>0</v>
      </c>
      <c r="P56" s="20" t="n">
        <v>0</v>
      </c>
      <c r="Q56" s="18" t="n">
        <v>1.98955423</v>
      </c>
      <c r="R56" s="20" t="n">
        <v>0.42965503</v>
      </c>
    </row>
    <row r="57" spans="1:18">
      <c r="A57" s="15" t="s">
        <v>480</v>
      </c>
      <c r="B57" s="17" t="n">
        <v>7267</v>
      </c>
      <c r="C57" s="18">
        <f>(6057.0/B57*100)</f>
        <v/>
      </c>
      <c r="D57" s="19" t="n">
        <v>1210</v>
      </c>
      <c r="E57" s="18" t="n">
        <v>18.10753342</v>
      </c>
      <c r="F57" s="20" t="n">
        <v>1.43642103</v>
      </c>
      <c r="G57" s="18" t="n">
        <v>72.00438545999999</v>
      </c>
      <c r="H57" s="20" t="n">
        <v>1.5278928</v>
      </c>
      <c r="I57" s="18" t="n">
        <v>0</v>
      </c>
      <c r="J57" s="20" t="n">
        <v>0</v>
      </c>
      <c r="K57" s="18" t="n">
        <v>1.28965215</v>
      </c>
      <c r="L57" s="20" t="n">
        <v>0.33949525</v>
      </c>
      <c r="M57" s="18" t="n">
        <v>0</v>
      </c>
      <c r="N57" s="20" t="n">
        <v>0</v>
      </c>
      <c r="O57" s="18" t="n">
        <v>0</v>
      </c>
      <c r="P57" s="20" t="n">
        <v>0</v>
      </c>
      <c r="Q57" s="18" t="n">
        <v>8.598428970000001</v>
      </c>
      <c r="R57" s="20" t="n">
        <v>1.03329765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41.08146598</v>
      </c>
      <c r="F59" s="20" t="n">
        <v>2.09807413</v>
      </c>
      <c r="G59" s="18" t="n">
        <v>47.17254343</v>
      </c>
      <c r="H59" s="20" t="n">
        <v>2.09826845</v>
      </c>
      <c r="I59" s="18" t="n">
        <v>0</v>
      </c>
      <c r="J59" s="20" t="n">
        <v>0</v>
      </c>
      <c r="K59" s="18" t="n">
        <v>0.46840307</v>
      </c>
      <c r="L59" s="20" t="n">
        <v>0.30137421</v>
      </c>
      <c r="M59" s="18" t="n">
        <v>0</v>
      </c>
      <c r="N59" s="20" t="n">
        <v>0</v>
      </c>
      <c r="O59" s="18" t="n">
        <v>0</v>
      </c>
      <c r="P59" s="20" t="n">
        <v>0</v>
      </c>
      <c r="Q59" s="18" t="n">
        <v>11.27758751</v>
      </c>
      <c r="R59" s="20" t="n">
        <v>1.34370497</v>
      </c>
    </row>
    <row r="60" spans="1:18">
      <c r="A60" s="15" t="s">
        <v>484</v>
      </c>
      <c r="B60" s="17" t="n">
        <v>4546</v>
      </c>
      <c r="C60" s="18">
        <f>(3779.0/B60*100)</f>
        <v/>
      </c>
      <c r="D60" s="19" t="n">
        <v>767</v>
      </c>
      <c r="E60" s="18" t="n">
        <v>38.50386021</v>
      </c>
      <c r="F60" s="20" t="n">
        <v>1.85359028</v>
      </c>
      <c r="G60" s="18" t="n">
        <v>38.48827244</v>
      </c>
      <c r="H60" s="20" t="n">
        <v>1.71046036</v>
      </c>
      <c r="I60" s="18" t="n">
        <v>0</v>
      </c>
      <c r="J60" s="20" t="n">
        <v>0</v>
      </c>
      <c r="K60" s="18" t="n">
        <v>2.70745485</v>
      </c>
      <c r="L60" s="20" t="n">
        <v>0.55924429</v>
      </c>
      <c r="M60" s="18" t="n">
        <v>0</v>
      </c>
      <c r="N60" s="20" t="n">
        <v>0</v>
      </c>
      <c r="O60" s="18" t="n">
        <v>0</v>
      </c>
      <c r="P60" s="20" t="n">
        <v>0</v>
      </c>
      <c r="Q60" s="18" t="n">
        <v>20.30041249</v>
      </c>
      <c r="R60" s="20" t="n">
        <v>1.55982023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23.08709761</v>
      </c>
      <c r="F63" s="20" t="n">
        <v>1.50857021</v>
      </c>
      <c r="G63" s="18" t="n">
        <v>51.10475583</v>
      </c>
      <c r="H63" s="20" t="n">
        <v>1.96726393</v>
      </c>
      <c r="I63" s="18" t="n">
        <v>0</v>
      </c>
      <c r="J63" s="20" t="n">
        <v>0</v>
      </c>
      <c r="K63" s="18" t="n">
        <v>2.18175873</v>
      </c>
      <c r="L63" s="20" t="n">
        <v>0.56128765</v>
      </c>
      <c r="M63" s="18" t="n">
        <v>0</v>
      </c>
      <c r="N63" s="20" t="n">
        <v>0</v>
      </c>
      <c r="O63" s="18" t="n">
        <v>0</v>
      </c>
      <c r="P63" s="20" t="n">
        <v>0</v>
      </c>
      <c r="Q63" s="18" t="n">
        <v>23.62638783</v>
      </c>
      <c r="R63" s="20" t="n">
        <v>1.50003158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13.95644508</v>
      </c>
      <c r="F65" s="20" t="n">
        <v>1.3138678</v>
      </c>
      <c r="G65" s="18" t="n">
        <v>73.88599981</v>
      </c>
      <c r="H65" s="20" t="n">
        <v>1.56990024</v>
      </c>
      <c r="I65" s="18" t="n">
        <v>0</v>
      </c>
      <c r="J65" s="20" t="n">
        <v>0</v>
      </c>
      <c r="K65" s="18" t="n">
        <v>2.6564907</v>
      </c>
      <c r="L65" s="20" t="n">
        <v>0.66403003</v>
      </c>
      <c r="M65" s="18" t="n">
        <v>0</v>
      </c>
      <c r="N65" s="20" t="n">
        <v>0</v>
      </c>
      <c r="O65" s="18" t="n">
        <v>0</v>
      </c>
      <c r="P65" s="20" t="n">
        <v>0</v>
      </c>
      <c r="Q65" s="18" t="n">
        <v>9.50106441</v>
      </c>
      <c r="R65" s="20" t="n">
        <v>1.26608944</v>
      </c>
    </row>
    <row r="66" spans="1:18">
      <c r="A66" s="15" t="s">
        <v>490</v>
      </c>
      <c r="B66" s="17" t="n">
        <v>5325</v>
      </c>
      <c r="C66" s="18">
        <f>(4446.0/B66*100)</f>
        <v/>
      </c>
      <c r="D66" s="19" t="n">
        <v>879</v>
      </c>
      <c r="E66" s="18" t="n">
        <v>13.3591547</v>
      </c>
      <c r="F66" s="20" t="n">
        <v>1.26847508</v>
      </c>
      <c r="G66" s="18" t="n">
        <v>76.01304424</v>
      </c>
      <c r="H66" s="20" t="n">
        <v>1.69909034</v>
      </c>
      <c r="I66" s="18" t="n">
        <v>0</v>
      </c>
      <c r="J66" s="20" t="n">
        <v>0</v>
      </c>
      <c r="K66" s="18" t="n">
        <v>2.83134269</v>
      </c>
      <c r="L66" s="20" t="n">
        <v>0.65463134</v>
      </c>
      <c r="M66" s="18" t="n">
        <v>0</v>
      </c>
      <c r="N66" s="20" t="n">
        <v>0</v>
      </c>
      <c r="O66" s="18" t="n">
        <v>0</v>
      </c>
      <c r="P66" s="20" t="n">
        <v>0</v>
      </c>
      <c r="Q66" s="18" t="n">
        <v>7.79645837</v>
      </c>
      <c r="R66" s="20" t="n">
        <v>0.99404182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17.18770984</v>
      </c>
      <c r="F69" s="20" t="n">
        <v>3.14503414</v>
      </c>
      <c r="G69" s="18" t="n">
        <v>77.78306614</v>
      </c>
      <c r="H69" s="20" t="n">
        <v>3.32057035</v>
      </c>
      <c r="I69" s="18" t="n">
        <v>0</v>
      </c>
      <c r="J69" s="20" t="n">
        <v>0</v>
      </c>
      <c r="K69" s="18" t="n">
        <v>0.32672538</v>
      </c>
      <c r="L69" s="20" t="n">
        <v>0.34136169</v>
      </c>
      <c r="M69" s="18" t="n">
        <v>0</v>
      </c>
      <c r="N69" s="20" t="n">
        <v>0</v>
      </c>
      <c r="O69" s="18" t="n">
        <v>0</v>
      </c>
      <c r="P69" s="20" t="n">
        <v>0</v>
      </c>
      <c r="Q69" s="18" t="n">
        <v>4.70249864</v>
      </c>
      <c r="R69" s="20" t="n">
        <v>1.90653688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31.6307053</v>
      </c>
      <c r="F71" s="20" t="n">
        <v>1.81678831</v>
      </c>
      <c r="G71" s="18" t="n">
        <v>67.57213259</v>
      </c>
      <c r="H71" s="20" t="n">
        <v>1.84170681</v>
      </c>
      <c r="I71" s="18" t="n">
        <v>0</v>
      </c>
      <c r="J71" s="20" t="n">
        <v>0</v>
      </c>
      <c r="K71" s="18" t="n">
        <v>0</v>
      </c>
      <c r="L71" s="20" t="n">
        <v>0</v>
      </c>
      <c r="M71" s="18" t="n">
        <v>0</v>
      </c>
      <c r="N71" s="20" t="n">
        <v>0</v>
      </c>
      <c r="O71" s="18" t="n">
        <v>0</v>
      </c>
      <c r="P71" s="20" t="n">
        <v>0</v>
      </c>
      <c r="Q71" s="18" t="n">
        <v>0.79716211</v>
      </c>
      <c r="R71" s="20" t="n">
        <v>0.38008291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15.08302421</v>
      </c>
      <c r="F76" s="20" t="n">
        <v>1.49305742</v>
      </c>
      <c r="G76" s="18" t="n">
        <v>70.69164738000001</v>
      </c>
      <c r="H76" s="20" t="n">
        <v>1.79388916</v>
      </c>
      <c r="I76" s="18" t="n">
        <v>0</v>
      </c>
      <c r="J76" s="20" t="n">
        <v>0</v>
      </c>
      <c r="K76" s="18" t="n">
        <v>3.79640145</v>
      </c>
      <c r="L76" s="20" t="n">
        <v>0.75414696</v>
      </c>
      <c r="M76" s="18" t="n">
        <v>0</v>
      </c>
      <c r="N76" s="20" t="n">
        <v>0</v>
      </c>
      <c r="O76" s="18" t="n">
        <v>0</v>
      </c>
      <c r="P76" s="20" t="n">
        <v>0</v>
      </c>
      <c r="Q76" s="18" t="n">
        <v>10.42892696</v>
      </c>
      <c r="R76" s="20" t="n">
        <v>1.15856881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13.47708819</v>
      </c>
      <c r="F80" s="20" t="n">
        <v>1.29545601</v>
      </c>
      <c r="G80" s="18" t="n">
        <v>85.63225250000001</v>
      </c>
      <c r="H80" s="20" t="n">
        <v>1.46118771</v>
      </c>
      <c r="I80" s="18" t="n">
        <v>0</v>
      </c>
      <c r="J80" s="20" t="n">
        <v>0</v>
      </c>
      <c r="K80" s="18" t="n">
        <v>0</v>
      </c>
      <c r="L80" s="20" t="n">
        <v>0</v>
      </c>
      <c r="M80" s="18" t="n">
        <v>0</v>
      </c>
      <c r="N80" s="20" t="n">
        <v>0</v>
      </c>
      <c r="O80" s="18" t="n">
        <v>0</v>
      </c>
      <c r="P80" s="20" t="n">
        <v>0</v>
      </c>
      <c r="Q80" s="18" t="n">
        <v>0.89065932</v>
      </c>
      <c r="R80" s="20" t="n">
        <v>0.41867271</v>
      </c>
    </row>
    <row r="81" spans="1:18">
      <c r="A81" s="15" t="s">
        <v>505</v>
      </c>
      <c r="B81" s="17" t="n">
        <v>1657</v>
      </c>
      <c r="C81" s="18">
        <f>(1379.0/B81*100)</f>
        <v/>
      </c>
      <c r="D81" s="19" t="n">
        <v>278</v>
      </c>
      <c r="E81" s="18" t="n">
        <v>12.18071222</v>
      </c>
      <c r="F81" s="20" t="n">
        <v>1.92511958</v>
      </c>
      <c r="G81" s="18" t="n">
        <v>80.39867852</v>
      </c>
      <c r="H81" s="20" t="n">
        <v>2.17690392</v>
      </c>
      <c r="I81" s="18" t="n">
        <v>0</v>
      </c>
      <c r="J81" s="20" t="n">
        <v>0</v>
      </c>
      <c r="K81" s="18" t="n">
        <v>3.19610178</v>
      </c>
      <c r="L81" s="20" t="n">
        <v>0.7647507</v>
      </c>
      <c r="M81" s="18" t="n">
        <v>0</v>
      </c>
      <c r="N81" s="20" t="n">
        <v>0</v>
      </c>
      <c r="O81" s="18" t="n">
        <v>0</v>
      </c>
      <c r="P81" s="20" t="n">
        <v>0</v>
      </c>
      <c r="Q81" s="18" t="n">
        <v>4.22450748</v>
      </c>
      <c r="R81" s="20" t="n">
        <v>1.59966974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37.43477573</v>
      </c>
      <c r="F44" s="20" t="n">
        <v>2.34329116</v>
      </c>
      <c r="G44" s="18" t="n">
        <v>34.45106067</v>
      </c>
      <c r="H44" s="20" t="n">
        <v>2.15356974</v>
      </c>
      <c r="I44" s="18" t="n">
        <v>0</v>
      </c>
      <c r="J44" s="20" t="n">
        <v>0</v>
      </c>
      <c r="K44" s="18" t="n">
        <v>3.81963884</v>
      </c>
      <c r="L44" s="20" t="n">
        <v>0.72907187</v>
      </c>
      <c r="M44" s="18" t="n">
        <v>0</v>
      </c>
      <c r="N44" s="20" t="n">
        <v>0</v>
      </c>
      <c r="O44" s="18" t="n">
        <v>0</v>
      </c>
      <c r="P44" s="20" t="n">
        <v>0</v>
      </c>
      <c r="Q44" s="18" t="n">
        <v>24.29452475</v>
      </c>
      <c r="R44" s="20" t="n">
        <v>2.12219187</v>
      </c>
    </row>
    <row r="45" spans="1:18">
      <c r="A45" s="15" t="s">
        <v>468</v>
      </c>
      <c r="B45" s="17" t="n">
        <v>5519</v>
      </c>
      <c r="C45" s="18">
        <f>(4581.0/B45*100)</f>
        <v/>
      </c>
      <c r="D45" s="19" t="n">
        <v>938</v>
      </c>
      <c r="E45" s="18" t="n">
        <v>30.78539606</v>
      </c>
      <c r="F45" s="20" t="n">
        <v>1.80542121</v>
      </c>
      <c r="G45" s="18" t="n">
        <v>36.11474951</v>
      </c>
      <c r="H45" s="20" t="n">
        <v>1.85477698</v>
      </c>
      <c r="I45" s="18" t="n">
        <v>0</v>
      </c>
      <c r="J45" s="20" t="n">
        <v>0</v>
      </c>
      <c r="K45" s="18" t="n">
        <v>5.30645261</v>
      </c>
      <c r="L45" s="20" t="n">
        <v>0.6766537</v>
      </c>
      <c r="M45" s="18" t="n">
        <v>1.94611589</v>
      </c>
      <c r="N45" s="20" t="n">
        <v>0.41206336</v>
      </c>
      <c r="O45" s="18" t="n">
        <v>0.43269388</v>
      </c>
      <c r="P45" s="20" t="n">
        <v>0.25096698</v>
      </c>
      <c r="Q45" s="18" t="n">
        <v>25.41459203</v>
      </c>
      <c r="R45" s="20" t="n">
        <v>1.74714165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45.09449213</v>
      </c>
      <c r="F54" s="20" t="n">
        <v>1.6692073</v>
      </c>
      <c r="G54" s="18" t="n">
        <v>20.47332654</v>
      </c>
      <c r="H54" s="20" t="n">
        <v>1.40058519</v>
      </c>
      <c r="I54" s="18" t="n">
        <v>0</v>
      </c>
      <c r="J54" s="20" t="n">
        <v>0</v>
      </c>
      <c r="K54" s="18" t="n">
        <v>2.00085414</v>
      </c>
      <c r="L54" s="20" t="n">
        <v>0.50261053</v>
      </c>
      <c r="M54" s="18" t="n">
        <v>0</v>
      </c>
      <c r="N54" s="20" t="n">
        <v>0</v>
      </c>
      <c r="O54" s="18" t="n">
        <v>0</v>
      </c>
      <c r="P54" s="20" t="n">
        <v>0</v>
      </c>
      <c r="Q54" s="18" t="n">
        <v>32.43132719</v>
      </c>
      <c r="R54" s="20" t="n">
        <v>1.60797637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54.11616735</v>
      </c>
      <c r="F56" s="20" t="n">
        <v>1.65617209</v>
      </c>
      <c r="G56" s="18" t="n">
        <v>37.17735377</v>
      </c>
      <c r="H56" s="20" t="n">
        <v>1.72716505</v>
      </c>
      <c r="I56" s="18" t="n">
        <v>0</v>
      </c>
      <c r="J56" s="20" t="n">
        <v>0</v>
      </c>
      <c r="K56" s="18" t="n">
        <v>1.08624404</v>
      </c>
      <c r="L56" s="20" t="n">
        <v>0.38371779</v>
      </c>
      <c r="M56" s="18" t="n">
        <v>0.08818964999999999</v>
      </c>
      <c r="N56" s="20" t="n">
        <v>0.08809005</v>
      </c>
      <c r="O56" s="18" t="n">
        <v>0</v>
      </c>
      <c r="P56" s="20" t="n">
        <v>0</v>
      </c>
      <c r="Q56" s="18" t="n">
        <v>7.53204519</v>
      </c>
      <c r="R56" s="20" t="n">
        <v>0.91585815</v>
      </c>
    </row>
    <row r="57" spans="1:18">
      <c r="A57" s="15" t="s">
        <v>480</v>
      </c>
      <c r="B57" s="17" t="n">
        <v>7267</v>
      </c>
      <c r="C57" s="18">
        <f>(6057.0/B57*100)</f>
        <v/>
      </c>
      <c r="D57" s="19" t="n">
        <v>1210</v>
      </c>
      <c r="E57" s="18" t="n">
        <v>38.3297756</v>
      </c>
      <c r="F57" s="20" t="n">
        <v>1.56376036</v>
      </c>
      <c r="G57" s="18" t="n">
        <v>37.1684525</v>
      </c>
      <c r="H57" s="20" t="n">
        <v>1.47072479</v>
      </c>
      <c r="I57" s="18" t="n">
        <v>0</v>
      </c>
      <c r="J57" s="20" t="n">
        <v>0</v>
      </c>
      <c r="K57" s="18" t="n">
        <v>2.59983873</v>
      </c>
      <c r="L57" s="20" t="n">
        <v>0.51258473</v>
      </c>
      <c r="M57" s="18" t="n">
        <v>0</v>
      </c>
      <c r="N57" s="20" t="n">
        <v>0</v>
      </c>
      <c r="O57" s="18" t="n">
        <v>0</v>
      </c>
      <c r="P57" s="20" t="n">
        <v>0</v>
      </c>
      <c r="Q57" s="18" t="n">
        <v>21.90193317</v>
      </c>
      <c r="R57" s="20" t="n">
        <v>1.47562231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53.74897679</v>
      </c>
      <c r="F59" s="20" t="n">
        <v>2.36985363</v>
      </c>
      <c r="G59" s="18" t="n">
        <v>23.75761826</v>
      </c>
      <c r="H59" s="20" t="n">
        <v>1.91434152</v>
      </c>
      <c r="I59" s="18" t="n">
        <v>0</v>
      </c>
      <c r="J59" s="20" t="n">
        <v>0</v>
      </c>
      <c r="K59" s="18" t="n">
        <v>0.6968599</v>
      </c>
      <c r="L59" s="20" t="n">
        <v>0.37858371</v>
      </c>
      <c r="M59" s="18" t="n">
        <v>0</v>
      </c>
      <c r="N59" s="20" t="n">
        <v>0</v>
      </c>
      <c r="O59" s="18" t="n">
        <v>0</v>
      </c>
      <c r="P59" s="20" t="n">
        <v>0</v>
      </c>
      <c r="Q59" s="18" t="n">
        <v>21.79654505</v>
      </c>
      <c r="R59" s="20" t="n">
        <v>1.56959565</v>
      </c>
    </row>
    <row r="60" spans="1:18">
      <c r="A60" s="15" t="s">
        <v>484</v>
      </c>
      <c r="B60" s="17" t="n">
        <v>4546</v>
      </c>
      <c r="C60" s="18">
        <f>(3779.0/B60*100)</f>
        <v/>
      </c>
      <c r="D60" s="19" t="n">
        <v>767</v>
      </c>
      <c r="E60" s="18" t="n">
        <v>44.1288202</v>
      </c>
      <c r="F60" s="20" t="n">
        <v>2.05632158</v>
      </c>
      <c r="G60" s="18" t="n">
        <v>14.73170108</v>
      </c>
      <c r="H60" s="20" t="n">
        <v>1.56967036</v>
      </c>
      <c r="I60" s="18" t="n">
        <v>0</v>
      </c>
      <c r="J60" s="20" t="n">
        <v>0</v>
      </c>
      <c r="K60" s="18" t="n">
        <v>3.4508072</v>
      </c>
      <c r="L60" s="20" t="n">
        <v>0.66667538</v>
      </c>
      <c r="M60" s="18" t="n">
        <v>0</v>
      </c>
      <c r="N60" s="20" t="n">
        <v>0</v>
      </c>
      <c r="O60" s="18" t="n">
        <v>0</v>
      </c>
      <c r="P60" s="20" t="n">
        <v>0</v>
      </c>
      <c r="Q60" s="18" t="n">
        <v>37.68867152</v>
      </c>
      <c r="R60" s="20" t="n">
        <v>1.94887732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39.78484895</v>
      </c>
      <c r="F63" s="20" t="n">
        <v>1.55873348</v>
      </c>
      <c r="G63" s="18" t="n">
        <v>21.83908829</v>
      </c>
      <c r="H63" s="20" t="n">
        <v>1.45955418</v>
      </c>
      <c r="I63" s="18" t="n">
        <v>0</v>
      </c>
      <c r="J63" s="20" t="n">
        <v>0</v>
      </c>
      <c r="K63" s="18" t="n">
        <v>2.74801131</v>
      </c>
      <c r="L63" s="20" t="n">
        <v>0.62219806</v>
      </c>
      <c r="M63" s="18" t="n">
        <v>0</v>
      </c>
      <c r="N63" s="20" t="n">
        <v>0</v>
      </c>
      <c r="O63" s="18" t="n">
        <v>0</v>
      </c>
      <c r="P63" s="20" t="n">
        <v>0</v>
      </c>
      <c r="Q63" s="18" t="n">
        <v>35.62805145</v>
      </c>
      <c r="R63" s="20" t="n">
        <v>1.79814209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44.59896026</v>
      </c>
      <c r="F65" s="20" t="n">
        <v>2.006416</v>
      </c>
      <c r="G65" s="18" t="n">
        <v>35.76188813</v>
      </c>
      <c r="H65" s="20" t="n">
        <v>2.07888879</v>
      </c>
      <c r="I65" s="18" t="n">
        <v>0</v>
      </c>
      <c r="J65" s="20" t="n">
        <v>0</v>
      </c>
      <c r="K65" s="18" t="n">
        <v>2.87635699</v>
      </c>
      <c r="L65" s="20" t="n">
        <v>0.74924323</v>
      </c>
      <c r="M65" s="18" t="n">
        <v>0</v>
      </c>
      <c r="N65" s="20" t="n">
        <v>0</v>
      </c>
      <c r="O65" s="18" t="n">
        <v>0</v>
      </c>
      <c r="P65" s="20" t="n">
        <v>0</v>
      </c>
      <c r="Q65" s="18" t="n">
        <v>16.76279461</v>
      </c>
      <c r="R65" s="20" t="n">
        <v>1.68920857</v>
      </c>
    </row>
    <row r="66" spans="1:18">
      <c r="A66" s="15" t="s">
        <v>490</v>
      </c>
      <c r="B66" s="17" t="n">
        <v>5325</v>
      </c>
      <c r="C66" s="18">
        <f>(4446.0/B66*100)</f>
        <v/>
      </c>
      <c r="D66" s="19" t="n">
        <v>879</v>
      </c>
      <c r="E66" s="18" t="n">
        <v>44.35558941</v>
      </c>
      <c r="F66" s="20" t="n">
        <v>1.94136357</v>
      </c>
      <c r="G66" s="18" t="n">
        <v>27.36758667</v>
      </c>
      <c r="H66" s="20" t="n">
        <v>1.72797841</v>
      </c>
      <c r="I66" s="18" t="n">
        <v>0</v>
      </c>
      <c r="J66" s="20" t="n">
        <v>0</v>
      </c>
      <c r="K66" s="18" t="n">
        <v>3.72566788</v>
      </c>
      <c r="L66" s="20" t="n">
        <v>0.77185276</v>
      </c>
      <c r="M66" s="18" t="n">
        <v>0</v>
      </c>
      <c r="N66" s="20" t="n">
        <v>0</v>
      </c>
      <c r="O66" s="18" t="n">
        <v>0</v>
      </c>
      <c r="P66" s="20" t="n">
        <v>0</v>
      </c>
      <c r="Q66" s="18" t="n">
        <v>24.55115604</v>
      </c>
      <c r="R66" s="20" t="n">
        <v>1.44167659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70.93502777</v>
      </c>
      <c r="F69" s="20" t="n">
        <v>3.20108499</v>
      </c>
      <c r="G69" s="18" t="n">
        <v>14.35235902</v>
      </c>
      <c r="H69" s="20" t="n">
        <v>2.35409189</v>
      </c>
      <c r="I69" s="18" t="n">
        <v>0</v>
      </c>
      <c r="J69" s="20" t="n">
        <v>0</v>
      </c>
      <c r="K69" s="18" t="n">
        <v>0.32672538</v>
      </c>
      <c r="L69" s="20" t="n">
        <v>0.34136169</v>
      </c>
      <c r="M69" s="18" t="n">
        <v>0</v>
      </c>
      <c r="N69" s="20" t="n">
        <v>0</v>
      </c>
      <c r="O69" s="18" t="n">
        <v>0</v>
      </c>
      <c r="P69" s="20" t="n">
        <v>0</v>
      </c>
      <c r="Q69" s="18" t="n">
        <v>14.38588783</v>
      </c>
      <c r="R69" s="20" t="n">
        <v>2.65941406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63.36720423</v>
      </c>
      <c r="F71" s="20" t="n">
        <v>2.22358223</v>
      </c>
      <c r="G71" s="18" t="n">
        <v>34.93147098</v>
      </c>
      <c r="H71" s="20" t="n">
        <v>2.27884892</v>
      </c>
      <c r="I71" s="18" t="n">
        <v>0</v>
      </c>
      <c r="J71" s="20" t="n">
        <v>0</v>
      </c>
      <c r="K71" s="18" t="n">
        <v>0</v>
      </c>
      <c r="L71" s="20" t="n">
        <v>0</v>
      </c>
      <c r="M71" s="18" t="n">
        <v>0</v>
      </c>
      <c r="N71" s="20" t="n">
        <v>0</v>
      </c>
      <c r="O71" s="18" t="n">
        <v>0</v>
      </c>
      <c r="P71" s="20" t="n">
        <v>0</v>
      </c>
      <c r="Q71" s="18" t="n">
        <v>1.7013248</v>
      </c>
      <c r="R71" s="20" t="n">
        <v>0.51690545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43.04895904</v>
      </c>
      <c r="F76" s="20" t="n">
        <v>2.02330045</v>
      </c>
      <c r="G76" s="18" t="n">
        <v>32.24266968</v>
      </c>
      <c r="H76" s="20" t="n">
        <v>1.59766052</v>
      </c>
      <c r="I76" s="18" t="n">
        <v>0</v>
      </c>
      <c r="J76" s="20" t="n">
        <v>0</v>
      </c>
      <c r="K76" s="18" t="n">
        <v>4.99616777</v>
      </c>
      <c r="L76" s="20" t="n">
        <v>0.83214725</v>
      </c>
      <c r="M76" s="18" t="n">
        <v>0</v>
      </c>
      <c r="N76" s="20" t="n">
        <v>0</v>
      </c>
      <c r="O76" s="18" t="n">
        <v>0</v>
      </c>
      <c r="P76" s="20" t="n">
        <v>0</v>
      </c>
      <c r="Q76" s="18" t="n">
        <v>19.71220352</v>
      </c>
      <c r="R76" s="20" t="n">
        <v>1.59547936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56.73465686</v>
      </c>
      <c r="F80" s="20" t="n">
        <v>1.84836687</v>
      </c>
      <c r="G80" s="18" t="n">
        <v>42.25243641</v>
      </c>
      <c r="H80" s="20" t="n">
        <v>1.89134011</v>
      </c>
      <c r="I80" s="18" t="n">
        <v>0</v>
      </c>
      <c r="J80" s="20" t="n">
        <v>0</v>
      </c>
      <c r="K80" s="18" t="n">
        <v>0</v>
      </c>
      <c r="L80" s="20" t="n">
        <v>0</v>
      </c>
      <c r="M80" s="18" t="n">
        <v>0</v>
      </c>
      <c r="N80" s="20" t="n">
        <v>0</v>
      </c>
      <c r="O80" s="18" t="n">
        <v>0</v>
      </c>
      <c r="P80" s="20" t="n">
        <v>0</v>
      </c>
      <c r="Q80" s="18" t="n">
        <v>1.01290673</v>
      </c>
      <c r="R80" s="20" t="n">
        <v>0.32097032</v>
      </c>
    </row>
    <row r="81" spans="1:18">
      <c r="A81" s="15" t="s">
        <v>505</v>
      </c>
      <c r="B81" s="17" t="n">
        <v>1657</v>
      </c>
      <c r="C81" s="18">
        <f>(1379.0/B81*100)</f>
        <v/>
      </c>
      <c r="D81" s="19" t="n">
        <v>278</v>
      </c>
      <c r="E81" s="18" t="n">
        <v>46.47334154</v>
      </c>
      <c r="F81" s="20" t="n">
        <v>3.33709473</v>
      </c>
      <c r="G81" s="18" t="n">
        <v>28.47180509</v>
      </c>
      <c r="H81" s="20" t="n">
        <v>2.30463163</v>
      </c>
      <c r="I81" s="18" t="n">
        <v>0</v>
      </c>
      <c r="J81" s="20" t="n">
        <v>0</v>
      </c>
      <c r="K81" s="18" t="n">
        <v>3.19610178</v>
      </c>
      <c r="L81" s="20" t="n">
        <v>0.7647507</v>
      </c>
      <c r="M81" s="18" t="n">
        <v>0</v>
      </c>
      <c r="N81" s="20" t="n">
        <v>0</v>
      </c>
      <c r="O81" s="18" t="n">
        <v>0</v>
      </c>
      <c r="P81" s="20" t="n">
        <v>0</v>
      </c>
      <c r="Q81" s="18" t="n">
        <v>21.85875159</v>
      </c>
      <c r="R81" s="20" t="n">
        <v>2.80776418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80.56426876</v>
      </c>
      <c r="F44" s="20" t="n">
        <v>1.61140804</v>
      </c>
      <c r="G44" s="18" t="n">
        <v>8.01208029</v>
      </c>
      <c r="H44" s="20" t="n">
        <v>1.02724335</v>
      </c>
      <c r="I44" s="18" t="n">
        <v>0</v>
      </c>
      <c r="J44" s="20" t="n">
        <v>0</v>
      </c>
      <c r="K44" s="18" t="n">
        <v>3.81963884</v>
      </c>
      <c r="L44" s="20" t="n">
        <v>0.72907187</v>
      </c>
      <c r="M44" s="18" t="n">
        <v>0</v>
      </c>
      <c r="N44" s="20" t="n">
        <v>0</v>
      </c>
      <c r="O44" s="18" t="n">
        <v>0</v>
      </c>
      <c r="P44" s="20" t="n">
        <v>0</v>
      </c>
      <c r="Q44" s="18" t="n">
        <v>7.60401211</v>
      </c>
      <c r="R44" s="20" t="n">
        <v>1.08531876</v>
      </c>
    </row>
    <row r="45" spans="1:18">
      <c r="A45" s="15" t="s">
        <v>468</v>
      </c>
      <c r="B45" s="17" t="n">
        <v>5519</v>
      </c>
      <c r="C45" s="18">
        <f>(4581.0/B45*100)</f>
        <v/>
      </c>
      <c r="D45" s="19" t="n">
        <v>938</v>
      </c>
      <c r="E45" s="18" t="n">
        <v>77.84270234</v>
      </c>
      <c r="F45" s="20" t="n">
        <v>1.72870339</v>
      </c>
      <c r="G45" s="18" t="n">
        <v>7.6319733</v>
      </c>
      <c r="H45" s="20" t="n">
        <v>0.81652178</v>
      </c>
      <c r="I45" s="18" t="n">
        <v>0</v>
      </c>
      <c r="J45" s="20" t="n">
        <v>0</v>
      </c>
      <c r="K45" s="18" t="n">
        <v>5.74045872</v>
      </c>
      <c r="L45" s="20" t="n">
        <v>0.66996638</v>
      </c>
      <c r="M45" s="18" t="n">
        <v>0.19169883</v>
      </c>
      <c r="N45" s="20" t="n">
        <v>0.12146309</v>
      </c>
      <c r="O45" s="18" t="n">
        <v>0.10852706</v>
      </c>
      <c r="P45" s="20" t="n">
        <v>0.09630247</v>
      </c>
      <c r="Q45" s="18" t="n">
        <v>8.484639749999999</v>
      </c>
      <c r="R45" s="20" t="n">
        <v>1.39093547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80.97564346999999</v>
      </c>
      <c r="F54" s="20" t="n">
        <v>1.36888486</v>
      </c>
      <c r="G54" s="18" t="n">
        <v>11.92808366</v>
      </c>
      <c r="H54" s="20" t="n">
        <v>1.14011664</v>
      </c>
      <c r="I54" s="18" t="n">
        <v>0</v>
      </c>
      <c r="J54" s="20" t="n">
        <v>0</v>
      </c>
      <c r="K54" s="18" t="n">
        <v>2.09676162</v>
      </c>
      <c r="L54" s="20" t="n">
        <v>0.51001128</v>
      </c>
      <c r="M54" s="18" t="n">
        <v>0</v>
      </c>
      <c r="N54" s="20" t="n">
        <v>0</v>
      </c>
      <c r="O54" s="18" t="n">
        <v>0</v>
      </c>
      <c r="P54" s="20" t="n">
        <v>0</v>
      </c>
      <c r="Q54" s="18" t="n">
        <v>4.99951124</v>
      </c>
      <c r="R54" s="20" t="n">
        <v>0.76820628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91.05717249</v>
      </c>
      <c r="F56" s="20" t="n">
        <v>0.99490944</v>
      </c>
      <c r="G56" s="18" t="n">
        <v>5.71074343</v>
      </c>
      <c r="H56" s="20" t="n">
        <v>0.7545759399999999</v>
      </c>
      <c r="I56" s="18" t="n">
        <v>0</v>
      </c>
      <c r="J56" s="20" t="n">
        <v>0</v>
      </c>
      <c r="K56" s="18" t="n">
        <v>1.43095344</v>
      </c>
      <c r="L56" s="20" t="n">
        <v>0.43423002</v>
      </c>
      <c r="M56" s="18" t="n">
        <v>0.08818964999999999</v>
      </c>
      <c r="N56" s="20" t="n">
        <v>0.08809005</v>
      </c>
      <c r="O56" s="18" t="n">
        <v>0</v>
      </c>
      <c r="P56" s="20" t="n">
        <v>0</v>
      </c>
      <c r="Q56" s="18" t="n">
        <v>1.712941</v>
      </c>
      <c r="R56" s="20" t="n">
        <v>0.39336213</v>
      </c>
    </row>
    <row r="57" spans="1:18">
      <c r="A57" s="15" t="s">
        <v>480</v>
      </c>
      <c r="B57" s="17" t="n">
        <v>7267</v>
      </c>
      <c r="C57" s="18">
        <f>(6057.0/B57*100)</f>
        <v/>
      </c>
      <c r="D57" s="19" t="n">
        <v>1210</v>
      </c>
      <c r="E57" s="18" t="n">
        <v>85.01623920999999</v>
      </c>
      <c r="F57" s="20" t="n">
        <v>1.29493097</v>
      </c>
      <c r="G57" s="18" t="n">
        <v>9.77491946</v>
      </c>
      <c r="H57" s="20" t="n">
        <v>1.08975885</v>
      </c>
      <c r="I57" s="18" t="n">
        <v>0</v>
      </c>
      <c r="J57" s="20" t="n">
        <v>0</v>
      </c>
      <c r="K57" s="18" t="n">
        <v>2.60890783</v>
      </c>
      <c r="L57" s="20" t="n">
        <v>0.51278846</v>
      </c>
      <c r="M57" s="18" t="n">
        <v>0</v>
      </c>
      <c r="N57" s="20" t="n">
        <v>0</v>
      </c>
      <c r="O57" s="18" t="n">
        <v>0.14497905</v>
      </c>
      <c r="P57" s="20" t="n">
        <v>0.14384452</v>
      </c>
      <c r="Q57" s="18" t="n">
        <v>2.45495446</v>
      </c>
      <c r="R57" s="20" t="n">
        <v>0.52005952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89.26860186</v>
      </c>
      <c r="F59" s="20" t="n">
        <v>1.14296497</v>
      </c>
      <c r="G59" s="18" t="n">
        <v>6.38691726</v>
      </c>
      <c r="H59" s="20" t="n">
        <v>0.89672429</v>
      </c>
      <c r="I59" s="18" t="n">
        <v>0</v>
      </c>
      <c r="J59" s="20" t="n">
        <v>0</v>
      </c>
      <c r="K59" s="18" t="n">
        <v>0.6968599</v>
      </c>
      <c r="L59" s="20" t="n">
        <v>0.37858371</v>
      </c>
      <c r="M59" s="18" t="n">
        <v>0</v>
      </c>
      <c r="N59" s="20" t="n">
        <v>0</v>
      </c>
      <c r="O59" s="18" t="n">
        <v>0</v>
      </c>
      <c r="P59" s="20" t="n">
        <v>0</v>
      </c>
      <c r="Q59" s="18" t="n">
        <v>3.64762098</v>
      </c>
      <c r="R59" s="20" t="n">
        <v>0.7952555100000001</v>
      </c>
    </row>
    <row r="60" spans="1:18">
      <c r="A60" s="15" t="s">
        <v>484</v>
      </c>
      <c r="B60" s="17" t="n">
        <v>4546</v>
      </c>
      <c r="C60" s="18">
        <f>(3779.0/B60*100)</f>
        <v/>
      </c>
      <c r="D60" s="19" t="n">
        <v>767</v>
      </c>
      <c r="E60" s="18" t="n">
        <v>81.41283427</v>
      </c>
      <c r="F60" s="20" t="n">
        <v>1.54355837</v>
      </c>
      <c r="G60" s="18" t="n">
        <v>6.43574335</v>
      </c>
      <c r="H60" s="20" t="n">
        <v>0.98028483</v>
      </c>
      <c r="I60" s="18" t="n">
        <v>0</v>
      </c>
      <c r="J60" s="20" t="n">
        <v>0</v>
      </c>
      <c r="K60" s="18" t="n">
        <v>4.12081704</v>
      </c>
      <c r="L60" s="20" t="n">
        <v>0.70482118</v>
      </c>
      <c r="M60" s="18" t="n">
        <v>0</v>
      </c>
      <c r="N60" s="20" t="n">
        <v>0</v>
      </c>
      <c r="O60" s="18" t="n">
        <v>0</v>
      </c>
      <c r="P60" s="20" t="n">
        <v>0</v>
      </c>
      <c r="Q60" s="18" t="n">
        <v>8.03060535</v>
      </c>
      <c r="R60" s="20" t="n">
        <v>1.15395223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84.78161471</v>
      </c>
      <c r="F63" s="20" t="n">
        <v>1.49080939</v>
      </c>
      <c r="G63" s="18" t="n">
        <v>6.43540161</v>
      </c>
      <c r="H63" s="20" t="n">
        <v>1.03808145</v>
      </c>
      <c r="I63" s="18" t="n">
        <v>0</v>
      </c>
      <c r="J63" s="20" t="n">
        <v>0</v>
      </c>
      <c r="K63" s="18" t="n">
        <v>2.78871711</v>
      </c>
      <c r="L63" s="20" t="n">
        <v>0.62215555</v>
      </c>
      <c r="M63" s="18" t="n">
        <v>0</v>
      </c>
      <c r="N63" s="20" t="n">
        <v>0</v>
      </c>
      <c r="O63" s="18" t="n">
        <v>0.12039833</v>
      </c>
      <c r="P63" s="20" t="n">
        <v>0.12199626</v>
      </c>
      <c r="Q63" s="18" t="n">
        <v>5.87386824</v>
      </c>
      <c r="R63" s="20" t="n">
        <v>0.86065926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81.84366089</v>
      </c>
      <c r="F65" s="20" t="n">
        <v>1.54670599</v>
      </c>
      <c r="G65" s="18" t="n">
        <v>11.52713007</v>
      </c>
      <c r="H65" s="20" t="n">
        <v>1.24741625</v>
      </c>
      <c r="I65" s="18" t="n">
        <v>0</v>
      </c>
      <c r="J65" s="20" t="n">
        <v>0</v>
      </c>
      <c r="K65" s="18" t="n">
        <v>3.09118757</v>
      </c>
      <c r="L65" s="20" t="n">
        <v>0.7750647000000001</v>
      </c>
      <c r="M65" s="18" t="n">
        <v>0</v>
      </c>
      <c r="N65" s="20" t="n">
        <v>0</v>
      </c>
      <c r="O65" s="18" t="n">
        <v>0</v>
      </c>
      <c r="P65" s="20" t="n">
        <v>0</v>
      </c>
      <c r="Q65" s="18" t="n">
        <v>3.53802147</v>
      </c>
      <c r="R65" s="20" t="n">
        <v>0.89115563</v>
      </c>
    </row>
    <row r="66" spans="1:18">
      <c r="A66" s="15" t="s">
        <v>490</v>
      </c>
      <c r="B66" s="17" t="n">
        <v>5325</v>
      </c>
      <c r="C66" s="18">
        <f>(4446.0/B66*100)</f>
        <v/>
      </c>
      <c r="D66" s="19" t="n">
        <v>879</v>
      </c>
      <c r="E66" s="18" t="n">
        <v>85.44201809</v>
      </c>
      <c r="F66" s="20" t="n">
        <v>1.23627337</v>
      </c>
      <c r="G66" s="18" t="n">
        <v>6.51641319</v>
      </c>
      <c r="H66" s="20" t="n">
        <v>0.89573247</v>
      </c>
      <c r="I66" s="18" t="n">
        <v>0</v>
      </c>
      <c r="J66" s="20" t="n">
        <v>0</v>
      </c>
      <c r="K66" s="18" t="n">
        <v>4.32178141</v>
      </c>
      <c r="L66" s="20" t="n">
        <v>0.81212471</v>
      </c>
      <c r="M66" s="18" t="n">
        <v>0</v>
      </c>
      <c r="N66" s="20" t="n">
        <v>0</v>
      </c>
      <c r="O66" s="18" t="n">
        <v>0</v>
      </c>
      <c r="P66" s="20" t="n">
        <v>0</v>
      </c>
      <c r="Q66" s="18" t="n">
        <v>3.71978731</v>
      </c>
      <c r="R66" s="20" t="n">
        <v>0.67145949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91.34946039</v>
      </c>
      <c r="F69" s="20" t="n">
        <v>2.11471116</v>
      </c>
      <c r="G69" s="18" t="n">
        <v>6.83284916</v>
      </c>
      <c r="H69" s="20" t="n">
        <v>1.81010195</v>
      </c>
      <c r="I69" s="18" t="n">
        <v>0</v>
      </c>
      <c r="J69" s="20" t="n">
        <v>0</v>
      </c>
      <c r="K69" s="18" t="n">
        <v>0.85583227</v>
      </c>
      <c r="L69" s="20" t="n">
        <v>0.60588964</v>
      </c>
      <c r="M69" s="18" t="n">
        <v>0</v>
      </c>
      <c r="N69" s="20" t="n">
        <v>0</v>
      </c>
      <c r="O69" s="18" t="n">
        <v>0</v>
      </c>
      <c r="P69" s="20" t="n">
        <v>0</v>
      </c>
      <c r="Q69" s="18" t="n">
        <v>0.96185818</v>
      </c>
      <c r="R69" s="20" t="n">
        <v>0.72968719</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94.19342764</v>
      </c>
      <c r="F71" s="20" t="n">
        <v>0.8247467000000001</v>
      </c>
      <c r="G71" s="18" t="n">
        <v>5.80657236</v>
      </c>
      <c r="H71" s="20" t="n">
        <v>0.8247467000000001</v>
      </c>
      <c r="I71" s="18" t="n">
        <v>0</v>
      </c>
      <c r="J71" s="20" t="n">
        <v>0</v>
      </c>
      <c r="K71" s="18" t="n">
        <v>0</v>
      </c>
      <c r="L71" s="20" t="n">
        <v>0</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80.60027633</v>
      </c>
      <c r="F76" s="20" t="n">
        <v>1.51334327</v>
      </c>
      <c r="G76" s="18" t="n">
        <v>7.76798651</v>
      </c>
      <c r="H76" s="20" t="n">
        <v>1.06177709</v>
      </c>
      <c r="I76" s="18" t="n">
        <v>0</v>
      </c>
      <c r="J76" s="20" t="n">
        <v>0</v>
      </c>
      <c r="K76" s="18" t="n">
        <v>5.08414543</v>
      </c>
      <c r="L76" s="20" t="n">
        <v>0.83895766</v>
      </c>
      <c r="M76" s="18" t="n">
        <v>0</v>
      </c>
      <c r="N76" s="20" t="n">
        <v>0</v>
      </c>
      <c r="O76" s="18" t="n">
        <v>0</v>
      </c>
      <c r="P76" s="20" t="n">
        <v>0</v>
      </c>
      <c r="Q76" s="18" t="n">
        <v>6.54759173</v>
      </c>
      <c r="R76" s="20" t="n">
        <v>0.94652101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44.66806025</v>
      </c>
      <c r="F80" s="20" t="n">
        <v>1.94687037</v>
      </c>
      <c r="G80" s="18" t="n">
        <v>55.33193975</v>
      </c>
      <c r="H80" s="20" t="n">
        <v>1.94687037</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(1379.0/B81*100)</f>
        <v/>
      </c>
      <c r="D81" s="19" t="n">
        <v>278</v>
      </c>
      <c r="E81" s="18" t="n">
        <v>78.86736122000001</v>
      </c>
      <c r="F81" s="20" t="n">
        <v>2.22128925</v>
      </c>
      <c r="G81" s="18" t="n">
        <v>13.33824362</v>
      </c>
      <c r="H81" s="20" t="n">
        <v>2.14807684</v>
      </c>
      <c r="I81" s="18" t="n">
        <v>0</v>
      </c>
      <c r="J81" s="20" t="n">
        <v>0</v>
      </c>
      <c r="K81" s="18" t="n">
        <v>3.19610178</v>
      </c>
      <c r="L81" s="20" t="n">
        <v>0.7647507</v>
      </c>
      <c r="M81" s="18" t="n">
        <v>0</v>
      </c>
      <c r="N81" s="20" t="n">
        <v>0</v>
      </c>
      <c r="O81" s="18" t="n">
        <v>0</v>
      </c>
      <c r="P81" s="20" t="n">
        <v>0</v>
      </c>
      <c r="Q81" s="18" t="n">
        <v>4.59829337</v>
      </c>
      <c r="R81" s="20" t="n">
        <v>1.19653871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15.07039058</v>
      </c>
      <c r="F44" s="20" t="n">
        <v>1.46031107</v>
      </c>
      <c r="G44" s="18" t="n">
        <v>55.56595534</v>
      </c>
      <c r="H44" s="20" t="n">
        <v>1.78147835</v>
      </c>
      <c r="I44" s="18" t="n">
        <v>0</v>
      </c>
      <c r="J44" s="20" t="n">
        <v>0</v>
      </c>
      <c r="K44" s="18" t="n">
        <v>5.47302167</v>
      </c>
      <c r="L44" s="20" t="n">
        <v>0.9490067599999999</v>
      </c>
      <c r="M44" s="18" t="n">
        <v>0</v>
      </c>
      <c r="N44" s="20" t="n">
        <v>0</v>
      </c>
      <c r="O44" s="18" t="n">
        <v>0</v>
      </c>
      <c r="P44" s="20" t="n">
        <v>0</v>
      </c>
      <c r="Q44" s="18" t="n">
        <v>23.89063242</v>
      </c>
      <c r="R44" s="20" t="n">
        <v>1.65758101</v>
      </c>
    </row>
    <row r="45" spans="1:18">
      <c r="A45" s="15" t="s">
        <v>468</v>
      </c>
      <c r="B45" s="17" t="n">
        <v>5519</v>
      </c>
      <c r="C45" s="18">
        <f>(4581.0/B45*100)</f>
        <v/>
      </c>
      <c r="D45" s="19" t="n">
        <v>938</v>
      </c>
      <c r="E45" s="18" t="n">
        <v>43.1444316</v>
      </c>
      <c r="F45" s="20" t="n">
        <v>1.81322182</v>
      </c>
      <c r="G45" s="18" t="n">
        <v>29.27191147</v>
      </c>
      <c r="H45" s="20" t="n">
        <v>1.75884462</v>
      </c>
      <c r="I45" s="18" t="n">
        <v>0</v>
      </c>
      <c r="J45" s="20" t="n">
        <v>0</v>
      </c>
      <c r="K45" s="18" t="n">
        <v>6.27798943</v>
      </c>
      <c r="L45" s="20" t="n">
        <v>0.71103401</v>
      </c>
      <c r="M45" s="18" t="n">
        <v>0.91335102</v>
      </c>
      <c r="N45" s="20" t="n">
        <v>0.32730896</v>
      </c>
      <c r="O45" s="18" t="n">
        <v>0.10852706</v>
      </c>
      <c r="P45" s="20" t="n">
        <v>0.09630247</v>
      </c>
      <c r="Q45" s="18" t="n">
        <v>20.28378942</v>
      </c>
      <c r="R45" s="20" t="n">
        <v>1.55675618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23.59548152</v>
      </c>
      <c r="F54" s="20" t="n">
        <v>1.56844382</v>
      </c>
      <c r="G54" s="18" t="n">
        <v>50.49800338</v>
      </c>
      <c r="H54" s="20" t="n">
        <v>1.74357745</v>
      </c>
      <c r="I54" s="18" t="n">
        <v>0</v>
      </c>
      <c r="J54" s="20" t="n">
        <v>0</v>
      </c>
      <c r="K54" s="18" t="n">
        <v>2.85980923</v>
      </c>
      <c r="L54" s="20" t="n">
        <v>0.5579677</v>
      </c>
      <c r="M54" s="18" t="n">
        <v>0</v>
      </c>
      <c r="N54" s="20" t="n">
        <v>0</v>
      </c>
      <c r="O54" s="18" t="n">
        <v>0.29150013</v>
      </c>
      <c r="P54" s="20" t="n">
        <v>0.16784252</v>
      </c>
      <c r="Q54" s="18" t="n">
        <v>22.75520574</v>
      </c>
      <c r="R54" s="20" t="n">
        <v>1.54110987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38.98533933</v>
      </c>
      <c r="F56" s="20" t="n">
        <v>2.14082092</v>
      </c>
      <c r="G56" s="18" t="n">
        <v>53.92801338</v>
      </c>
      <c r="H56" s="20" t="n">
        <v>2.00282183</v>
      </c>
      <c r="I56" s="18" t="n">
        <v>0</v>
      </c>
      <c r="J56" s="20" t="n">
        <v>0</v>
      </c>
      <c r="K56" s="18" t="n">
        <v>1.80439885</v>
      </c>
      <c r="L56" s="20" t="n">
        <v>0.45391093</v>
      </c>
      <c r="M56" s="18" t="n">
        <v>0.08818964999999999</v>
      </c>
      <c r="N56" s="20" t="n">
        <v>0.08809005</v>
      </c>
      <c r="O56" s="18" t="n">
        <v>0</v>
      </c>
      <c r="P56" s="20" t="n">
        <v>0</v>
      </c>
      <c r="Q56" s="18" t="n">
        <v>5.1940588</v>
      </c>
      <c r="R56" s="20" t="n">
        <v>0.59774117</v>
      </c>
    </row>
    <row r="57" spans="1:18">
      <c r="A57" s="15" t="s">
        <v>480</v>
      </c>
      <c r="B57" s="17" t="n">
        <v>7267</v>
      </c>
      <c r="C57" s="18">
        <f>(6057.0/B57*100)</f>
        <v/>
      </c>
      <c r="D57" s="19" t="n">
        <v>1210</v>
      </c>
      <c r="E57" s="18" t="n">
        <v>29.20931608</v>
      </c>
      <c r="F57" s="20" t="n">
        <v>1.62037539</v>
      </c>
      <c r="G57" s="18" t="n">
        <v>51.2732959</v>
      </c>
      <c r="H57" s="20" t="n">
        <v>1.72564718</v>
      </c>
      <c r="I57" s="18" t="n">
        <v>0</v>
      </c>
      <c r="J57" s="20" t="n">
        <v>0</v>
      </c>
      <c r="K57" s="18" t="n">
        <v>3.98709101</v>
      </c>
      <c r="L57" s="20" t="n">
        <v>0.62017046</v>
      </c>
      <c r="M57" s="18" t="n">
        <v>0</v>
      </c>
      <c r="N57" s="20" t="n">
        <v>0</v>
      </c>
      <c r="O57" s="18" t="n">
        <v>0</v>
      </c>
      <c r="P57" s="20" t="n">
        <v>0</v>
      </c>
      <c r="Q57" s="18" t="n">
        <v>15.53029702</v>
      </c>
      <c r="R57" s="20" t="n">
        <v>1.22104829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25.35909753</v>
      </c>
      <c r="F59" s="20" t="n">
        <v>1.97336838</v>
      </c>
      <c r="G59" s="18" t="n">
        <v>47.90039071</v>
      </c>
      <c r="H59" s="20" t="n">
        <v>2.30745242</v>
      </c>
      <c r="I59" s="18" t="n">
        <v>0</v>
      </c>
      <c r="J59" s="20" t="n">
        <v>0</v>
      </c>
      <c r="K59" s="18" t="n">
        <v>1.29571617</v>
      </c>
      <c r="L59" s="20" t="n">
        <v>0.49855401</v>
      </c>
      <c r="M59" s="18" t="n">
        <v>0</v>
      </c>
      <c r="N59" s="20" t="n">
        <v>0</v>
      </c>
      <c r="O59" s="18" t="n">
        <v>0</v>
      </c>
      <c r="P59" s="20" t="n">
        <v>0</v>
      </c>
      <c r="Q59" s="18" t="n">
        <v>25.44479559</v>
      </c>
      <c r="R59" s="20" t="n">
        <v>1.78276007</v>
      </c>
    </row>
    <row r="60" spans="1:18">
      <c r="A60" s="15" t="s">
        <v>484</v>
      </c>
      <c r="B60" s="17" t="n">
        <v>4546</v>
      </c>
      <c r="C60" s="18">
        <f>(3779.0/B60*100)</f>
        <v/>
      </c>
      <c r="D60" s="19" t="n">
        <v>767</v>
      </c>
      <c r="E60" s="18" t="n">
        <v>23.03343122</v>
      </c>
      <c r="F60" s="20" t="n">
        <v>1.64054203</v>
      </c>
      <c r="G60" s="18" t="n">
        <v>37.86186672</v>
      </c>
      <c r="H60" s="20" t="n">
        <v>2.37307308</v>
      </c>
      <c r="I60" s="18" t="n">
        <v>0</v>
      </c>
      <c r="J60" s="20" t="n">
        <v>0</v>
      </c>
      <c r="K60" s="18" t="n">
        <v>5.96517666</v>
      </c>
      <c r="L60" s="20" t="n">
        <v>0.85380217</v>
      </c>
      <c r="M60" s="18" t="n">
        <v>0</v>
      </c>
      <c r="N60" s="20" t="n">
        <v>0</v>
      </c>
      <c r="O60" s="18" t="n">
        <v>0</v>
      </c>
      <c r="P60" s="20" t="n">
        <v>0</v>
      </c>
      <c r="Q60" s="18" t="n">
        <v>33.13952541</v>
      </c>
      <c r="R60" s="20" t="n">
        <v>2.30056089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18.5689789</v>
      </c>
      <c r="F63" s="20" t="n">
        <v>1.46947222</v>
      </c>
      <c r="G63" s="18" t="n">
        <v>40.06021507</v>
      </c>
      <c r="H63" s="20" t="n">
        <v>1.94995597</v>
      </c>
      <c r="I63" s="18" t="n">
        <v>0</v>
      </c>
      <c r="J63" s="20" t="n">
        <v>0</v>
      </c>
      <c r="K63" s="18" t="n">
        <v>3.94858558</v>
      </c>
      <c r="L63" s="20" t="n">
        <v>0.66683484</v>
      </c>
      <c r="M63" s="18" t="n">
        <v>0</v>
      </c>
      <c r="N63" s="20" t="n">
        <v>0</v>
      </c>
      <c r="O63" s="18" t="n">
        <v>0</v>
      </c>
      <c r="P63" s="20" t="n">
        <v>0</v>
      </c>
      <c r="Q63" s="18" t="n">
        <v>37.42222044</v>
      </c>
      <c r="R63" s="20" t="n">
        <v>1.91252091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13.96789681</v>
      </c>
      <c r="F65" s="20" t="n">
        <v>1.32121512</v>
      </c>
      <c r="G65" s="18" t="n">
        <v>69.58250056999999</v>
      </c>
      <c r="H65" s="20" t="n">
        <v>2.00547021</v>
      </c>
      <c r="I65" s="18" t="n">
        <v>0</v>
      </c>
      <c r="J65" s="20" t="n">
        <v>0</v>
      </c>
      <c r="K65" s="18" t="n">
        <v>4.13591971</v>
      </c>
      <c r="L65" s="20" t="n">
        <v>0.8900360899999999</v>
      </c>
      <c r="M65" s="18" t="n">
        <v>0</v>
      </c>
      <c r="N65" s="20" t="n">
        <v>0</v>
      </c>
      <c r="O65" s="18" t="n">
        <v>0</v>
      </c>
      <c r="P65" s="20" t="n">
        <v>0</v>
      </c>
      <c r="Q65" s="18" t="n">
        <v>12.31368291</v>
      </c>
      <c r="R65" s="20" t="n">
        <v>1.56133821</v>
      </c>
    </row>
    <row r="66" spans="1:18">
      <c r="A66" s="15" t="s">
        <v>490</v>
      </c>
      <c r="B66" s="17" t="n">
        <v>5325</v>
      </c>
      <c r="C66" s="18">
        <f>(4446.0/B66*100)</f>
        <v/>
      </c>
      <c r="D66" s="19" t="n">
        <v>879</v>
      </c>
      <c r="E66" s="18" t="n">
        <v>22.16162044</v>
      </c>
      <c r="F66" s="20" t="n">
        <v>1.27415668</v>
      </c>
      <c r="G66" s="18" t="n">
        <v>56.63455542</v>
      </c>
      <c r="H66" s="20" t="n">
        <v>1.63930555</v>
      </c>
      <c r="I66" s="18" t="n">
        <v>0</v>
      </c>
      <c r="J66" s="20" t="n">
        <v>0</v>
      </c>
      <c r="K66" s="18" t="n">
        <v>5.09410389</v>
      </c>
      <c r="L66" s="20" t="n">
        <v>0.78250338</v>
      </c>
      <c r="M66" s="18" t="n">
        <v>0.09292815</v>
      </c>
      <c r="N66" s="20" t="n">
        <v>0.06563432</v>
      </c>
      <c r="O66" s="18" t="n">
        <v>0</v>
      </c>
      <c r="P66" s="20" t="n">
        <v>0</v>
      </c>
      <c r="Q66" s="18" t="n">
        <v>16.01679209</v>
      </c>
      <c r="R66" s="20" t="n">
        <v>1.36095642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23.27055669</v>
      </c>
      <c r="F69" s="20" t="n">
        <v>2.8490066</v>
      </c>
      <c r="G69" s="18" t="n">
        <v>62.68595907</v>
      </c>
      <c r="H69" s="20" t="n">
        <v>2.81340785</v>
      </c>
      <c r="I69" s="18" t="n">
        <v>0</v>
      </c>
      <c r="J69" s="20" t="n">
        <v>0</v>
      </c>
      <c r="K69" s="18" t="n">
        <v>0.85583227</v>
      </c>
      <c r="L69" s="20" t="n">
        <v>0.60588964</v>
      </c>
      <c r="M69" s="18" t="n">
        <v>0</v>
      </c>
      <c r="N69" s="20" t="n">
        <v>0</v>
      </c>
      <c r="O69" s="18" t="n">
        <v>0</v>
      </c>
      <c r="P69" s="20" t="n">
        <v>0</v>
      </c>
      <c r="Q69" s="18" t="n">
        <v>13.18765197</v>
      </c>
      <c r="R69" s="20" t="n">
        <v>2.37274013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27.82094007</v>
      </c>
      <c r="F71" s="20" t="n">
        <v>1.82709894</v>
      </c>
      <c r="G71" s="18" t="n">
        <v>69.04705934</v>
      </c>
      <c r="H71" s="20" t="n">
        <v>2.04564215</v>
      </c>
      <c r="I71" s="18" t="n">
        <v>0</v>
      </c>
      <c r="J71" s="20" t="n">
        <v>0</v>
      </c>
      <c r="K71" s="18" t="n">
        <v>0</v>
      </c>
      <c r="L71" s="20" t="n">
        <v>0</v>
      </c>
      <c r="M71" s="18" t="n">
        <v>0</v>
      </c>
      <c r="N71" s="20" t="n">
        <v>0</v>
      </c>
      <c r="O71" s="18" t="n">
        <v>0</v>
      </c>
      <c r="P71" s="20" t="n">
        <v>0</v>
      </c>
      <c r="Q71" s="18" t="n">
        <v>3.13200059</v>
      </c>
      <c r="R71" s="20" t="n">
        <v>0.62519558</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15.51163705</v>
      </c>
      <c r="F76" s="20" t="n">
        <v>1.37456021</v>
      </c>
      <c r="G76" s="18" t="n">
        <v>61.04032699</v>
      </c>
      <c r="H76" s="20" t="n">
        <v>1.76279373</v>
      </c>
      <c r="I76" s="18" t="n">
        <v>0</v>
      </c>
      <c r="J76" s="20" t="n">
        <v>0</v>
      </c>
      <c r="K76" s="18" t="n">
        <v>6.78834087</v>
      </c>
      <c r="L76" s="20" t="n">
        <v>0.92695938</v>
      </c>
      <c r="M76" s="18" t="n">
        <v>0</v>
      </c>
      <c r="N76" s="20" t="n">
        <v>0</v>
      </c>
      <c r="O76" s="18" t="n">
        <v>0</v>
      </c>
      <c r="P76" s="20" t="n">
        <v>0</v>
      </c>
      <c r="Q76" s="18" t="n">
        <v>16.65969509</v>
      </c>
      <c r="R76" s="20" t="n">
        <v>1.45855916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17.92549657</v>
      </c>
      <c r="F80" s="20" t="n">
        <v>1.53377746</v>
      </c>
      <c r="G80" s="18" t="n">
        <v>79.93033181</v>
      </c>
      <c r="H80" s="20" t="n">
        <v>1.61210311</v>
      </c>
      <c r="I80" s="18" t="n">
        <v>0</v>
      </c>
      <c r="J80" s="20" t="n">
        <v>0</v>
      </c>
      <c r="K80" s="18" t="n">
        <v>0</v>
      </c>
      <c r="L80" s="20" t="n">
        <v>0</v>
      </c>
      <c r="M80" s="18" t="n">
        <v>0</v>
      </c>
      <c r="N80" s="20" t="n">
        <v>0</v>
      </c>
      <c r="O80" s="18" t="n">
        <v>0</v>
      </c>
      <c r="P80" s="20" t="n">
        <v>0</v>
      </c>
      <c r="Q80" s="18" t="n">
        <v>2.14417162</v>
      </c>
      <c r="R80" s="20" t="n">
        <v>0.52908517</v>
      </c>
    </row>
    <row r="81" spans="1:18">
      <c r="A81" s="15" t="s">
        <v>505</v>
      </c>
      <c r="B81" s="17" t="n">
        <v>1657</v>
      </c>
      <c r="C81" s="18">
        <f>(1379.0/B81*100)</f>
        <v/>
      </c>
      <c r="D81" s="19" t="n">
        <v>278</v>
      </c>
      <c r="E81" s="18" t="n">
        <v>8.66353003</v>
      </c>
      <c r="F81" s="20" t="n">
        <v>1.78189991</v>
      </c>
      <c r="G81" s="18" t="n">
        <v>77.01312048</v>
      </c>
      <c r="H81" s="20" t="n">
        <v>2.51686087</v>
      </c>
      <c r="I81" s="18" t="n">
        <v>0</v>
      </c>
      <c r="J81" s="20" t="n">
        <v>0</v>
      </c>
      <c r="K81" s="18" t="n">
        <v>3.35891001</v>
      </c>
      <c r="L81" s="20" t="n">
        <v>0.79435972</v>
      </c>
      <c r="M81" s="18" t="n">
        <v>0</v>
      </c>
      <c r="N81" s="20" t="n">
        <v>0</v>
      </c>
      <c r="O81" s="18" t="n">
        <v>0</v>
      </c>
      <c r="P81" s="20" t="n">
        <v>0</v>
      </c>
      <c r="Q81" s="18" t="n">
        <v>10.96443948</v>
      </c>
      <c r="R81" s="20" t="n">
        <v>1.88909511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11.62528732</v>
      </c>
      <c r="F44" s="20" t="n">
        <v>1.32985833</v>
      </c>
      <c r="G44" s="18" t="n">
        <v>73.50540379</v>
      </c>
      <c r="H44" s="20" t="n">
        <v>2.22337696</v>
      </c>
      <c r="I44" s="18" t="n">
        <v>0</v>
      </c>
      <c r="J44" s="20" t="n">
        <v>0</v>
      </c>
      <c r="K44" s="18" t="n">
        <v>5.55006755</v>
      </c>
      <c r="L44" s="20" t="n">
        <v>0.94923997</v>
      </c>
      <c r="M44" s="18" t="n">
        <v>0</v>
      </c>
      <c r="N44" s="20" t="n">
        <v>0</v>
      </c>
      <c r="O44" s="18" t="n">
        <v>0</v>
      </c>
      <c r="P44" s="20" t="n">
        <v>0</v>
      </c>
      <c r="Q44" s="18" t="n">
        <v>9.31924134</v>
      </c>
      <c r="R44" s="20" t="n">
        <v>1.29059591</v>
      </c>
    </row>
    <row r="45" spans="1:18">
      <c r="A45" s="15" t="s">
        <v>468</v>
      </c>
      <c r="B45" s="17" t="n">
        <v>5519</v>
      </c>
      <c r="C45" s="18">
        <f>(4581.0/B45*100)</f>
        <v/>
      </c>
      <c r="D45" s="19" t="n">
        <v>938</v>
      </c>
      <c r="E45" s="18" t="n">
        <v>15.56686293</v>
      </c>
      <c r="F45" s="20" t="n">
        <v>1.28006238</v>
      </c>
      <c r="G45" s="18" t="n">
        <v>69.81738611999999</v>
      </c>
      <c r="H45" s="20" t="n">
        <v>1.48223075</v>
      </c>
      <c r="I45" s="18" t="n">
        <v>0</v>
      </c>
      <c r="J45" s="20" t="n">
        <v>0</v>
      </c>
      <c r="K45" s="18" t="n">
        <v>6.77125361</v>
      </c>
      <c r="L45" s="20" t="n">
        <v>0.76167381</v>
      </c>
      <c r="M45" s="18" t="n">
        <v>1.25567311</v>
      </c>
      <c r="N45" s="20" t="n">
        <v>0.30884014</v>
      </c>
      <c r="O45" s="18" t="n">
        <v>0.07749987999999999</v>
      </c>
      <c r="P45" s="20" t="n">
        <v>0.08178228999999999</v>
      </c>
      <c r="Q45" s="18" t="n">
        <v>6.51132433</v>
      </c>
      <c r="R45" s="20" t="n">
        <v>0.94721069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13.26469687</v>
      </c>
      <c r="F54" s="20" t="n">
        <v>1.18328209</v>
      </c>
      <c r="G54" s="18" t="n">
        <v>72.22830316</v>
      </c>
      <c r="H54" s="20" t="n">
        <v>1.71873949</v>
      </c>
      <c r="I54" s="18" t="n">
        <v>0</v>
      </c>
      <c r="J54" s="20" t="n">
        <v>0</v>
      </c>
      <c r="K54" s="18" t="n">
        <v>3.2775632</v>
      </c>
      <c r="L54" s="20" t="n">
        <v>0.60792138</v>
      </c>
      <c r="M54" s="18" t="n">
        <v>0</v>
      </c>
      <c r="N54" s="20" t="n">
        <v>0</v>
      </c>
      <c r="O54" s="18" t="n">
        <v>0</v>
      </c>
      <c r="P54" s="20" t="n">
        <v>0</v>
      </c>
      <c r="Q54" s="18" t="n">
        <v>11.22943677</v>
      </c>
      <c r="R54" s="20" t="n">
        <v>1.16537615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16.91450934</v>
      </c>
      <c r="F56" s="20" t="n">
        <v>1.62668083</v>
      </c>
      <c r="G56" s="18" t="n">
        <v>78.93915867</v>
      </c>
      <c r="H56" s="20" t="n">
        <v>1.6726099</v>
      </c>
      <c r="I56" s="18" t="n">
        <v>0</v>
      </c>
      <c r="J56" s="20" t="n">
        <v>0</v>
      </c>
      <c r="K56" s="18" t="n">
        <v>2.09713623</v>
      </c>
      <c r="L56" s="20" t="n">
        <v>0.5125478999999999</v>
      </c>
      <c r="M56" s="18" t="n">
        <v>0</v>
      </c>
      <c r="N56" s="20" t="n">
        <v>0</v>
      </c>
      <c r="O56" s="18" t="n">
        <v>0</v>
      </c>
      <c r="P56" s="20" t="n">
        <v>0</v>
      </c>
      <c r="Q56" s="18" t="n">
        <v>2.04919576</v>
      </c>
      <c r="R56" s="20" t="n">
        <v>0.5034531799999999</v>
      </c>
    </row>
    <row r="57" spans="1:18">
      <c r="A57" s="15" t="s">
        <v>480</v>
      </c>
      <c r="B57" s="17" t="n">
        <v>7267</v>
      </c>
      <c r="C57" s="18">
        <f>(6057.0/B57*100)</f>
        <v/>
      </c>
      <c r="D57" s="19" t="n">
        <v>1210</v>
      </c>
      <c r="E57" s="18" t="n">
        <v>13.63300209</v>
      </c>
      <c r="F57" s="20" t="n">
        <v>1.28161894</v>
      </c>
      <c r="G57" s="18" t="n">
        <v>76.69864695</v>
      </c>
      <c r="H57" s="20" t="n">
        <v>1.61572421</v>
      </c>
      <c r="I57" s="18" t="n">
        <v>0</v>
      </c>
      <c r="J57" s="20" t="n">
        <v>0</v>
      </c>
      <c r="K57" s="18" t="n">
        <v>4.08651245</v>
      </c>
      <c r="L57" s="20" t="n">
        <v>0.62486164</v>
      </c>
      <c r="M57" s="18" t="n">
        <v>0</v>
      </c>
      <c r="N57" s="20" t="n">
        <v>0</v>
      </c>
      <c r="O57" s="18" t="n">
        <v>0</v>
      </c>
      <c r="P57" s="20" t="n">
        <v>0</v>
      </c>
      <c r="Q57" s="18" t="n">
        <v>5.58183851</v>
      </c>
      <c r="R57" s="20" t="n">
        <v>0.72601942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22.28152168</v>
      </c>
      <c r="F59" s="20" t="n">
        <v>1.75519129</v>
      </c>
      <c r="G59" s="18" t="n">
        <v>66.55177917</v>
      </c>
      <c r="H59" s="20" t="n">
        <v>1.82738948</v>
      </c>
      <c r="I59" s="18" t="n">
        <v>0</v>
      </c>
      <c r="J59" s="20" t="n">
        <v>0</v>
      </c>
      <c r="K59" s="18" t="n">
        <v>1.29571617</v>
      </c>
      <c r="L59" s="20" t="n">
        <v>0.49855401</v>
      </c>
      <c r="M59" s="18" t="n">
        <v>0</v>
      </c>
      <c r="N59" s="20" t="n">
        <v>0</v>
      </c>
      <c r="O59" s="18" t="n">
        <v>0</v>
      </c>
      <c r="P59" s="20" t="n">
        <v>0</v>
      </c>
      <c r="Q59" s="18" t="n">
        <v>9.870982980000001</v>
      </c>
      <c r="R59" s="20" t="n">
        <v>1.1658955</v>
      </c>
    </row>
    <row r="60" spans="1:18">
      <c r="A60" s="15" t="s">
        <v>484</v>
      </c>
      <c r="B60" s="17" t="n">
        <v>4546</v>
      </c>
      <c r="C60" s="18">
        <f>(3779.0/B60*100)</f>
        <v/>
      </c>
      <c r="D60" s="19" t="n">
        <v>767</v>
      </c>
      <c r="E60" s="18" t="n">
        <v>18.97213604</v>
      </c>
      <c r="F60" s="20" t="n">
        <v>1.33931666</v>
      </c>
      <c r="G60" s="18" t="n">
        <v>60.20789073</v>
      </c>
      <c r="H60" s="20" t="n">
        <v>2.04920634</v>
      </c>
      <c r="I60" s="18" t="n">
        <v>0</v>
      </c>
      <c r="J60" s="20" t="n">
        <v>0</v>
      </c>
      <c r="K60" s="18" t="n">
        <v>6.77888071</v>
      </c>
      <c r="L60" s="20" t="n">
        <v>0.97071332</v>
      </c>
      <c r="M60" s="18" t="n">
        <v>0</v>
      </c>
      <c r="N60" s="20" t="n">
        <v>0</v>
      </c>
      <c r="O60" s="18" t="n">
        <v>0</v>
      </c>
      <c r="P60" s="20" t="n">
        <v>0</v>
      </c>
      <c r="Q60" s="18" t="n">
        <v>14.04109252</v>
      </c>
      <c r="R60" s="20" t="n">
        <v>1.65360124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28.81119378</v>
      </c>
      <c r="F63" s="20" t="n">
        <v>1.58063191</v>
      </c>
      <c r="G63" s="18" t="n">
        <v>49.61606209</v>
      </c>
      <c r="H63" s="20" t="n">
        <v>1.9677761</v>
      </c>
      <c r="I63" s="18" t="n">
        <v>0</v>
      </c>
      <c r="J63" s="20" t="n">
        <v>0</v>
      </c>
      <c r="K63" s="18" t="n">
        <v>4.03581569</v>
      </c>
      <c r="L63" s="20" t="n">
        <v>0.67214132</v>
      </c>
      <c r="M63" s="18" t="n">
        <v>0</v>
      </c>
      <c r="N63" s="20" t="n">
        <v>0</v>
      </c>
      <c r="O63" s="18" t="n">
        <v>0</v>
      </c>
      <c r="P63" s="20" t="n">
        <v>0</v>
      </c>
      <c r="Q63" s="18" t="n">
        <v>17.53692844</v>
      </c>
      <c r="R63" s="20" t="n">
        <v>1.30805164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4.91377728</v>
      </c>
      <c r="F65" s="20" t="n">
        <v>0.88318485</v>
      </c>
      <c r="G65" s="18" t="n">
        <v>85.88311139</v>
      </c>
      <c r="H65" s="20" t="n">
        <v>1.31939455</v>
      </c>
      <c r="I65" s="18" t="n">
        <v>0</v>
      </c>
      <c r="J65" s="20" t="n">
        <v>0</v>
      </c>
      <c r="K65" s="18" t="n">
        <v>4.36511662</v>
      </c>
      <c r="L65" s="20" t="n">
        <v>0.9262897</v>
      </c>
      <c r="M65" s="18" t="n">
        <v>0</v>
      </c>
      <c r="N65" s="20" t="n">
        <v>0</v>
      </c>
      <c r="O65" s="18" t="n">
        <v>0</v>
      </c>
      <c r="P65" s="20" t="n">
        <v>0</v>
      </c>
      <c r="Q65" s="18" t="n">
        <v>4.83799471</v>
      </c>
      <c r="R65" s="20" t="n">
        <v>0.9133808</v>
      </c>
    </row>
    <row r="66" spans="1:18">
      <c r="A66" s="15" t="s">
        <v>490</v>
      </c>
      <c r="B66" s="17" t="n">
        <v>5325</v>
      </c>
      <c r="C66" s="18">
        <f>(4446.0/B66*100)</f>
        <v/>
      </c>
      <c r="D66" s="19" t="n">
        <v>879</v>
      </c>
      <c r="E66" s="18" t="n">
        <v>9.94162725</v>
      </c>
      <c r="F66" s="20" t="n">
        <v>0.93311321</v>
      </c>
      <c r="G66" s="18" t="n">
        <v>77.64027036</v>
      </c>
      <c r="H66" s="20" t="n">
        <v>1.31175407</v>
      </c>
      <c r="I66" s="18" t="n">
        <v>0</v>
      </c>
      <c r="J66" s="20" t="n">
        <v>0</v>
      </c>
      <c r="K66" s="18" t="n">
        <v>5.47387924</v>
      </c>
      <c r="L66" s="20" t="n">
        <v>0.8235841</v>
      </c>
      <c r="M66" s="18" t="n">
        <v>0</v>
      </c>
      <c r="N66" s="20" t="n">
        <v>0</v>
      </c>
      <c r="O66" s="18" t="n">
        <v>0</v>
      </c>
      <c r="P66" s="20" t="n">
        <v>0</v>
      </c>
      <c r="Q66" s="18" t="n">
        <v>6.94422315</v>
      </c>
      <c r="R66" s="20" t="n">
        <v>0.91071186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15.82996003</v>
      </c>
      <c r="F69" s="20" t="n">
        <v>3.55608669</v>
      </c>
      <c r="G69" s="18" t="n">
        <v>78.51058681000001</v>
      </c>
      <c r="H69" s="20" t="n">
        <v>2.96001358</v>
      </c>
      <c r="I69" s="18" t="n">
        <v>0</v>
      </c>
      <c r="J69" s="20" t="n">
        <v>0</v>
      </c>
      <c r="K69" s="18" t="n">
        <v>0.85583227</v>
      </c>
      <c r="L69" s="20" t="n">
        <v>0.60588964</v>
      </c>
      <c r="M69" s="18" t="n">
        <v>0</v>
      </c>
      <c r="N69" s="20" t="n">
        <v>0</v>
      </c>
      <c r="O69" s="18" t="n">
        <v>0</v>
      </c>
      <c r="P69" s="20" t="n">
        <v>0</v>
      </c>
      <c r="Q69" s="18" t="n">
        <v>4.8036209</v>
      </c>
      <c r="R69" s="20" t="n">
        <v>2.02006448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15.60824099</v>
      </c>
      <c r="F71" s="20" t="n">
        <v>1.42865374</v>
      </c>
      <c r="G71" s="18" t="n">
        <v>83.98254523</v>
      </c>
      <c r="H71" s="20" t="n">
        <v>1.45157755</v>
      </c>
      <c r="I71" s="18" t="n">
        <v>0</v>
      </c>
      <c r="J71" s="20" t="n">
        <v>0</v>
      </c>
      <c r="K71" s="18" t="n">
        <v>0</v>
      </c>
      <c r="L71" s="20" t="n">
        <v>0</v>
      </c>
      <c r="M71" s="18" t="n">
        <v>0</v>
      </c>
      <c r="N71" s="20" t="n">
        <v>0</v>
      </c>
      <c r="O71" s="18" t="n">
        <v>0</v>
      </c>
      <c r="P71" s="20" t="n">
        <v>0</v>
      </c>
      <c r="Q71" s="18" t="n">
        <v>0.40921378</v>
      </c>
      <c r="R71" s="20" t="n">
        <v>0.31469377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3.44137944</v>
      </c>
      <c r="F76" s="20" t="n">
        <v>0.68340652</v>
      </c>
      <c r="G76" s="18" t="n">
        <v>83.79815916</v>
      </c>
      <c r="H76" s="20" t="n">
        <v>1.20139388</v>
      </c>
      <c r="I76" s="18" t="n">
        <v>0</v>
      </c>
      <c r="J76" s="20" t="n">
        <v>0</v>
      </c>
      <c r="K76" s="18" t="n">
        <v>7.20184804</v>
      </c>
      <c r="L76" s="20" t="n">
        <v>0.89601551</v>
      </c>
      <c r="M76" s="18" t="n">
        <v>0</v>
      </c>
      <c r="N76" s="20" t="n">
        <v>0</v>
      </c>
      <c r="O76" s="18" t="n">
        <v>0</v>
      </c>
      <c r="P76" s="20" t="n">
        <v>0</v>
      </c>
      <c r="Q76" s="18" t="n">
        <v>5.55861336</v>
      </c>
      <c r="R76" s="20" t="n">
        <v>0.79331517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10.76659351</v>
      </c>
      <c r="F80" s="20" t="n">
        <v>1.12926988</v>
      </c>
      <c r="G80" s="18" t="n">
        <v>88.65604082999999</v>
      </c>
      <c r="H80" s="20" t="n">
        <v>1.16008069</v>
      </c>
      <c r="I80" s="18" t="n">
        <v>0</v>
      </c>
      <c r="J80" s="20" t="n">
        <v>0</v>
      </c>
      <c r="K80" s="18" t="n">
        <v>0</v>
      </c>
      <c r="L80" s="20" t="n">
        <v>0</v>
      </c>
      <c r="M80" s="18" t="n">
        <v>0</v>
      </c>
      <c r="N80" s="20" t="n">
        <v>0</v>
      </c>
      <c r="O80" s="18" t="n">
        <v>0</v>
      </c>
      <c r="P80" s="20" t="n">
        <v>0</v>
      </c>
      <c r="Q80" s="18" t="n">
        <v>0.57736566</v>
      </c>
      <c r="R80" s="20" t="n">
        <v>0.23050393</v>
      </c>
    </row>
    <row r="81" spans="1:18">
      <c r="A81" s="15" t="s">
        <v>505</v>
      </c>
      <c r="B81" s="17" t="n">
        <v>1657</v>
      </c>
      <c r="C81" s="18">
        <f>(1379.0/B81*100)</f>
        <v/>
      </c>
      <c r="D81" s="19" t="n">
        <v>278</v>
      </c>
      <c r="E81" s="18" t="n">
        <v>7.77060516</v>
      </c>
      <c r="F81" s="20" t="n">
        <v>1.41272977</v>
      </c>
      <c r="G81" s="18" t="n">
        <v>82.73028423</v>
      </c>
      <c r="H81" s="20" t="n">
        <v>2.33590392</v>
      </c>
      <c r="I81" s="18" t="n">
        <v>0</v>
      </c>
      <c r="J81" s="20" t="n">
        <v>0</v>
      </c>
      <c r="K81" s="18" t="n">
        <v>3.52171824</v>
      </c>
      <c r="L81" s="20" t="n">
        <v>0.85563624</v>
      </c>
      <c r="M81" s="18" t="n">
        <v>0</v>
      </c>
      <c r="N81" s="20" t="n">
        <v>0</v>
      </c>
      <c r="O81" s="18" t="n">
        <v>0</v>
      </c>
      <c r="P81" s="20" t="n">
        <v>0</v>
      </c>
      <c r="Q81" s="18" t="n">
        <v>5.97739237</v>
      </c>
      <c r="R81" s="20" t="n">
        <v>1.55776906</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51.68893354</v>
      </c>
      <c r="F44" s="20" t="n">
        <v>1.86137564</v>
      </c>
      <c r="G44" s="18" t="n">
        <v>32.1096227</v>
      </c>
      <c r="H44" s="20" t="n">
        <v>1.85980529</v>
      </c>
      <c r="I44" s="18" t="n">
        <v>0</v>
      </c>
      <c r="J44" s="20" t="n">
        <v>0</v>
      </c>
      <c r="K44" s="18" t="n">
        <v>5.91803996</v>
      </c>
      <c r="L44" s="20" t="n">
        <v>0.9073417</v>
      </c>
      <c r="M44" s="18" t="n">
        <v>0</v>
      </c>
      <c r="N44" s="20" t="n">
        <v>0</v>
      </c>
      <c r="O44" s="18" t="n">
        <v>0</v>
      </c>
      <c r="P44" s="20" t="n">
        <v>0</v>
      </c>
      <c r="Q44" s="18" t="n">
        <v>10.2834038</v>
      </c>
      <c r="R44" s="20" t="n">
        <v>1.42121634</v>
      </c>
    </row>
    <row r="45" spans="1:18">
      <c r="A45" s="15" t="s">
        <v>468</v>
      </c>
      <c r="B45" s="17" t="n">
        <v>5519</v>
      </c>
      <c r="C45" s="18">
        <f>(4581.0/B45*100)</f>
        <v/>
      </c>
      <c r="D45" s="19" t="n">
        <v>938</v>
      </c>
      <c r="E45" s="18" t="n">
        <v>69.31113524</v>
      </c>
      <c r="F45" s="20" t="n">
        <v>1.84537341</v>
      </c>
      <c r="G45" s="18" t="n">
        <v>15.21365283</v>
      </c>
      <c r="H45" s="20" t="n">
        <v>1.39892882</v>
      </c>
      <c r="I45" s="18" t="n">
        <v>0</v>
      </c>
      <c r="J45" s="20" t="n">
        <v>0</v>
      </c>
      <c r="K45" s="18" t="n">
        <v>6.96861671</v>
      </c>
      <c r="L45" s="20" t="n">
        <v>0.77670956</v>
      </c>
      <c r="M45" s="18" t="n">
        <v>0.91782113</v>
      </c>
      <c r="N45" s="20" t="n">
        <v>0.34365285</v>
      </c>
      <c r="O45" s="18" t="n">
        <v>0.24250644</v>
      </c>
      <c r="P45" s="20" t="n">
        <v>0.16485594</v>
      </c>
      <c r="Q45" s="18" t="n">
        <v>7.34626765</v>
      </c>
      <c r="R45" s="20" t="n">
        <v>1.01178912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38.28362014</v>
      </c>
      <c r="F54" s="20" t="n">
        <v>1.66787348</v>
      </c>
      <c r="G54" s="18" t="n">
        <v>45.77225875</v>
      </c>
      <c r="H54" s="20" t="n">
        <v>1.79055283</v>
      </c>
      <c r="I54" s="18" t="n">
        <v>0</v>
      </c>
      <c r="J54" s="20" t="n">
        <v>0</v>
      </c>
      <c r="K54" s="18" t="n">
        <v>3.2775632</v>
      </c>
      <c r="L54" s="20" t="n">
        <v>0.60792138</v>
      </c>
      <c r="M54" s="18" t="n">
        <v>0</v>
      </c>
      <c r="N54" s="20" t="n">
        <v>0</v>
      </c>
      <c r="O54" s="18" t="n">
        <v>0</v>
      </c>
      <c r="P54" s="20" t="n">
        <v>0</v>
      </c>
      <c r="Q54" s="18" t="n">
        <v>12.66655791</v>
      </c>
      <c r="R54" s="20" t="n">
        <v>1.22748758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51.66568369</v>
      </c>
      <c r="F56" s="20" t="n">
        <v>1.61723474</v>
      </c>
      <c r="G56" s="18" t="n">
        <v>42.98789718</v>
      </c>
      <c r="H56" s="20" t="n">
        <v>1.65375301</v>
      </c>
      <c r="I56" s="18" t="n">
        <v>0</v>
      </c>
      <c r="J56" s="20" t="n">
        <v>0</v>
      </c>
      <c r="K56" s="18" t="n">
        <v>2.09713623</v>
      </c>
      <c r="L56" s="20" t="n">
        <v>0.5125478999999999</v>
      </c>
      <c r="M56" s="18" t="n">
        <v>0</v>
      </c>
      <c r="N56" s="20" t="n">
        <v>0</v>
      </c>
      <c r="O56" s="18" t="n">
        <v>0</v>
      </c>
      <c r="P56" s="20" t="n">
        <v>0</v>
      </c>
      <c r="Q56" s="18" t="n">
        <v>3.2492829</v>
      </c>
      <c r="R56" s="20" t="n">
        <v>0.59026999</v>
      </c>
    </row>
    <row r="57" spans="1:18">
      <c r="A57" s="15" t="s">
        <v>480</v>
      </c>
      <c r="B57" s="17" t="n">
        <v>7267</v>
      </c>
      <c r="C57" s="18">
        <f>(6057.0/B57*100)</f>
        <v/>
      </c>
      <c r="D57" s="19" t="n">
        <v>1210</v>
      </c>
      <c r="E57" s="18" t="n">
        <v>38.86757959</v>
      </c>
      <c r="F57" s="20" t="n">
        <v>1.76310819</v>
      </c>
      <c r="G57" s="18" t="n">
        <v>50.10256751</v>
      </c>
      <c r="H57" s="20" t="n">
        <v>1.95572427</v>
      </c>
      <c r="I57" s="18" t="n">
        <v>0</v>
      </c>
      <c r="J57" s="20" t="n">
        <v>0</v>
      </c>
      <c r="K57" s="18" t="n">
        <v>4.33095622</v>
      </c>
      <c r="L57" s="20" t="n">
        <v>0.64566896</v>
      </c>
      <c r="M57" s="18" t="n">
        <v>0</v>
      </c>
      <c r="N57" s="20" t="n">
        <v>0</v>
      </c>
      <c r="O57" s="18" t="n">
        <v>0</v>
      </c>
      <c r="P57" s="20" t="n">
        <v>0</v>
      </c>
      <c r="Q57" s="18" t="n">
        <v>6.69889668</v>
      </c>
      <c r="R57" s="20" t="n">
        <v>0.78563331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60.85150293</v>
      </c>
      <c r="F59" s="20" t="n">
        <v>2.35826515</v>
      </c>
      <c r="G59" s="18" t="n">
        <v>27.08561804</v>
      </c>
      <c r="H59" s="20" t="n">
        <v>2.02917106</v>
      </c>
      <c r="I59" s="18" t="n">
        <v>0</v>
      </c>
      <c r="J59" s="20" t="n">
        <v>0</v>
      </c>
      <c r="K59" s="18" t="n">
        <v>1.42101036</v>
      </c>
      <c r="L59" s="20" t="n">
        <v>0.51402447</v>
      </c>
      <c r="M59" s="18" t="n">
        <v>0</v>
      </c>
      <c r="N59" s="20" t="n">
        <v>0</v>
      </c>
      <c r="O59" s="18" t="n">
        <v>0</v>
      </c>
      <c r="P59" s="20" t="n">
        <v>0</v>
      </c>
      <c r="Q59" s="18" t="n">
        <v>10.64186866</v>
      </c>
      <c r="R59" s="20" t="n">
        <v>1.21301584</v>
      </c>
    </row>
    <row r="60" spans="1:18">
      <c r="A60" s="15" t="s">
        <v>484</v>
      </c>
      <c r="B60" s="17" t="n">
        <v>4546</v>
      </c>
      <c r="C60" s="18">
        <f>(3779.0/B60*100)</f>
        <v/>
      </c>
      <c r="D60" s="19" t="n">
        <v>767</v>
      </c>
      <c r="E60" s="18" t="n">
        <v>36.61160354</v>
      </c>
      <c r="F60" s="20" t="n">
        <v>2.14746427</v>
      </c>
      <c r="G60" s="18" t="n">
        <v>36.62357215</v>
      </c>
      <c r="H60" s="20" t="n">
        <v>2.31792415</v>
      </c>
      <c r="I60" s="18" t="n">
        <v>0</v>
      </c>
      <c r="J60" s="20" t="n">
        <v>0</v>
      </c>
      <c r="K60" s="18" t="n">
        <v>7.60568961</v>
      </c>
      <c r="L60" s="20" t="n">
        <v>1.04255884</v>
      </c>
      <c r="M60" s="18" t="n">
        <v>0</v>
      </c>
      <c r="N60" s="20" t="n">
        <v>0</v>
      </c>
      <c r="O60" s="18" t="n">
        <v>0</v>
      </c>
      <c r="P60" s="20" t="n">
        <v>0</v>
      </c>
      <c r="Q60" s="18" t="n">
        <v>19.1591347</v>
      </c>
      <c r="R60" s="20" t="n">
        <v>1.84364723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47.17583046</v>
      </c>
      <c r="F63" s="20" t="n">
        <v>1.58929317</v>
      </c>
      <c r="G63" s="18" t="n">
        <v>26.88317929</v>
      </c>
      <c r="H63" s="20" t="n">
        <v>1.61079338</v>
      </c>
      <c r="I63" s="18" t="n">
        <v>0</v>
      </c>
      <c r="J63" s="20" t="n">
        <v>0</v>
      </c>
      <c r="K63" s="18" t="n">
        <v>4.03581569</v>
      </c>
      <c r="L63" s="20" t="n">
        <v>0.67214132</v>
      </c>
      <c r="M63" s="18" t="n">
        <v>0</v>
      </c>
      <c r="N63" s="20" t="n">
        <v>0</v>
      </c>
      <c r="O63" s="18" t="n">
        <v>0</v>
      </c>
      <c r="P63" s="20" t="n">
        <v>0</v>
      </c>
      <c r="Q63" s="18" t="n">
        <v>21.90517456</v>
      </c>
      <c r="R63" s="20" t="n">
        <v>1.39762331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19.71022725</v>
      </c>
      <c r="F65" s="20" t="n">
        <v>1.49486586</v>
      </c>
      <c r="G65" s="18" t="n">
        <v>69.40359416</v>
      </c>
      <c r="H65" s="20" t="n">
        <v>1.96361497</v>
      </c>
      <c r="I65" s="18" t="n">
        <v>0</v>
      </c>
      <c r="J65" s="20" t="n">
        <v>0</v>
      </c>
      <c r="K65" s="18" t="n">
        <v>4.5397184</v>
      </c>
      <c r="L65" s="20" t="n">
        <v>0.94537231</v>
      </c>
      <c r="M65" s="18" t="n">
        <v>0</v>
      </c>
      <c r="N65" s="20" t="n">
        <v>0</v>
      </c>
      <c r="O65" s="18" t="n">
        <v>0</v>
      </c>
      <c r="P65" s="20" t="n">
        <v>0</v>
      </c>
      <c r="Q65" s="18" t="n">
        <v>6.34646019</v>
      </c>
      <c r="R65" s="20" t="n">
        <v>1.05521995</v>
      </c>
    </row>
    <row r="66" spans="1:18">
      <c r="A66" s="15" t="s">
        <v>490</v>
      </c>
      <c r="B66" s="17" t="n">
        <v>5325</v>
      </c>
      <c r="C66" s="18">
        <f>(4446.0/B66*100)</f>
        <v/>
      </c>
      <c r="D66" s="19" t="n">
        <v>879</v>
      </c>
      <c r="E66" s="18" t="n">
        <v>34.22603789</v>
      </c>
      <c r="F66" s="20" t="n">
        <v>1.40050835</v>
      </c>
      <c r="G66" s="18" t="n">
        <v>51.52330778</v>
      </c>
      <c r="H66" s="20" t="n">
        <v>1.54216156</v>
      </c>
      <c r="I66" s="18" t="n">
        <v>0</v>
      </c>
      <c r="J66" s="20" t="n">
        <v>0</v>
      </c>
      <c r="K66" s="18" t="n">
        <v>6.16970842</v>
      </c>
      <c r="L66" s="20" t="n">
        <v>0.86105953</v>
      </c>
      <c r="M66" s="18" t="n">
        <v>0</v>
      </c>
      <c r="N66" s="20" t="n">
        <v>0</v>
      </c>
      <c r="O66" s="18" t="n">
        <v>0</v>
      </c>
      <c r="P66" s="20" t="n">
        <v>0</v>
      </c>
      <c r="Q66" s="18" t="n">
        <v>8.080945910000001</v>
      </c>
      <c r="R66" s="20" t="n">
        <v>1.12120216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38.85571336</v>
      </c>
      <c r="F69" s="20" t="n">
        <v>4.23907471</v>
      </c>
      <c r="G69" s="18" t="n">
        <v>55.52898119</v>
      </c>
      <c r="H69" s="20" t="n">
        <v>4.25241276</v>
      </c>
      <c r="I69" s="18" t="n">
        <v>0</v>
      </c>
      <c r="J69" s="20" t="n">
        <v>0</v>
      </c>
      <c r="K69" s="18" t="n">
        <v>0.85583227</v>
      </c>
      <c r="L69" s="20" t="n">
        <v>0.60588964</v>
      </c>
      <c r="M69" s="18" t="n">
        <v>0</v>
      </c>
      <c r="N69" s="20" t="n">
        <v>0</v>
      </c>
      <c r="O69" s="18" t="n">
        <v>0</v>
      </c>
      <c r="P69" s="20" t="n">
        <v>0</v>
      </c>
      <c r="Q69" s="18" t="n">
        <v>4.75947318</v>
      </c>
      <c r="R69" s="20" t="n">
        <v>2.01457009</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35.02406902</v>
      </c>
      <c r="F71" s="20" t="n">
        <v>2.08017485</v>
      </c>
      <c r="G71" s="18" t="n">
        <v>64.67287662</v>
      </c>
      <c r="H71" s="20" t="n">
        <v>2.09949464</v>
      </c>
      <c r="I71" s="18" t="n">
        <v>0</v>
      </c>
      <c r="J71" s="20" t="n">
        <v>0</v>
      </c>
      <c r="K71" s="18" t="n">
        <v>0</v>
      </c>
      <c r="L71" s="20" t="n">
        <v>0</v>
      </c>
      <c r="M71" s="18" t="n">
        <v>0</v>
      </c>
      <c r="N71" s="20" t="n">
        <v>0</v>
      </c>
      <c r="O71" s="18" t="n">
        <v>0</v>
      </c>
      <c r="P71" s="20" t="n">
        <v>0</v>
      </c>
      <c r="Q71" s="18" t="n">
        <v>0.30305436</v>
      </c>
      <c r="R71" s="20" t="n">
        <v>0.22318105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16.70096571</v>
      </c>
      <c r="F76" s="20" t="n">
        <v>1.56679521</v>
      </c>
      <c r="G76" s="18" t="n">
        <v>67.17176696999999</v>
      </c>
      <c r="H76" s="20" t="n">
        <v>1.63371183</v>
      </c>
      <c r="I76" s="18" t="n">
        <v>0</v>
      </c>
      <c r="J76" s="20" t="n">
        <v>0</v>
      </c>
      <c r="K76" s="18" t="n">
        <v>7.88642473</v>
      </c>
      <c r="L76" s="20" t="n">
        <v>0.96578376</v>
      </c>
      <c r="M76" s="18" t="n">
        <v>0</v>
      </c>
      <c r="N76" s="20" t="n">
        <v>0</v>
      </c>
      <c r="O76" s="18" t="n">
        <v>0</v>
      </c>
      <c r="P76" s="20" t="n">
        <v>0</v>
      </c>
      <c r="Q76" s="18" t="n">
        <v>8.24084259</v>
      </c>
      <c r="R76" s="20" t="n">
        <v>1.08656031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23.89664637</v>
      </c>
      <c r="F80" s="20" t="n">
        <v>1.62600711</v>
      </c>
      <c r="G80" s="18" t="n">
        <v>75.45037055</v>
      </c>
      <c r="H80" s="20" t="n">
        <v>1.67015321</v>
      </c>
      <c r="I80" s="18" t="n">
        <v>0</v>
      </c>
      <c r="J80" s="20" t="n">
        <v>0</v>
      </c>
      <c r="K80" s="18" t="n">
        <v>0</v>
      </c>
      <c r="L80" s="20" t="n">
        <v>0</v>
      </c>
      <c r="M80" s="18" t="n">
        <v>0</v>
      </c>
      <c r="N80" s="20" t="n">
        <v>0</v>
      </c>
      <c r="O80" s="18" t="n">
        <v>0</v>
      </c>
      <c r="P80" s="20" t="n">
        <v>0</v>
      </c>
      <c r="Q80" s="18" t="n">
        <v>0.65298307</v>
      </c>
      <c r="R80" s="20" t="n">
        <v>0.23750609</v>
      </c>
    </row>
    <row r="81" spans="1:18">
      <c r="A81" s="15" t="s">
        <v>505</v>
      </c>
      <c r="B81" s="17" t="n">
        <v>1657</v>
      </c>
      <c r="C81" s="18">
        <f>(1379.0/B81*100)</f>
        <v/>
      </c>
      <c r="D81" s="19" t="n">
        <v>278</v>
      </c>
      <c r="E81" s="18" t="n">
        <v>23.81125043</v>
      </c>
      <c r="F81" s="20" t="n">
        <v>2.47629083</v>
      </c>
      <c r="G81" s="18" t="n">
        <v>63.53301472</v>
      </c>
      <c r="H81" s="20" t="n">
        <v>2.72435037</v>
      </c>
      <c r="I81" s="18" t="n">
        <v>0</v>
      </c>
      <c r="J81" s="20" t="n">
        <v>0</v>
      </c>
      <c r="K81" s="18" t="n">
        <v>4.18721061</v>
      </c>
      <c r="L81" s="20" t="n">
        <v>1.01635366</v>
      </c>
      <c r="M81" s="18" t="n">
        <v>0</v>
      </c>
      <c r="N81" s="20" t="n">
        <v>0</v>
      </c>
      <c r="O81" s="18" t="n">
        <v>0</v>
      </c>
      <c r="P81" s="20" t="n">
        <v>0</v>
      </c>
      <c r="Q81" s="18" t="n">
        <v>8.46852423</v>
      </c>
      <c r="R81" s="20" t="n">
        <v>1.93173521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6.41272576</v>
      </c>
      <c r="F44" s="20" t="n">
        <v>0.82948366</v>
      </c>
      <c r="G44" s="18" t="n">
        <v>80.636473</v>
      </c>
      <c r="H44" s="20" t="n">
        <v>1.61254644</v>
      </c>
      <c r="I44" s="18" t="n">
        <v>0</v>
      </c>
      <c r="J44" s="20" t="n">
        <v>0</v>
      </c>
      <c r="K44" s="18" t="n">
        <v>6.6799368</v>
      </c>
      <c r="L44" s="20" t="n">
        <v>0.91667117</v>
      </c>
      <c r="M44" s="18" t="n">
        <v>0</v>
      </c>
      <c r="N44" s="20" t="n">
        <v>0</v>
      </c>
      <c r="O44" s="18" t="n">
        <v>0</v>
      </c>
      <c r="P44" s="20" t="n">
        <v>0</v>
      </c>
      <c r="Q44" s="18" t="n">
        <v>6.27086443</v>
      </c>
      <c r="R44" s="20" t="n">
        <v>0.99652642</v>
      </c>
    </row>
    <row r="45" spans="1:18">
      <c r="A45" s="15" t="s">
        <v>468</v>
      </c>
      <c r="B45" s="17" t="n">
        <v>5519</v>
      </c>
      <c r="C45" s="18">
        <f>(4581.0/B45*100)</f>
        <v/>
      </c>
      <c r="D45" s="19" t="n">
        <v>938</v>
      </c>
      <c r="E45" s="18" t="n">
        <v>38.82375194</v>
      </c>
      <c r="F45" s="20" t="n">
        <v>1.87611769</v>
      </c>
      <c r="G45" s="18" t="n">
        <v>38.49143989</v>
      </c>
      <c r="H45" s="20" t="n">
        <v>1.8560524</v>
      </c>
      <c r="I45" s="18" t="n">
        <v>0</v>
      </c>
      <c r="J45" s="20" t="n">
        <v>0</v>
      </c>
      <c r="K45" s="18" t="n">
        <v>8.45664346</v>
      </c>
      <c r="L45" s="20" t="n">
        <v>0.81141178</v>
      </c>
      <c r="M45" s="18" t="n">
        <v>1.72135833</v>
      </c>
      <c r="N45" s="20" t="n">
        <v>0.38601778</v>
      </c>
      <c r="O45" s="18" t="n">
        <v>0.15653056</v>
      </c>
      <c r="P45" s="20" t="n">
        <v>0.11380634</v>
      </c>
      <c r="Q45" s="18" t="n">
        <v>12.35027582</v>
      </c>
      <c r="R45" s="20" t="n">
        <v>1.09836157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16.63319362</v>
      </c>
      <c r="F54" s="20" t="n">
        <v>1.32858148</v>
      </c>
      <c r="G54" s="18" t="n">
        <v>66.47544811</v>
      </c>
      <c r="H54" s="20" t="n">
        <v>1.78591448</v>
      </c>
      <c r="I54" s="18" t="n">
        <v>0</v>
      </c>
      <c r="J54" s="20" t="n">
        <v>0</v>
      </c>
      <c r="K54" s="18" t="n">
        <v>3.64300669</v>
      </c>
      <c r="L54" s="20" t="n">
        <v>0.66936988</v>
      </c>
      <c r="M54" s="18" t="n">
        <v>0.09321304</v>
      </c>
      <c r="N54" s="20" t="n">
        <v>0.08970971</v>
      </c>
      <c r="O54" s="18" t="n">
        <v>0.18648075</v>
      </c>
      <c r="P54" s="20" t="n">
        <v>0.13340458</v>
      </c>
      <c r="Q54" s="18" t="n">
        <v>12.9686578</v>
      </c>
      <c r="R54" s="20" t="n">
        <v>1.18300677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43.7655469</v>
      </c>
      <c r="F56" s="20" t="n">
        <v>1.6395241</v>
      </c>
      <c r="G56" s="18" t="n">
        <v>51.21799987</v>
      </c>
      <c r="H56" s="20" t="n">
        <v>1.73611377</v>
      </c>
      <c r="I56" s="18" t="n">
        <v>0</v>
      </c>
      <c r="J56" s="20" t="n">
        <v>0</v>
      </c>
      <c r="K56" s="18" t="n">
        <v>2.27970329</v>
      </c>
      <c r="L56" s="20" t="n">
        <v>0.51610039</v>
      </c>
      <c r="M56" s="18" t="n">
        <v>0</v>
      </c>
      <c r="N56" s="20" t="n">
        <v>0</v>
      </c>
      <c r="O56" s="18" t="n">
        <v>0</v>
      </c>
      <c r="P56" s="20" t="n">
        <v>0</v>
      </c>
      <c r="Q56" s="18" t="n">
        <v>2.73674994</v>
      </c>
      <c r="R56" s="20" t="n">
        <v>0.61088794</v>
      </c>
    </row>
    <row r="57" spans="1:18">
      <c r="A57" s="15" t="s">
        <v>480</v>
      </c>
      <c r="B57" s="17" t="n">
        <v>7267</v>
      </c>
      <c r="C57" s="18">
        <f>(6057.0/B57*100)</f>
        <v/>
      </c>
      <c r="D57" s="19" t="n">
        <v>1210</v>
      </c>
      <c r="E57" s="18" t="n">
        <v>29.42668107</v>
      </c>
      <c r="F57" s="20" t="n">
        <v>1.48973422</v>
      </c>
      <c r="G57" s="18" t="n">
        <v>59.38843276</v>
      </c>
      <c r="H57" s="20" t="n">
        <v>1.64816092</v>
      </c>
      <c r="I57" s="18" t="n">
        <v>0</v>
      </c>
      <c r="J57" s="20" t="n">
        <v>0</v>
      </c>
      <c r="K57" s="18" t="n">
        <v>5.03426505</v>
      </c>
      <c r="L57" s="20" t="n">
        <v>0.66991021</v>
      </c>
      <c r="M57" s="18" t="n">
        <v>0</v>
      </c>
      <c r="N57" s="20" t="n">
        <v>0</v>
      </c>
      <c r="O57" s="18" t="n">
        <v>0</v>
      </c>
      <c r="P57" s="20" t="n">
        <v>0</v>
      </c>
      <c r="Q57" s="18" t="n">
        <v>6.15062111</v>
      </c>
      <c r="R57" s="20" t="n">
        <v>0.87266154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12.32992928</v>
      </c>
      <c r="F59" s="20" t="n">
        <v>1.50143806</v>
      </c>
      <c r="G59" s="18" t="n">
        <v>79.11998140999999</v>
      </c>
      <c r="H59" s="20" t="n">
        <v>1.7701546</v>
      </c>
      <c r="I59" s="18" t="n">
        <v>0</v>
      </c>
      <c r="J59" s="20" t="n">
        <v>0</v>
      </c>
      <c r="K59" s="18" t="n">
        <v>1.45848062</v>
      </c>
      <c r="L59" s="20" t="n">
        <v>0.51771526</v>
      </c>
      <c r="M59" s="18" t="n">
        <v>0.04930139</v>
      </c>
      <c r="N59" s="20" t="n">
        <v>0.04966935</v>
      </c>
      <c r="O59" s="18" t="n">
        <v>0</v>
      </c>
      <c r="P59" s="20" t="n">
        <v>0</v>
      </c>
      <c r="Q59" s="18" t="n">
        <v>7.0423073</v>
      </c>
      <c r="R59" s="20" t="n">
        <v>1.07086715</v>
      </c>
    </row>
    <row r="60" spans="1:18">
      <c r="A60" s="15" t="s">
        <v>484</v>
      </c>
      <c r="B60" s="17" t="n">
        <v>4546</v>
      </c>
      <c r="C60" s="18">
        <f>(3779.0/B60*100)</f>
        <v/>
      </c>
      <c r="D60" s="19" t="n">
        <v>767</v>
      </c>
      <c r="E60" s="18" t="n">
        <v>42.63135074</v>
      </c>
      <c r="F60" s="20" t="n">
        <v>2.03535373</v>
      </c>
      <c r="G60" s="18" t="n">
        <v>38.15588882</v>
      </c>
      <c r="H60" s="20" t="n">
        <v>2.01403854</v>
      </c>
      <c r="I60" s="18" t="n">
        <v>0</v>
      </c>
      <c r="J60" s="20" t="n">
        <v>0</v>
      </c>
      <c r="K60" s="18" t="n">
        <v>8.612443020000001</v>
      </c>
      <c r="L60" s="20" t="n">
        <v>1.03679728</v>
      </c>
      <c r="M60" s="18" t="n">
        <v>0</v>
      </c>
      <c r="N60" s="20" t="n">
        <v>0</v>
      </c>
      <c r="O60" s="18" t="n">
        <v>0.11876933</v>
      </c>
      <c r="P60" s="20" t="n">
        <v>0.11914074</v>
      </c>
      <c r="Q60" s="18" t="n">
        <v>10.48154809</v>
      </c>
      <c r="R60" s="20" t="n">
        <v>1.39179817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17.83176658</v>
      </c>
      <c r="F63" s="20" t="n">
        <v>1.25041017</v>
      </c>
      <c r="G63" s="18" t="n">
        <v>58.99575249</v>
      </c>
      <c r="H63" s="20" t="n">
        <v>1.66612775</v>
      </c>
      <c r="I63" s="18" t="n">
        <v>0</v>
      </c>
      <c r="J63" s="20" t="n">
        <v>0</v>
      </c>
      <c r="K63" s="18" t="n">
        <v>5.97939094</v>
      </c>
      <c r="L63" s="20" t="n">
        <v>0.87396844</v>
      </c>
      <c r="M63" s="18" t="n">
        <v>0</v>
      </c>
      <c r="N63" s="20" t="n">
        <v>0</v>
      </c>
      <c r="O63" s="18" t="n">
        <v>0</v>
      </c>
      <c r="P63" s="20" t="n">
        <v>0</v>
      </c>
      <c r="Q63" s="18" t="n">
        <v>17.19308999</v>
      </c>
      <c r="R63" s="20" t="n">
        <v>1.38096129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14.82515351</v>
      </c>
      <c r="F65" s="20" t="n">
        <v>1.53625117</v>
      </c>
      <c r="G65" s="18" t="n">
        <v>75.12027716</v>
      </c>
      <c r="H65" s="20" t="n">
        <v>1.85470789</v>
      </c>
      <c r="I65" s="18" t="n">
        <v>0</v>
      </c>
      <c r="J65" s="20" t="n">
        <v>0</v>
      </c>
      <c r="K65" s="18" t="n">
        <v>5.22488147</v>
      </c>
      <c r="L65" s="20" t="n">
        <v>1.02105194</v>
      </c>
      <c r="M65" s="18" t="n">
        <v>0</v>
      </c>
      <c r="N65" s="20" t="n">
        <v>0</v>
      </c>
      <c r="O65" s="18" t="n">
        <v>0</v>
      </c>
      <c r="P65" s="20" t="n">
        <v>0</v>
      </c>
      <c r="Q65" s="18" t="n">
        <v>4.82968787</v>
      </c>
      <c r="R65" s="20" t="n">
        <v>0.89986286</v>
      </c>
    </row>
    <row r="66" spans="1:18">
      <c r="A66" s="15" t="s">
        <v>490</v>
      </c>
      <c r="B66" s="17" t="n">
        <v>5325</v>
      </c>
      <c r="C66" s="18">
        <f>(4446.0/B66*100)</f>
        <v/>
      </c>
      <c r="D66" s="19" t="n">
        <v>879</v>
      </c>
      <c r="E66" s="18" t="n">
        <v>17.13520966</v>
      </c>
      <c r="F66" s="20" t="n">
        <v>1.26560663</v>
      </c>
      <c r="G66" s="18" t="n">
        <v>67.95314157</v>
      </c>
      <c r="H66" s="20" t="n">
        <v>1.61341167</v>
      </c>
      <c r="I66" s="18" t="n">
        <v>0</v>
      </c>
      <c r="J66" s="20" t="n">
        <v>0</v>
      </c>
      <c r="K66" s="18" t="n">
        <v>7.34632479</v>
      </c>
      <c r="L66" s="20" t="n">
        <v>1.00484425</v>
      </c>
      <c r="M66" s="18" t="n">
        <v>0</v>
      </c>
      <c r="N66" s="20" t="n">
        <v>0</v>
      </c>
      <c r="O66" s="18" t="n">
        <v>0</v>
      </c>
      <c r="P66" s="20" t="n">
        <v>0</v>
      </c>
      <c r="Q66" s="18" t="n">
        <v>7.56532398</v>
      </c>
      <c r="R66" s="20" t="n">
        <v>0.92818105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42.45850036</v>
      </c>
      <c r="F69" s="20" t="n">
        <v>4.43378487</v>
      </c>
      <c r="G69" s="18" t="n">
        <v>50.77995439</v>
      </c>
      <c r="H69" s="20" t="n">
        <v>4.36095897</v>
      </c>
      <c r="I69" s="18" t="n">
        <v>0</v>
      </c>
      <c r="J69" s="20" t="n">
        <v>0</v>
      </c>
      <c r="K69" s="18" t="n">
        <v>1.53981591</v>
      </c>
      <c r="L69" s="20" t="n">
        <v>0.76907019</v>
      </c>
      <c r="M69" s="18" t="n">
        <v>0</v>
      </c>
      <c r="N69" s="20" t="n">
        <v>0</v>
      </c>
      <c r="O69" s="18" t="n">
        <v>0</v>
      </c>
      <c r="P69" s="20" t="n">
        <v>0</v>
      </c>
      <c r="Q69" s="18" t="n">
        <v>5.22172934</v>
      </c>
      <c r="R69" s="20" t="n">
        <v>2.00578557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20.51150103</v>
      </c>
      <c r="F71" s="20" t="n">
        <v>1.65145631</v>
      </c>
      <c r="G71" s="18" t="n">
        <v>78.69621192</v>
      </c>
      <c r="H71" s="20" t="n">
        <v>1.68496541</v>
      </c>
      <c r="I71" s="18" t="n">
        <v>0</v>
      </c>
      <c r="J71" s="20" t="n">
        <v>0</v>
      </c>
      <c r="K71" s="18" t="n">
        <v>0</v>
      </c>
      <c r="L71" s="20" t="n">
        <v>0</v>
      </c>
      <c r="M71" s="18" t="n">
        <v>0</v>
      </c>
      <c r="N71" s="20" t="n">
        <v>0</v>
      </c>
      <c r="O71" s="18" t="n">
        <v>0</v>
      </c>
      <c r="P71" s="20" t="n">
        <v>0</v>
      </c>
      <c r="Q71" s="18" t="n">
        <v>0.79228705</v>
      </c>
      <c r="R71" s="20" t="n">
        <v>0.36636474</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26.8902513</v>
      </c>
      <c r="F76" s="20" t="n">
        <v>1.90148025</v>
      </c>
      <c r="G76" s="18" t="n">
        <v>56.00289049</v>
      </c>
      <c r="H76" s="20" t="n">
        <v>1.87970447</v>
      </c>
      <c r="I76" s="18" t="n">
        <v>0</v>
      </c>
      <c r="J76" s="20" t="n">
        <v>0</v>
      </c>
      <c r="K76" s="18" t="n">
        <v>9.71420784</v>
      </c>
      <c r="L76" s="20" t="n">
        <v>1.0758189</v>
      </c>
      <c r="M76" s="18" t="n">
        <v>0</v>
      </c>
      <c r="N76" s="20" t="n">
        <v>0</v>
      </c>
      <c r="O76" s="18" t="n">
        <v>0</v>
      </c>
      <c r="P76" s="20" t="n">
        <v>0</v>
      </c>
      <c r="Q76" s="18" t="n">
        <v>7.39265038</v>
      </c>
      <c r="R76" s="20" t="n">
        <v>1.17402522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19.21636949</v>
      </c>
      <c r="F80" s="20" t="n">
        <v>1.65058938</v>
      </c>
      <c r="G80" s="18" t="n">
        <v>80.67211717000001</v>
      </c>
      <c r="H80" s="20" t="n">
        <v>1.66352153</v>
      </c>
      <c r="I80" s="18" t="n">
        <v>0</v>
      </c>
      <c r="J80" s="20" t="n">
        <v>0</v>
      </c>
      <c r="K80" s="18" t="n">
        <v>0</v>
      </c>
      <c r="L80" s="20" t="n">
        <v>0</v>
      </c>
      <c r="M80" s="18" t="n">
        <v>0</v>
      </c>
      <c r="N80" s="20" t="n">
        <v>0</v>
      </c>
      <c r="O80" s="18" t="n">
        <v>0</v>
      </c>
      <c r="P80" s="20" t="n">
        <v>0</v>
      </c>
      <c r="Q80" s="18" t="n">
        <v>0.11151334</v>
      </c>
      <c r="R80" s="20" t="n">
        <v>0.11162747</v>
      </c>
    </row>
    <row r="81" spans="1:18">
      <c r="A81" s="15" t="s">
        <v>505</v>
      </c>
      <c r="B81" s="17" t="n">
        <v>1657</v>
      </c>
      <c r="C81" s="18">
        <f>(1379.0/B81*100)</f>
        <v/>
      </c>
      <c r="D81" s="19" t="n">
        <v>278</v>
      </c>
      <c r="E81" s="18" t="n">
        <v>16.21108357</v>
      </c>
      <c r="F81" s="20" t="n">
        <v>2.21423966</v>
      </c>
      <c r="G81" s="18" t="n">
        <v>73.23272138</v>
      </c>
      <c r="H81" s="20" t="n">
        <v>2.5997387</v>
      </c>
      <c r="I81" s="18" t="n">
        <v>0</v>
      </c>
      <c r="J81" s="20" t="n">
        <v>0</v>
      </c>
      <c r="K81" s="18" t="n">
        <v>5.94451541</v>
      </c>
      <c r="L81" s="20" t="n">
        <v>1.28249038</v>
      </c>
      <c r="M81" s="18" t="n">
        <v>0</v>
      </c>
      <c r="N81" s="20" t="n">
        <v>0</v>
      </c>
      <c r="O81" s="18" t="n">
        <v>0</v>
      </c>
      <c r="P81" s="20" t="n">
        <v>0</v>
      </c>
      <c r="Q81" s="18" t="n">
        <v>4.61167963</v>
      </c>
      <c r="R81" s="20" t="n">
        <v>1.3329103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31.44541836</v>
      </c>
      <c r="F44" s="20" t="n">
        <v>1.66367047</v>
      </c>
      <c r="G44" s="18" t="n">
        <v>49.13260153</v>
      </c>
      <c r="H44" s="20" t="n">
        <v>2.17918662</v>
      </c>
      <c r="I44" s="18" t="n">
        <v>0</v>
      </c>
      <c r="J44" s="20" t="n">
        <v>0</v>
      </c>
      <c r="K44" s="18" t="n">
        <v>7.46831153</v>
      </c>
      <c r="L44" s="20" t="n">
        <v>1.02653468</v>
      </c>
      <c r="M44" s="18" t="n">
        <v>0</v>
      </c>
      <c r="N44" s="20" t="n">
        <v>0</v>
      </c>
      <c r="O44" s="18" t="n">
        <v>0</v>
      </c>
      <c r="P44" s="20" t="n">
        <v>0</v>
      </c>
      <c r="Q44" s="18" t="n">
        <v>11.95366857</v>
      </c>
      <c r="R44" s="20" t="n">
        <v>1.33428016</v>
      </c>
    </row>
    <row r="45" spans="1:18">
      <c r="A45" s="15" t="s">
        <v>468</v>
      </c>
      <c r="B45" s="17" t="n">
        <v>5519</v>
      </c>
      <c r="C45" s="18">
        <f>(4581.0/B45*100)</f>
        <v/>
      </c>
      <c r="D45" s="19" t="n">
        <v>938</v>
      </c>
      <c r="E45" s="18" t="n">
        <v>64.59457071</v>
      </c>
      <c r="F45" s="20" t="n">
        <v>1.94211779</v>
      </c>
      <c r="G45" s="18" t="n">
        <v>16.0561676</v>
      </c>
      <c r="H45" s="20" t="n">
        <v>1.50733965</v>
      </c>
      <c r="I45" s="18" t="n">
        <v>0</v>
      </c>
      <c r="J45" s="20" t="n">
        <v>0</v>
      </c>
      <c r="K45" s="18" t="n">
        <v>8.76695627</v>
      </c>
      <c r="L45" s="20" t="n">
        <v>0.83277232</v>
      </c>
      <c r="M45" s="18" t="n">
        <v>0.68456343</v>
      </c>
      <c r="N45" s="20" t="n">
        <v>0.26953822</v>
      </c>
      <c r="O45" s="18" t="n">
        <v>0.06216497</v>
      </c>
      <c r="P45" s="20" t="n">
        <v>0.06063027</v>
      </c>
      <c r="Q45" s="18" t="n">
        <v>9.83557703</v>
      </c>
      <c r="R45" s="20" t="n">
        <v>1.01382381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41.42730197</v>
      </c>
      <c r="F54" s="20" t="n">
        <v>1.59831636</v>
      </c>
      <c r="G54" s="18" t="n">
        <v>39.57947175</v>
      </c>
      <c r="H54" s="20" t="n">
        <v>1.67201701</v>
      </c>
      <c r="I54" s="18" t="n">
        <v>0</v>
      </c>
      <c r="J54" s="20" t="n">
        <v>0</v>
      </c>
      <c r="K54" s="18" t="n">
        <v>4.20319864</v>
      </c>
      <c r="L54" s="20" t="n">
        <v>0.72670643</v>
      </c>
      <c r="M54" s="18" t="n">
        <v>0.09321304</v>
      </c>
      <c r="N54" s="20" t="n">
        <v>0.08970971</v>
      </c>
      <c r="O54" s="18" t="n">
        <v>0</v>
      </c>
      <c r="P54" s="20" t="n">
        <v>0</v>
      </c>
      <c r="Q54" s="18" t="n">
        <v>14.6968146</v>
      </c>
      <c r="R54" s="20" t="n">
        <v>1.28010437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60.72244549</v>
      </c>
      <c r="F56" s="20" t="n">
        <v>1.67233364</v>
      </c>
      <c r="G56" s="18" t="n">
        <v>30.92652931</v>
      </c>
      <c r="H56" s="20" t="n">
        <v>1.68010417</v>
      </c>
      <c r="I56" s="18" t="n">
        <v>0</v>
      </c>
      <c r="J56" s="20" t="n">
        <v>0</v>
      </c>
      <c r="K56" s="18" t="n">
        <v>2.55856272</v>
      </c>
      <c r="L56" s="20" t="n">
        <v>0.54172651</v>
      </c>
      <c r="M56" s="18" t="n">
        <v>0</v>
      </c>
      <c r="N56" s="20" t="n">
        <v>0</v>
      </c>
      <c r="O56" s="18" t="n">
        <v>0</v>
      </c>
      <c r="P56" s="20" t="n">
        <v>0</v>
      </c>
      <c r="Q56" s="18" t="n">
        <v>5.79246248</v>
      </c>
      <c r="R56" s="20" t="n">
        <v>0.82723381</v>
      </c>
    </row>
    <row r="57" spans="1:18">
      <c r="A57" s="15" t="s">
        <v>480</v>
      </c>
      <c r="B57" s="17" t="n">
        <v>7267</v>
      </c>
      <c r="C57" s="18">
        <f>(6057.0/B57*100)</f>
        <v/>
      </c>
      <c r="D57" s="19" t="n">
        <v>1210</v>
      </c>
      <c r="E57" s="18" t="n">
        <v>46.01466654</v>
      </c>
      <c r="F57" s="20" t="n">
        <v>1.57108284</v>
      </c>
      <c r="G57" s="18" t="n">
        <v>42.0280809</v>
      </c>
      <c r="H57" s="20" t="n">
        <v>1.7014955</v>
      </c>
      <c r="I57" s="18" t="n">
        <v>0</v>
      </c>
      <c r="J57" s="20" t="n">
        <v>0</v>
      </c>
      <c r="K57" s="18" t="n">
        <v>5.49236012</v>
      </c>
      <c r="L57" s="20" t="n">
        <v>0.68245342</v>
      </c>
      <c r="M57" s="18" t="n">
        <v>0</v>
      </c>
      <c r="N57" s="20" t="n">
        <v>0</v>
      </c>
      <c r="O57" s="18" t="n">
        <v>0</v>
      </c>
      <c r="P57" s="20" t="n">
        <v>0</v>
      </c>
      <c r="Q57" s="18" t="n">
        <v>6.46489243</v>
      </c>
      <c r="R57" s="20" t="n">
        <v>0.8220064500000001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62.15665144</v>
      </c>
      <c r="F59" s="20" t="n">
        <v>2.36725656</v>
      </c>
      <c r="G59" s="18" t="n">
        <v>22.22385435</v>
      </c>
      <c r="H59" s="20" t="n">
        <v>1.7135216</v>
      </c>
      <c r="I59" s="18" t="n">
        <v>0</v>
      </c>
      <c r="J59" s="20" t="n">
        <v>0</v>
      </c>
      <c r="K59" s="18" t="n">
        <v>1.8126253</v>
      </c>
      <c r="L59" s="20" t="n">
        <v>0.6013016</v>
      </c>
      <c r="M59" s="18" t="n">
        <v>0.1239474</v>
      </c>
      <c r="N59" s="20" t="n">
        <v>0.09005541</v>
      </c>
      <c r="O59" s="18" t="n">
        <v>0</v>
      </c>
      <c r="P59" s="20" t="n">
        <v>0</v>
      </c>
      <c r="Q59" s="18" t="n">
        <v>13.68292151</v>
      </c>
      <c r="R59" s="20" t="n">
        <v>1.43884546</v>
      </c>
    </row>
    <row r="60" spans="1:18">
      <c r="A60" s="15" t="s">
        <v>484</v>
      </c>
      <c r="B60" s="17" t="n">
        <v>4546</v>
      </c>
      <c r="C60" s="18">
        <f>(3779.0/B60*100)</f>
        <v/>
      </c>
      <c r="D60" s="19" t="n">
        <v>767</v>
      </c>
      <c r="E60" s="18" t="n">
        <v>44.67347492</v>
      </c>
      <c r="F60" s="20" t="n">
        <v>1.81316896</v>
      </c>
      <c r="G60" s="18" t="n">
        <v>31.821667</v>
      </c>
      <c r="H60" s="20" t="n">
        <v>2.04835063</v>
      </c>
      <c r="I60" s="18" t="n">
        <v>0</v>
      </c>
      <c r="J60" s="20" t="n">
        <v>0</v>
      </c>
      <c r="K60" s="18" t="n">
        <v>9.08691039</v>
      </c>
      <c r="L60" s="20" t="n">
        <v>1.06838774</v>
      </c>
      <c r="M60" s="18" t="n">
        <v>0</v>
      </c>
      <c r="N60" s="20" t="n">
        <v>0</v>
      </c>
      <c r="O60" s="18" t="n">
        <v>0</v>
      </c>
      <c r="P60" s="20" t="n">
        <v>0</v>
      </c>
      <c r="Q60" s="18" t="n">
        <v>14.41794769</v>
      </c>
      <c r="R60" s="20" t="n">
        <v>1.43615829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50.9929566</v>
      </c>
      <c r="F63" s="20" t="n">
        <v>2.04291862</v>
      </c>
      <c r="G63" s="18" t="n">
        <v>20.80839146</v>
      </c>
      <c r="H63" s="20" t="n">
        <v>1.43241884</v>
      </c>
      <c r="I63" s="18" t="n">
        <v>0</v>
      </c>
      <c r="J63" s="20" t="n">
        <v>0</v>
      </c>
      <c r="K63" s="18" t="n">
        <v>6.68113099</v>
      </c>
      <c r="L63" s="20" t="n">
        <v>0.9130203099999999</v>
      </c>
      <c r="M63" s="18" t="n">
        <v>0</v>
      </c>
      <c r="N63" s="20" t="n">
        <v>0</v>
      </c>
      <c r="O63" s="18" t="n">
        <v>0</v>
      </c>
      <c r="P63" s="20" t="n">
        <v>0</v>
      </c>
      <c r="Q63" s="18" t="n">
        <v>21.51752095</v>
      </c>
      <c r="R63" s="20" t="n">
        <v>1.45107446</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20.81474837</v>
      </c>
      <c r="F65" s="20" t="n">
        <v>1.70358309</v>
      </c>
      <c r="G65" s="18" t="n">
        <v>67.34259482</v>
      </c>
      <c r="H65" s="20" t="n">
        <v>2.19930497</v>
      </c>
      <c r="I65" s="18" t="n">
        <v>0</v>
      </c>
      <c r="J65" s="20" t="n">
        <v>0</v>
      </c>
      <c r="K65" s="18" t="n">
        <v>5.8878555</v>
      </c>
      <c r="L65" s="20" t="n">
        <v>1.10786041</v>
      </c>
      <c r="M65" s="18" t="n">
        <v>0</v>
      </c>
      <c r="N65" s="20" t="n">
        <v>0</v>
      </c>
      <c r="O65" s="18" t="n">
        <v>0</v>
      </c>
      <c r="P65" s="20" t="n">
        <v>0</v>
      </c>
      <c r="Q65" s="18" t="n">
        <v>5.9548013</v>
      </c>
      <c r="R65" s="20" t="n">
        <v>1.01745243</v>
      </c>
    </row>
    <row r="66" spans="1:18">
      <c r="A66" s="15" t="s">
        <v>490</v>
      </c>
      <c r="B66" s="17" t="n">
        <v>5325</v>
      </c>
      <c r="C66" s="18">
        <f>(4446.0/B66*100)</f>
        <v/>
      </c>
      <c r="D66" s="19" t="n">
        <v>879</v>
      </c>
      <c r="E66" s="18" t="n">
        <v>22.79308472</v>
      </c>
      <c r="F66" s="20" t="n">
        <v>1.70807017</v>
      </c>
      <c r="G66" s="18" t="n">
        <v>59.67786722</v>
      </c>
      <c r="H66" s="20" t="n">
        <v>1.58394877</v>
      </c>
      <c r="I66" s="18" t="n">
        <v>0</v>
      </c>
      <c r="J66" s="20" t="n">
        <v>0</v>
      </c>
      <c r="K66" s="18" t="n">
        <v>7.86046255</v>
      </c>
      <c r="L66" s="20" t="n">
        <v>1.0037956</v>
      </c>
      <c r="M66" s="18" t="n">
        <v>0</v>
      </c>
      <c r="N66" s="20" t="n">
        <v>0</v>
      </c>
      <c r="O66" s="18" t="n">
        <v>0</v>
      </c>
      <c r="P66" s="20" t="n">
        <v>0</v>
      </c>
      <c r="Q66" s="18" t="n">
        <v>9.668585520000001</v>
      </c>
      <c r="R66" s="20" t="n">
        <v>1.02774841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44.41528551</v>
      </c>
      <c r="F69" s="20" t="n">
        <v>5.4123207</v>
      </c>
      <c r="G69" s="18" t="n">
        <v>48.07140709</v>
      </c>
      <c r="H69" s="20" t="n">
        <v>4.07451241</v>
      </c>
      <c r="I69" s="18" t="n">
        <v>0</v>
      </c>
      <c r="J69" s="20" t="n">
        <v>0</v>
      </c>
      <c r="K69" s="18" t="n">
        <v>1.53981591</v>
      </c>
      <c r="L69" s="20" t="n">
        <v>0.76907019</v>
      </c>
      <c r="M69" s="18" t="n">
        <v>0</v>
      </c>
      <c r="N69" s="20" t="n">
        <v>0</v>
      </c>
      <c r="O69" s="18" t="n">
        <v>0</v>
      </c>
      <c r="P69" s="20" t="n">
        <v>0</v>
      </c>
      <c r="Q69" s="18" t="n">
        <v>5.97349148</v>
      </c>
      <c r="R69" s="20" t="n">
        <v>2.7054355</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47.15902055</v>
      </c>
      <c r="F71" s="20" t="n">
        <v>1.88415827</v>
      </c>
      <c r="G71" s="18" t="n">
        <v>52.51433992</v>
      </c>
      <c r="H71" s="20" t="n">
        <v>1.92481921</v>
      </c>
      <c r="I71" s="18" t="n">
        <v>0</v>
      </c>
      <c r="J71" s="20" t="n">
        <v>0</v>
      </c>
      <c r="K71" s="18" t="n">
        <v>0</v>
      </c>
      <c r="L71" s="20" t="n">
        <v>0</v>
      </c>
      <c r="M71" s="18" t="n">
        <v>0</v>
      </c>
      <c r="N71" s="20" t="n">
        <v>0</v>
      </c>
      <c r="O71" s="18" t="n">
        <v>0</v>
      </c>
      <c r="P71" s="20" t="n">
        <v>0</v>
      </c>
      <c r="Q71" s="18" t="n">
        <v>0.32663952</v>
      </c>
      <c r="R71" s="20" t="n">
        <v>0.18842358</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29.43663284</v>
      </c>
      <c r="F76" s="20" t="n">
        <v>1.89985915</v>
      </c>
      <c r="G76" s="18" t="n">
        <v>52.14589879</v>
      </c>
      <c r="H76" s="20" t="n">
        <v>1.92530252</v>
      </c>
      <c r="I76" s="18" t="n">
        <v>0</v>
      </c>
      <c r="J76" s="20" t="n">
        <v>0</v>
      </c>
      <c r="K76" s="18" t="n">
        <v>10.19933904</v>
      </c>
      <c r="L76" s="20" t="n">
        <v>1.1022632</v>
      </c>
      <c r="M76" s="18" t="n">
        <v>0</v>
      </c>
      <c r="N76" s="20" t="n">
        <v>0</v>
      </c>
      <c r="O76" s="18" t="n">
        <v>0</v>
      </c>
      <c r="P76" s="20" t="n">
        <v>0</v>
      </c>
      <c r="Q76" s="18" t="n">
        <v>8.21812933</v>
      </c>
      <c r="R76" s="20" t="n">
        <v>0.99801323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34.28250285</v>
      </c>
      <c r="F80" s="20" t="n">
        <v>1.55280118</v>
      </c>
      <c r="G80" s="18" t="n">
        <v>65.57520838000001</v>
      </c>
      <c r="H80" s="20" t="n">
        <v>1.56422382</v>
      </c>
      <c r="I80" s="18" t="n">
        <v>0</v>
      </c>
      <c r="J80" s="20" t="n">
        <v>0</v>
      </c>
      <c r="K80" s="18" t="n">
        <v>0</v>
      </c>
      <c r="L80" s="20" t="n">
        <v>0</v>
      </c>
      <c r="M80" s="18" t="n">
        <v>0</v>
      </c>
      <c r="N80" s="20" t="n">
        <v>0</v>
      </c>
      <c r="O80" s="18" t="n">
        <v>0</v>
      </c>
      <c r="P80" s="20" t="n">
        <v>0</v>
      </c>
      <c r="Q80" s="18" t="n">
        <v>0.14228876</v>
      </c>
      <c r="R80" s="20" t="n">
        <v>0.11593644</v>
      </c>
    </row>
    <row r="81" spans="1:18">
      <c r="A81" s="15" t="s">
        <v>505</v>
      </c>
      <c r="B81" s="17" t="n">
        <v>1657</v>
      </c>
      <c r="C81" s="18">
        <f>(1379.0/B81*100)</f>
        <v/>
      </c>
      <c r="D81" s="19" t="n">
        <v>278</v>
      </c>
      <c r="E81" s="18" t="n">
        <v>26.15520103</v>
      </c>
      <c r="F81" s="20" t="n">
        <v>3.10543298</v>
      </c>
      <c r="G81" s="18" t="n">
        <v>61.34999754</v>
      </c>
      <c r="H81" s="20" t="n">
        <v>3.72469598</v>
      </c>
      <c r="I81" s="18" t="n">
        <v>0</v>
      </c>
      <c r="J81" s="20" t="n">
        <v>0</v>
      </c>
      <c r="K81" s="18" t="n">
        <v>6.95135416</v>
      </c>
      <c r="L81" s="20" t="n">
        <v>1.49274385</v>
      </c>
      <c r="M81" s="18" t="n">
        <v>0</v>
      </c>
      <c r="N81" s="20" t="n">
        <v>0</v>
      </c>
      <c r="O81" s="18" t="n">
        <v>0</v>
      </c>
      <c r="P81" s="20" t="n">
        <v>0</v>
      </c>
      <c r="Q81" s="18" t="n">
        <v>5.54344727</v>
      </c>
      <c r="R81" s="20" t="n">
        <v>1.24082648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679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72.62620619</v>
      </c>
      <c r="F44" s="20" t="n">
        <v>1.77943246</v>
      </c>
      <c r="G44" s="18" t="n">
        <v>4.6446599</v>
      </c>
      <c r="H44" s="20" t="n">
        <v>0.7740237800000001</v>
      </c>
      <c r="I44" s="18" t="n">
        <v>0</v>
      </c>
      <c r="J44" s="20" t="n">
        <v>0</v>
      </c>
      <c r="K44" s="18" t="n">
        <v>8.260301930000001</v>
      </c>
      <c r="L44" s="20" t="n">
        <v>1.12921426</v>
      </c>
      <c r="M44" s="18" t="n">
        <v>0</v>
      </c>
      <c r="N44" s="20" t="n">
        <v>0</v>
      </c>
      <c r="O44" s="18" t="n">
        <v>0.18689605</v>
      </c>
      <c r="P44" s="20" t="n">
        <v>0.13894349</v>
      </c>
      <c r="Q44" s="18" t="n">
        <v>14.28193593</v>
      </c>
      <c r="R44" s="20" t="n">
        <v>1.52259134</v>
      </c>
    </row>
    <row r="45" spans="1:18">
      <c r="A45" s="15" t="s">
        <v>468</v>
      </c>
      <c r="B45" s="17" t="n">
        <v>5519</v>
      </c>
      <c r="C45" s="18">
        <f>(4581.0/B45*100)</f>
        <v/>
      </c>
      <c r="D45" s="19" t="n">
        <v>938</v>
      </c>
      <c r="E45" s="18" t="n">
        <v>71.880847</v>
      </c>
      <c r="F45" s="20" t="n">
        <v>1.45789473</v>
      </c>
      <c r="G45" s="18" t="n">
        <v>1.18071831</v>
      </c>
      <c r="H45" s="20" t="n">
        <v>0.47855987</v>
      </c>
      <c r="I45" s="18" t="n">
        <v>0</v>
      </c>
      <c r="J45" s="20" t="n">
        <v>0</v>
      </c>
      <c r="K45" s="18" t="n">
        <v>10.45209522</v>
      </c>
      <c r="L45" s="20" t="n">
        <v>0.91005971</v>
      </c>
      <c r="M45" s="18" t="n">
        <v>0</v>
      </c>
      <c r="N45" s="20" t="n">
        <v>0</v>
      </c>
      <c r="O45" s="18" t="n">
        <v>0</v>
      </c>
      <c r="P45" s="20" t="n">
        <v>0</v>
      </c>
      <c r="Q45" s="18" t="n">
        <v>16.48633947</v>
      </c>
      <c r="R45" s="20" t="n">
        <v>1.24261122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70.60036404</v>
      </c>
      <c r="F54" s="20" t="n">
        <v>1.66806226</v>
      </c>
      <c r="G54" s="18" t="n">
        <v>6.49567883</v>
      </c>
      <c r="H54" s="20" t="n">
        <v>0.76573342</v>
      </c>
      <c r="I54" s="18" t="n">
        <v>0</v>
      </c>
      <c r="J54" s="20" t="n">
        <v>0</v>
      </c>
      <c r="K54" s="18" t="n">
        <v>5.23235845</v>
      </c>
      <c r="L54" s="20" t="n">
        <v>0.83532396</v>
      </c>
      <c r="M54" s="18" t="n">
        <v>0.09321304</v>
      </c>
      <c r="N54" s="20" t="n">
        <v>0.08970971</v>
      </c>
      <c r="O54" s="18" t="n">
        <v>0.50595601</v>
      </c>
      <c r="P54" s="20" t="n">
        <v>0.23070259</v>
      </c>
      <c r="Q54" s="18" t="n">
        <v>17.07242963</v>
      </c>
      <c r="R54" s="20" t="n">
        <v>1.46949129</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68.51860924</v>
      </c>
      <c r="F56" s="20" t="n">
        <v>2.04281136</v>
      </c>
      <c r="G56" s="18" t="n">
        <v>3.45333773</v>
      </c>
      <c r="H56" s="20" t="n">
        <v>0.52481703</v>
      </c>
      <c r="I56" s="18" t="n">
        <v>0</v>
      </c>
      <c r="J56" s="20" t="n">
        <v>0</v>
      </c>
      <c r="K56" s="18" t="n">
        <v>2.67896428</v>
      </c>
      <c r="L56" s="20" t="n">
        <v>0.56302575</v>
      </c>
      <c r="M56" s="18" t="n">
        <v>0.00739419</v>
      </c>
      <c r="N56" s="20" t="n">
        <v>0.00753686</v>
      </c>
      <c r="O56" s="18" t="n">
        <v>0.08793471</v>
      </c>
      <c r="P56" s="20" t="n">
        <v>0.08864239</v>
      </c>
      <c r="Q56" s="18" t="n">
        <v>25.25375985</v>
      </c>
      <c r="R56" s="20" t="n">
        <v>1.95972497</v>
      </c>
    </row>
    <row r="57" spans="1:18">
      <c r="A57" s="15" t="s">
        <v>480</v>
      </c>
      <c r="B57" s="17" t="n">
        <v>7267</v>
      </c>
      <c r="C57" s="18">
        <f>(6057.0/B57*100)</f>
        <v/>
      </c>
      <c r="D57" s="19" t="n">
        <v>1210</v>
      </c>
      <c r="E57" s="18" t="n">
        <v>83.80394244999999</v>
      </c>
      <c r="F57" s="20" t="n">
        <v>1.38819298</v>
      </c>
      <c r="G57" s="18" t="n">
        <v>1.93684703</v>
      </c>
      <c r="H57" s="20" t="n">
        <v>0.41711744</v>
      </c>
      <c r="I57" s="18" t="n">
        <v>0</v>
      </c>
      <c r="J57" s="20" t="n">
        <v>0</v>
      </c>
      <c r="K57" s="18" t="n">
        <v>6.14026775</v>
      </c>
      <c r="L57" s="20" t="n">
        <v>0.75438004</v>
      </c>
      <c r="M57" s="18" t="n">
        <v>0</v>
      </c>
      <c r="N57" s="20" t="n">
        <v>0</v>
      </c>
      <c r="O57" s="18" t="n">
        <v>0.26012536</v>
      </c>
      <c r="P57" s="20" t="n">
        <v>0.18352803</v>
      </c>
      <c r="Q57" s="18" t="n">
        <v>7.85881741</v>
      </c>
      <c r="R57" s="20" t="n">
        <v>0.94716696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79.46997349999999</v>
      </c>
      <c r="F59" s="20" t="n">
        <v>1.59269176</v>
      </c>
      <c r="G59" s="18" t="n">
        <v>1.10949336</v>
      </c>
      <c r="H59" s="20" t="n">
        <v>0.46656326</v>
      </c>
      <c r="I59" s="18" t="n">
        <v>0</v>
      </c>
      <c r="J59" s="20" t="n">
        <v>0</v>
      </c>
      <c r="K59" s="18" t="n">
        <v>2.11538484</v>
      </c>
      <c r="L59" s="20" t="n">
        <v>0.6463428</v>
      </c>
      <c r="M59" s="18" t="n">
        <v>0.28161654</v>
      </c>
      <c r="N59" s="20" t="n">
        <v>0.23743324</v>
      </c>
      <c r="O59" s="18" t="n">
        <v>0.06068395</v>
      </c>
      <c r="P59" s="20" t="n">
        <v>0.06113087</v>
      </c>
      <c r="Q59" s="18" t="n">
        <v>16.96284781</v>
      </c>
      <c r="R59" s="20" t="n">
        <v>1.58644003</v>
      </c>
    </row>
    <row r="60" spans="1:18">
      <c r="A60" s="15" t="s">
        <v>484</v>
      </c>
      <c r="B60" s="17" t="n">
        <v>4546</v>
      </c>
      <c r="C60" s="18">
        <f>(3779.0/B60*100)</f>
        <v/>
      </c>
      <c r="D60" s="19" t="n">
        <v>767</v>
      </c>
      <c r="E60" s="18" t="n">
        <v>70.21692444999999</v>
      </c>
      <c r="F60" s="20" t="n">
        <v>2.09955208</v>
      </c>
      <c r="G60" s="18" t="n">
        <v>4.69221306</v>
      </c>
      <c r="H60" s="20" t="n">
        <v>0.78546458</v>
      </c>
      <c r="I60" s="18" t="n">
        <v>0</v>
      </c>
      <c r="J60" s="20" t="n">
        <v>0</v>
      </c>
      <c r="K60" s="18" t="n">
        <v>10.39593313</v>
      </c>
      <c r="L60" s="20" t="n">
        <v>1.2787767</v>
      </c>
      <c r="M60" s="18" t="n">
        <v>0</v>
      </c>
      <c r="N60" s="20" t="n">
        <v>0</v>
      </c>
      <c r="O60" s="18" t="n">
        <v>0.29923037</v>
      </c>
      <c r="P60" s="20" t="n">
        <v>0.17574216</v>
      </c>
      <c r="Q60" s="18" t="n">
        <v>14.395699</v>
      </c>
      <c r="R60" s="20" t="n">
        <v>1.5702173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68.64224394</v>
      </c>
      <c r="F63" s="20" t="n">
        <v>1.60922843</v>
      </c>
      <c r="G63" s="18" t="n">
        <v>4.28868396</v>
      </c>
      <c r="H63" s="20" t="n">
        <v>0.76882427</v>
      </c>
      <c r="I63" s="18" t="n">
        <v>0</v>
      </c>
      <c r="J63" s="20" t="n">
        <v>0</v>
      </c>
      <c r="K63" s="18" t="n">
        <v>7.91568029</v>
      </c>
      <c r="L63" s="20" t="n">
        <v>0.978429</v>
      </c>
      <c r="M63" s="18" t="n">
        <v>0</v>
      </c>
      <c r="N63" s="20" t="n">
        <v>0</v>
      </c>
      <c r="O63" s="18" t="n">
        <v>0.27185507</v>
      </c>
      <c r="P63" s="20" t="n">
        <v>0.19199349</v>
      </c>
      <c r="Q63" s="18" t="n">
        <v>18.88153675</v>
      </c>
      <c r="R63" s="20" t="n">
        <v>1.20563373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75.01851421000001</v>
      </c>
      <c r="F65" s="20" t="n">
        <v>1.99689448</v>
      </c>
      <c r="G65" s="18" t="n">
        <v>13.82468984</v>
      </c>
      <c r="H65" s="20" t="n">
        <v>1.34125096</v>
      </c>
      <c r="I65" s="18" t="n">
        <v>0</v>
      </c>
      <c r="J65" s="20" t="n">
        <v>0</v>
      </c>
      <c r="K65" s="18" t="n">
        <v>6.69509914</v>
      </c>
      <c r="L65" s="20" t="n">
        <v>1.10892682</v>
      </c>
      <c r="M65" s="18" t="n">
        <v>0</v>
      </c>
      <c r="N65" s="20" t="n">
        <v>0</v>
      </c>
      <c r="O65" s="18" t="n">
        <v>0.32203986</v>
      </c>
      <c r="P65" s="20" t="n">
        <v>0.22606794</v>
      </c>
      <c r="Q65" s="18" t="n">
        <v>4.13965695</v>
      </c>
      <c r="R65" s="20" t="n">
        <v>0.81562331</v>
      </c>
    </row>
    <row r="66" spans="1:18">
      <c r="A66" s="15" t="s">
        <v>490</v>
      </c>
      <c r="B66" s="17" t="n">
        <v>5325</v>
      </c>
      <c r="C66" s="18">
        <f>(4446.0/B66*100)</f>
        <v/>
      </c>
      <c r="D66" s="19" t="n">
        <v>879</v>
      </c>
      <c r="E66" s="18" t="n">
        <v>72.35113548</v>
      </c>
      <c r="F66" s="20" t="n">
        <v>1.76078666</v>
      </c>
      <c r="G66" s="18" t="n">
        <v>7.16623093</v>
      </c>
      <c r="H66" s="20" t="n">
        <v>0.9250145400000001</v>
      </c>
      <c r="I66" s="18" t="n">
        <v>0</v>
      </c>
      <c r="J66" s="20" t="n">
        <v>0</v>
      </c>
      <c r="K66" s="18" t="n">
        <v>9.26698305</v>
      </c>
      <c r="L66" s="20" t="n">
        <v>1.06951277</v>
      </c>
      <c r="M66" s="18" t="n">
        <v>0</v>
      </c>
      <c r="N66" s="20" t="n">
        <v>0</v>
      </c>
      <c r="O66" s="18" t="n">
        <v>0</v>
      </c>
      <c r="P66" s="20" t="n">
        <v>0</v>
      </c>
      <c r="Q66" s="18" t="n">
        <v>11.21565054</v>
      </c>
      <c r="R66" s="20" t="n">
        <v>1.22334397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84.77773765000001</v>
      </c>
      <c r="F69" s="20" t="n">
        <v>2.32159788</v>
      </c>
      <c r="G69" s="18" t="n">
        <v>9.10943355</v>
      </c>
      <c r="H69" s="20" t="n">
        <v>1.88232458</v>
      </c>
      <c r="I69" s="18" t="n">
        <v>0</v>
      </c>
      <c r="J69" s="20" t="n">
        <v>0</v>
      </c>
      <c r="K69" s="18" t="n">
        <v>1.84340745</v>
      </c>
      <c r="L69" s="20" t="n">
        <v>0.83134656</v>
      </c>
      <c r="M69" s="18" t="n">
        <v>0</v>
      </c>
      <c r="N69" s="20" t="n">
        <v>0</v>
      </c>
      <c r="O69" s="18" t="n">
        <v>0.97796563</v>
      </c>
      <c r="P69" s="20" t="n">
        <v>0.9487270799999999</v>
      </c>
      <c r="Q69" s="18" t="n">
        <v>3.29145573</v>
      </c>
      <c r="R69" s="20" t="n">
        <v>1.28891054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91.55609185</v>
      </c>
      <c r="F71" s="20" t="n">
        <v>1.03666555</v>
      </c>
      <c r="G71" s="18" t="n">
        <v>8.115129850000001</v>
      </c>
      <c r="H71" s="20" t="n">
        <v>1.0440788</v>
      </c>
      <c r="I71" s="18" t="n">
        <v>0</v>
      </c>
      <c r="J71" s="20" t="n">
        <v>0</v>
      </c>
      <c r="K71" s="18" t="n">
        <v>0</v>
      </c>
      <c r="L71" s="20" t="n">
        <v>0</v>
      </c>
      <c r="M71" s="18" t="n">
        <v>0</v>
      </c>
      <c r="N71" s="20" t="n">
        <v>0</v>
      </c>
      <c r="O71" s="18" t="n">
        <v>0</v>
      </c>
      <c r="P71" s="20" t="n">
        <v>0</v>
      </c>
      <c r="Q71" s="18" t="n">
        <v>0.3287783</v>
      </c>
      <c r="R71" s="20" t="n">
        <v>0.18909262</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65.08393821999999</v>
      </c>
      <c r="F76" s="20" t="n">
        <v>1.82360005</v>
      </c>
      <c r="G76" s="18" t="n">
        <v>11.99181422</v>
      </c>
      <c r="H76" s="20" t="n">
        <v>1.39363872</v>
      </c>
      <c r="I76" s="18" t="n">
        <v>0</v>
      </c>
      <c r="J76" s="20" t="n">
        <v>0</v>
      </c>
      <c r="K76" s="18" t="n">
        <v>12.11732762</v>
      </c>
      <c r="L76" s="20" t="n">
        <v>1.11895754</v>
      </c>
      <c r="M76" s="18" t="n">
        <v>0</v>
      </c>
      <c r="N76" s="20" t="n">
        <v>0</v>
      </c>
      <c r="O76" s="18" t="n">
        <v>0.18318956</v>
      </c>
      <c r="P76" s="20" t="n">
        <v>0.18411967</v>
      </c>
      <c r="Q76" s="18" t="n">
        <v>10.62373038</v>
      </c>
      <c r="R76" s="20" t="n">
        <v>1.29901174</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86.36653238</v>
      </c>
      <c r="F80" s="20" t="n">
        <v>1.26759944</v>
      </c>
      <c r="G80" s="18" t="n">
        <v>12.73317982</v>
      </c>
      <c r="H80" s="20" t="n">
        <v>1.21092254</v>
      </c>
      <c r="I80" s="18" t="n">
        <v>0</v>
      </c>
      <c r="J80" s="20" t="n">
        <v>0</v>
      </c>
      <c r="K80" s="18" t="n">
        <v>0</v>
      </c>
      <c r="L80" s="20" t="n">
        <v>0</v>
      </c>
      <c r="M80" s="18" t="n">
        <v>0</v>
      </c>
      <c r="N80" s="20" t="n">
        <v>0</v>
      </c>
      <c r="O80" s="18" t="n">
        <v>0</v>
      </c>
      <c r="P80" s="20" t="n">
        <v>0</v>
      </c>
      <c r="Q80" s="18" t="n">
        <v>0.9002878</v>
      </c>
      <c r="R80" s="20" t="n">
        <v>0.3670601</v>
      </c>
    </row>
    <row r="81" spans="1:18">
      <c r="A81" s="15" t="s">
        <v>505</v>
      </c>
      <c r="B81" s="17" t="n">
        <v>1657</v>
      </c>
      <c r="C81" s="18">
        <f>(1379.0/B81*100)</f>
        <v/>
      </c>
      <c r="D81" s="19" t="n">
        <v>278</v>
      </c>
      <c r="E81" s="18" t="n">
        <v>67.42925212999999</v>
      </c>
      <c r="F81" s="20" t="n">
        <v>2.50974066</v>
      </c>
      <c r="G81" s="18" t="n">
        <v>16.15418136</v>
      </c>
      <c r="H81" s="20" t="n">
        <v>2.39154845</v>
      </c>
      <c r="I81" s="18" t="n">
        <v>0</v>
      </c>
      <c r="J81" s="20" t="n">
        <v>0</v>
      </c>
      <c r="K81" s="18" t="n">
        <v>8.21568504</v>
      </c>
      <c r="L81" s="20" t="n">
        <v>1.47738321</v>
      </c>
      <c r="M81" s="18" t="n">
        <v>0</v>
      </c>
      <c r="N81" s="20" t="n">
        <v>0</v>
      </c>
      <c r="O81" s="18" t="n">
        <v>0</v>
      </c>
      <c r="P81" s="20" t="n">
        <v>0</v>
      </c>
      <c r="Q81" s="18" t="n">
        <v>8.200881470000001</v>
      </c>
      <c r="R81" s="20" t="n">
        <v>1.56923753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21.44433002</v>
      </c>
      <c r="F44" s="20" t="n">
        <v>1.63922384</v>
      </c>
      <c r="G44" s="18" t="n">
        <v>60.9662824</v>
      </c>
      <c r="H44" s="20" t="n">
        <v>1.96103631</v>
      </c>
      <c r="I44" s="18" t="n">
        <v>0</v>
      </c>
      <c r="J44" s="20" t="n">
        <v>0</v>
      </c>
      <c r="K44" s="18" t="n">
        <v>11.01483453</v>
      </c>
      <c r="L44" s="20" t="n">
        <v>1.29213852</v>
      </c>
      <c r="M44" s="18" t="n">
        <v>0</v>
      </c>
      <c r="N44" s="20" t="n">
        <v>0</v>
      </c>
      <c r="O44" s="18" t="n">
        <v>0</v>
      </c>
      <c r="P44" s="20" t="n">
        <v>0</v>
      </c>
      <c r="Q44" s="18" t="n">
        <v>6.57455305</v>
      </c>
      <c r="R44" s="20" t="n">
        <v>0.81690261</v>
      </c>
    </row>
    <row r="45" spans="1:18">
      <c r="A45" s="15" t="s">
        <v>468</v>
      </c>
      <c r="B45" s="17" t="n">
        <v>5519</v>
      </c>
      <c r="C45" s="18">
        <f>(4581.0/B45*100)</f>
        <v/>
      </c>
      <c r="D45" s="19" t="n">
        <v>938</v>
      </c>
      <c r="E45" s="18" t="n">
        <v>39.95571467</v>
      </c>
      <c r="F45" s="20" t="n">
        <v>1.67542163</v>
      </c>
      <c r="G45" s="18" t="n">
        <v>36.19040095</v>
      </c>
      <c r="H45" s="20" t="n">
        <v>1.86618533</v>
      </c>
      <c r="I45" s="18" t="n">
        <v>0</v>
      </c>
      <c r="J45" s="20" t="n">
        <v>0</v>
      </c>
      <c r="K45" s="18" t="n">
        <v>14.29998902</v>
      </c>
      <c r="L45" s="20" t="n">
        <v>1.04118665</v>
      </c>
      <c r="M45" s="18" t="n">
        <v>0.54314387</v>
      </c>
      <c r="N45" s="20" t="n">
        <v>0.25376166</v>
      </c>
      <c r="O45" s="18" t="n">
        <v>0.16156522</v>
      </c>
      <c r="P45" s="20" t="n">
        <v>0.12315483</v>
      </c>
      <c r="Q45" s="18" t="n">
        <v>8.849186270000001</v>
      </c>
      <c r="R45" s="20" t="n">
        <v>1.07000829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29.9892452</v>
      </c>
      <c r="F54" s="20" t="n">
        <v>1.88246042</v>
      </c>
      <c r="G54" s="18" t="n">
        <v>41.36020484</v>
      </c>
      <c r="H54" s="20" t="n">
        <v>1.93829525</v>
      </c>
      <c r="I54" s="18" t="n">
        <v>0</v>
      </c>
      <c r="J54" s="20" t="n">
        <v>0</v>
      </c>
      <c r="K54" s="18" t="n">
        <v>6.62205054</v>
      </c>
      <c r="L54" s="20" t="n">
        <v>0.91699615</v>
      </c>
      <c r="M54" s="18" t="n">
        <v>0.09321304</v>
      </c>
      <c r="N54" s="20" t="n">
        <v>0.08970971</v>
      </c>
      <c r="O54" s="18" t="n">
        <v>0.08791497</v>
      </c>
      <c r="P54" s="20" t="n">
        <v>0.08750877999999999</v>
      </c>
      <c r="Q54" s="18" t="n">
        <v>21.84737141</v>
      </c>
      <c r="R54" s="20" t="n">
        <v>1.64288618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38.57890182</v>
      </c>
      <c r="F56" s="20" t="n">
        <v>1.66543452</v>
      </c>
      <c r="G56" s="18" t="n">
        <v>55.83967603</v>
      </c>
      <c r="H56" s="20" t="n">
        <v>1.67919254</v>
      </c>
      <c r="I56" s="18" t="n">
        <v>0</v>
      </c>
      <c r="J56" s="20" t="n">
        <v>0</v>
      </c>
      <c r="K56" s="18" t="n">
        <v>3.56126104</v>
      </c>
      <c r="L56" s="20" t="n">
        <v>0.66532683</v>
      </c>
      <c r="M56" s="18" t="n">
        <v>0</v>
      </c>
      <c r="N56" s="20" t="n">
        <v>0</v>
      </c>
      <c r="O56" s="18" t="n">
        <v>0</v>
      </c>
      <c r="P56" s="20" t="n">
        <v>0</v>
      </c>
      <c r="Q56" s="18" t="n">
        <v>2.02016111</v>
      </c>
      <c r="R56" s="20" t="n">
        <v>0.46408874</v>
      </c>
    </row>
    <row r="57" spans="1:18">
      <c r="A57" s="15" t="s">
        <v>480</v>
      </c>
      <c r="B57" s="17" t="n">
        <v>7267</v>
      </c>
      <c r="C57" s="18">
        <f>(6057.0/B57*100)</f>
        <v/>
      </c>
      <c r="D57" s="19" t="n">
        <v>1210</v>
      </c>
      <c r="E57" s="18" t="n">
        <v>19.91301142</v>
      </c>
      <c r="F57" s="20" t="n">
        <v>1.36523186</v>
      </c>
      <c r="G57" s="18" t="n">
        <v>65.218332</v>
      </c>
      <c r="H57" s="20" t="n">
        <v>1.74166535</v>
      </c>
      <c r="I57" s="18" t="n">
        <v>0</v>
      </c>
      <c r="J57" s="20" t="n">
        <v>0</v>
      </c>
      <c r="K57" s="18" t="n">
        <v>7.40145802</v>
      </c>
      <c r="L57" s="20" t="n">
        <v>0.78109172</v>
      </c>
      <c r="M57" s="18" t="n">
        <v>0</v>
      </c>
      <c r="N57" s="20" t="n">
        <v>0</v>
      </c>
      <c r="O57" s="18" t="n">
        <v>0</v>
      </c>
      <c r="P57" s="20" t="n">
        <v>0</v>
      </c>
      <c r="Q57" s="18" t="n">
        <v>7.46719856</v>
      </c>
      <c r="R57" s="20" t="n">
        <v>0.94990498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47.95948746</v>
      </c>
      <c r="F59" s="20" t="n">
        <v>2.30778912</v>
      </c>
      <c r="G59" s="18" t="n">
        <v>38.17492777</v>
      </c>
      <c r="H59" s="20" t="n">
        <v>2.0053319</v>
      </c>
      <c r="I59" s="18" t="n">
        <v>0</v>
      </c>
      <c r="J59" s="20" t="n">
        <v>0</v>
      </c>
      <c r="K59" s="18" t="n">
        <v>3.78358582</v>
      </c>
      <c r="L59" s="20" t="n">
        <v>0.8805650900000001</v>
      </c>
      <c r="M59" s="18" t="n">
        <v>0.04930139</v>
      </c>
      <c r="N59" s="20" t="n">
        <v>0.04966935</v>
      </c>
      <c r="O59" s="18" t="n">
        <v>0</v>
      </c>
      <c r="P59" s="20" t="n">
        <v>0</v>
      </c>
      <c r="Q59" s="18" t="n">
        <v>10.03269756</v>
      </c>
      <c r="R59" s="20" t="n">
        <v>1.10319718</v>
      </c>
    </row>
    <row r="60" spans="1:18">
      <c r="A60" s="15" t="s">
        <v>484</v>
      </c>
      <c r="B60" s="17" t="n">
        <v>4546</v>
      </c>
      <c r="C60" s="18">
        <f>(3779.0/B60*100)</f>
        <v/>
      </c>
      <c r="D60" s="19" t="n">
        <v>767</v>
      </c>
      <c r="E60" s="18" t="n">
        <v>24.97082524</v>
      </c>
      <c r="F60" s="20" t="n">
        <v>1.97868085</v>
      </c>
      <c r="G60" s="18" t="n">
        <v>37.45493189</v>
      </c>
      <c r="H60" s="20" t="n">
        <v>2.35904371</v>
      </c>
      <c r="I60" s="18" t="n">
        <v>0</v>
      </c>
      <c r="J60" s="20" t="n">
        <v>0</v>
      </c>
      <c r="K60" s="18" t="n">
        <v>16.82477454</v>
      </c>
      <c r="L60" s="20" t="n">
        <v>1.6360664</v>
      </c>
      <c r="M60" s="18" t="n">
        <v>0.26847681</v>
      </c>
      <c r="N60" s="20" t="n">
        <v>0.18816257</v>
      </c>
      <c r="O60" s="18" t="n">
        <v>0.09561242</v>
      </c>
      <c r="P60" s="20" t="n">
        <v>0.08931971</v>
      </c>
      <c r="Q60" s="18" t="n">
        <v>20.38537911</v>
      </c>
      <c r="R60" s="20" t="n">
        <v>1.69146011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30.33360898</v>
      </c>
      <c r="F63" s="20" t="n">
        <v>1.89147143</v>
      </c>
      <c r="G63" s="18" t="n">
        <v>34.27118296</v>
      </c>
      <c r="H63" s="20" t="n">
        <v>1.64352479</v>
      </c>
      <c r="I63" s="18" t="n">
        <v>0</v>
      </c>
      <c r="J63" s="20" t="n">
        <v>0</v>
      </c>
      <c r="K63" s="18" t="n">
        <v>10.96553146</v>
      </c>
      <c r="L63" s="20" t="n">
        <v>1.09253505</v>
      </c>
      <c r="M63" s="18" t="n">
        <v>0</v>
      </c>
      <c r="N63" s="20" t="n">
        <v>0</v>
      </c>
      <c r="O63" s="18" t="n">
        <v>0</v>
      </c>
      <c r="P63" s="20" t="n">
        <v>0</v>
      </c>
      <c r="Q63" s="18" t="n">
        <v>24.42967659</v>
      </c>
      <c r="R63" s="20" t="n">
        <v>1.4171941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24.32981366</v>
      </c>
      <c r="F65" s="20" t="n">
        <v>1.74209083</v>
      </c>
      <c r="G65" s="18" t="n">
        <v>54.6714029</v>
      </c>
      <c r="H65" s="20" t="n">
        <v>2.05921375</v>
      </c>
      <c r="I65" s="18" t="n">
        <v>0</v>
      </c>
      <c r="J65" s="20" t="n">
        <v>0</v>
      </c>
      <c r="K65" s="18" t="n">
        <v>9.18857575</v>
      </c>
      <c r="L65" s="20" t="n">
        <v>1.19869783</v>
      </c>
      <c r="M65" s="18" t="n">
        <v>0</v>
      </c>
      <c r="N65" s="20" t="n">
        <v>0</v>
      </c>
      <c r="O65" s="18" t="n">
        <v>0</v>
      </c>
      <c r="P65" s="20" t="n">
        <v>0</v>
      </c>
      <c r="Q65" s="18" t="n">
        <v>11.81020769</v>
      </c>
      <c r="R65" s="20" t="n">
        <v>1.27732495</v>
      </c>
    </row>
    <row r="66" spans="1:18">
      <c r="A66" s="15" t="s">
        <v>490</v>
      </c>
      <c r="B66" s="17" t="n">
        <v>5325</v>
      </c>
      <c r="C66" s="18">
        <f>(4446.0/B66*100)</f>
        <v/>
      </c>
      <c r="D66" s="19" t="n">
        <v>879</v>
      </c>
      <c r="E66" s="18" t="n">
        <v>26.52069114</v>
      </c>
      <c r="F66" s="20" t="n">
        <v>1.50907422</v>
      </c>
      <c r="G66" s="18" t="n">
        <v>49.30413796</v>
      </c>
      <c r="H66" s="20" t="n">
        <v>1.85026228</v>
      </c>
      <c r="I66" s="18" t="n">
        <v>0</v>
      </c>
      <c r="J66" s="20" t="n">
        <v>0</v>
      </c>
      <c r="K66" s="18" t="n">
        <v>12.81187651</v>
      </c>
      <c r="L66" s="20" t="n">
        <v>1.17457194</v>
      </c>
      <c r="M66" s="18" t="n">
        <v>0</v>
      </c>
      <c r="N66" s="20" t="n">
        <v>0</v>
      </c>
      <c r="O66" s="18" t="n">
        <v>0</v>
      </c>
      <c r="P66" s="20" t="n">
        <v>0</v>
      </c>
      <c r="Q66" s="18" t="n">
        <v>11.3632944</v>
      </c>
      <c r="R66" s="20" t="n">
        <v>1.15280663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43.41603839</v>
      </c>
      <c r="F69" s="20" t="n">
        <v>3.76946806</v>
      </c>
      <c r="G69" s="18" t="n">
        <v>48.1235991</v>
      </c>
      <c r="H69" s="20" t="n">
        <v>4.16665178</v>
      </c>
      <c r="I69" s="18" t="n">
        <v>0</v>
      </c>
      <c r="J69" s="20" t="n">
        <v>0</v>
      </c>
      <c r="K69" s="18" t="n">
        <v>1.84340745</v>
      </c>
      <c r="L69" s="20" t="n">
        <v>0.83134656</v>
      </c>
      <c r="M69" s="18" t="n">
        <v>0</v>
      </c>
      <c r="N69" s="20" t="n">
        <v>0</v>
      </c>
      <c r="O69" s="18" t="n">
        <v>0</v>
      </c>
      <c r="P69" s="20" t="n">
        <v>0</v>
      </c>
      <c r="Q69" s="18" t="n">
        <v>6.61695507</v>
      </c>
      <c r="R69" s="20" t="n">
        <v>2.4787967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36.09209083</v>
      </c>
      <c r="F71" s="20" t="n">
        <v>2.08371998</v>
      </c>
      <c r="G71" s="18" t="n">
        <v>62.18587325</v>
      </c>
      <c r="H71" s="20" t="n">
        <v>2.15136037</v>
      </c>
      <c r="I71" s="18" t="n">
        <v>0</v>
      </c>
      <c r="J71" s="20" t="n">
        <v>0</v>
      </c>
      <c r="K71" s="18" t="n">
        <v>0.24453244</v>
      </c>
      <c r="L71" s="20" t="n">
        <v>0.25245835</v>
      </c>
      <c r="M71" s="18" t="n">
        <v>0</v>
      </c>
      <c r="N71" s="20" t="n">
        <v>0</v>
      </c>
      <c r="O71" s="18" t="n">
        <v>0</v>
      </c>
      <c r="P71" s="20" t="n">
        <v>0</v>
      </c>
      <c r="Q71" s="18" t="n">
        <v>1.47750348</v>
      </c>
      <c r="R71" s="20" t="n">
        <v>0.43851175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22.88834775</v>
      </c>
      <c r="F76" s="20" t="n">
        <v>1.90840232</v>
      </c>
      <c r="G76" s="18" t="n">
        <v>51.48354165</v>
      </c>
      <c r="H76" s="20" t="n">
        <v>1.95895608</v>
      </c>
      <c r="I76" s="18" t="n">
        <v>0</v>
      </c>
      <c r="J76" s="20" t="n">
        <v>0</v>
      </c>
      <c r="K76" s="18" t="n">
        <v>16.6268335</v>
      </c>
      <c r="L76" s="20" t="n">
        <v>1.4246182</v>
      </c>
      <c r="M76" s="18" t="n">
        <v>0</v>
      </c>
      <c r="N76" s="20" t="n">
        <v>0</v>
      </c>
      <c r="O76" s="18" t="n">
        <v>0</v>
      </c>
      <c r="P76" s="20" t="n">
        <v>0</v>
      </c>
      <c r="Q76" s="18" t="n">
        <v>9.001277099999999</v>
      </c>
      <c r="R76" s="20" t="n">
        <v>1.22564382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29.43686929</v>
      </c>
      <c r="F80" s="20" t="n">
        <v>1.39636465</v>
      </c>
      <c r="G80" s="18" t="n">
        <v>69.82648020000001</v>
      </c>
      <c r="H80" s="20" t="n">
        <v>1.46871173</v>
      </c>
      <c r="I80" s="18" t="n">
        <v>0</v>
      </c>
      <c r="J80" s="20" t="n">
        <v>0</v>
      </c>
      <c r="K80" s="18" t="n">
        <v>0</v>
      </c>
      <c r="L80" s="20" t="n">
        <v>0</v>
      </c>
      <c r="M80" s="18" t="n">
        <v>0</v>
      </c>
      <c r="N80" s="20" t="n">
        <v>0</v>
      </c>
      <c r="O80" s="18" t="n">
        <v>0</v>
      </c>
      <c r="P80" s="20" t="n">
        <v>0</v>
      </c>
      <c r="Q80" s="18" t="n">
        <v>0.73665052</v>
      </c>
      <c r="R80" s="20" t="n">
        <v>0.3065285</v>
      </c>
    </row>
    <row r="81" spans="1:18">
      <c r="A81" s="15" t="s">
        <v>505</v>
      </c>
      <c r="B81" s="17" t="n">
        <v>1657</v>
      </c>
      <c r="C81" s="18">
        <f>(1379.0/B81*100)</f>
        <v/>
      </c>
      <c r="D81" s="19" t="n">
        <v>278</v>
      </c>
      <c r="E81" s="18" t="n">
        <v>24.99208459</v>
      </c>
      <c r="F81" s="20" t="n">
        <v>3.03424111</v>
      </c>
      <c r="G81" s="18" t="n">
        <v>59.57733373</v>
      </c>
      <c r="H81" s="20" t="n">
        <v>2.86776663</v>
      </c>
      <c r="I81" s="18" t="n">
        <v>0</v>
      </c>
      <c r="J81" s="20" t="n">
        <v>0</v>
      </c>
      <c r="K81" s="18" t="n">
        <v>8.846442740000001</v>
      </c>
      <c r="L81" s="20" t="n">
        <v>1.48229272</v>
      </c>
      <c r="M81" s="18" t="n">
        <v>0</v>
      </c>
      <c r="N81" s="20" t="n">
        <v>0</v>
      </c>
      <c r="O81" s="18" t="n">
        <v>0</v>
      </c>
      <c r="P81" s="20" t="n">
        <v>0</v>
      </c>
      <c r="Q81" s="18" t="n">
        <v>6.58413894</v>
      </c>
      <c r="R81" s="20" t="n">
        <v>1.40735152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25.87241447</v>
      </c>
      <c r="F44" s="20" t="n">
        <v>1.55976018</v>
      </c>
      <c r="G44" s="18" t="n">
        <v>59.47142731</v>
      </c>
      <c r="H44" s="20" t="n">
        <v>1.93568855</v>
      </c>
      <c r="I44" s="18" t="n">
        <v>0</v>
      </c>
      <c r="J44" s="20" t="n">
        <v>0</v>
      </c>
      <c r="K44" s="18" t="n">
        <v>13.49394164</v>
      </c>
      <c r="L44" s="20" t="n">
        <v>1.46448408</v>
      </c>
      <c r="M44" s="18" t="n">
        <v>0</v>
      </c>
      <c r="N44" s="20" t="n">
        <v>0</v>
      </c>
      <c r="O44" s="18" t="n">
        <v>0.37760816</v>
      </c>
      <c r="P44" s="20" t="n">
        <v>0.18208341</v>
      </c>
      <c r="Q44" s="18" t="n">
        <v>0.78460843</v>
      </c>
      <c r="R44" s="20" t="n">
        <v>0.24473512</v>
      </c>
    </row>
    <row r="45" spans="1:18">
      <c r="A45" s="15" t="s">
        <v>468</v>
      </c>
      <c r="B45" s="17" t="n">
        <v>5519</v>
      </c>
      <c r="C45" s="18">
        <f>(4581.0/B45*100)</f>
        <v/>
      </c>
      <c r="D45" s="19" t="n">
        <v>938</v>
      </c>
      <c r="E45" s="18" t="n">
        <v>28.16291514</v>
      </c>
      <c r="F45" s="20" t="n">
        <v>1.64758604</v>
      </c>
      <c r="G45" s="18" t="n">
        <v>49.80575902</v>
      </c>
      <c r="H45" s="20" t="n">
        <v>1.85053619</v>
      </c>
      <c r="I45" s="18" t="n">
        <v>0</v>
      </c>
      <c r="J45" s="20" t="n">
        <v>0</v>
      </c>
      <c r="K45" s="18" t="n">
        <v>17.97194962</v>
      </c>
      <c r="L45" s="20" t="n">
        <v>1.26867069</v>
      </c>
      <c r="M45" s="18" t="n">
        <v>0.1016509</v>
      </c>
      <c r="N45" s="20" t="n">
        <v>0.09717294999999999</v>
      </c>
      <c r="O45" s="18" t="n">
        <v>2.10268809</v>
      </c>
      <c r="P45" s="20" t="n">
        <v>0.4122172</v>
      </c>
      <c r="Q45" s="18" t="n">
        <v>1.85503724</v>
      </c>
      <c r="R45" s="20" t="n">
        <v>0.45329391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31.81352698</v>
      </c>
      <c r="F54" s="20" t="n">
        <v>1.72891056</v>
      </c>
      <c r="G54" s="18" t="n">
        <v>59.2309632</v>
      </c>
      <c r="H54" s="20" t="n">
        <v>1.94935042</v>
      </c>
      <c r="I54" s="18" t="n">
        <v>0</v>
      </c>
      <c r="J54" s="20" t="n">
        <v>0</v>
      </c>
      <c r="K54" s="18" t="n">
        <v>7.08956926</v>
      </c>
      <c r="L54" s="20" t="n">
        <v>0.958939</v>
      </c>
      <c r="M54" s="18" t="n">
        <v>0</v>
      </c>
      <c r="N54" s="20" t="n">
        <v>0</v>
      </c>
      <c r="O54" s="18" t="n">
        <v>0.29869676</v>
      </c>
      <c r="P54" s="20" t="n">
        <v>0.1712254</v>
      </c>
      <c r="Q54" s="18" t="n">
        <v>1.56724381</v>
      </c>
      <c r="R54" s="20" t="n">
        <v>0.44480085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29.48825238</v>
      </c>
      <c r="F56" s="20" t="n">
        <v>1.7489968</v>
      </c>
      <c r="G56" s="18" t="n">
        <v>65.06274485</v>
      </c>
      <c r="H56" s="20" t="n">
        <v>1.8293765</v>
      </c>
      <c r="I56" s="18" t="n">
        <v>0</v>
      </c>
      <c r="J56" s="20" t="n">
        <v>0</v>
      </c>
      <c r="K56" s="18" t="n">
        <v>4.71806508</v>
      </c>
      <c r="L56" s="20" t="n">
        <v>0.7447227199999999</v>
      </c>
      <c r="M56" s="18" t="n">
        <v>0.18696574</v>
      </c>
      <c r="N56" s="20" t="n">
        <v>0.12964404</v>
      </c>
      <c r="O56" s="18" t="n">
        <v>0.07851047</v>
      </c>
      <c r="P56" s="20" t="n">
        <v>0.07846319</v>
      </c>
      <c r="Q56" s="18" t="n">
        <v>0.46546148</v>
      </c>
      <c r="R56" s="20" t="n">
        <v>0.16989656</v>
      </c>
    </row>
    <row r="57" spans="1:18">
      <c r="A57" s="15" t="s">
        <v>480</v>
      </c>
      <c r="B57" s="17" t="n">
        <v>7267</v>
      </c>
      <c r="C57" s="18">
        <f>(6057.0/B57*100)</f>
        <v/>
      </c>
      <c r="D57" s="19" t="n">
        <v>1210</v>
      </c>
      <c r="E57" s="18" t="n">
        <v>30.04659654</v>
      </c>
      <c r="F57" s="20" t="n">
        <v>1.447135</v>
      </c>
      <c r="G57" s="18" t="n">
        <v>60.25633105</v>
      </c>
      <c r="H57" s="20" t="n">
        <v>1.59589132</v>
      </c>
      <c r="I57" s="18" t="n">
        <v>0</v>
      </c>
      <c r="J57" s="20" t="n">
        <v>0</v>
      </c>
      <c r="K57" s="18" t="n">
        <v>8.22318224</v>
      </c>
      <c r="L57" s="20" t="n">
        <v>0.80348418</v>
      </c>
      <c r="M57" s="18" t="n">
        <v>0</v>
      </c>
      <c r="N57" s="20" t="n">
        <v>0</v>
      </c>
      <c r="O57" s="18" t="n">
        <v>0.45843455</v>
      </c>
      <c r="P57" s="20" t="n">
        <v>0.31735107</v>
      </c>
      <c r="Q57" s="18" t="n">
        <v>1.01545561</v>
      </c>
      <c r="R57" s="20" t="n">
        <v>0.31347443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48.31529317</v>
      </c>
      <c r="F59" s="20" t="n">
        <v>1.94383507</v>
      </c>
      <c r="G59" s="18" t="n">
        <v>46.0681238</v>
      </c>
      <c r="H59" s="20" t="n">
        <v>1.79934836</v>
      </c>
      <c r="I59" s="18" t="n">
        <v>0</v>
      </c>
      <c r="J59" s="20" t="n">
        <v>0</v>
      </c>
      <c r="K59" s="18" t="n">
        <v>3.92028095</v>
      </c>
      <c r="L59" s="20" t="n">
        <v>0.88644754</v>
      </c>
      <c r="M59" s="18" t="n">
        <v>0.16252644</v>
      </c>
      <c r="N59" s="20" t="n">
        <v>0.09794211999999999</v>
      </c>
      <c r="O59" s="18" t="n">
        <v>0.9881132</v>
      </c>
      <c r="P59" s="20" t="n">
        <v>0.41862965</v>
      </c>
      <c r="Q59" s="18" t="n">
        <v>0.54566244</v>
      </c>
      <c r="R59" s="20" t="n">
        <v>0.2229463</v>
      </c>
    </row>
    <row r="60" spans="1:18">
      <c r="A60" s="15" t="s">
        <v>484</v>
      </c>
      <c r="B60" s="17" t="n">
        <v>4546</v>
      </c>
      <c r="C60" s="18">
        <f>(3779.0/B60*100)</f>
        <v/>
      </c>
      <c r="D60" s="19" t="n">
        <v>767</v>
      </c>
      <c r="E60" s="18" t="n">
        <v>37.84549683</v>
      </c>
      <c r="F60" s="20" t="n">
        <v>2.11090721</v>
      </c>
      <c r="G60" s="18" t="n">
        <v>38.55507662</v>
      </c>
      <c r="H60" s="20" t="n">
        <v>2.02889316</v>
      </c>
      <c r="I60" s="18" t="n">
        <v>0</v>
      </c>
      <c r="J60" s="20" t="n">
        <v>0</v>
      </c>
      <c r="K60" s="18" t="n">
        <v>18.4514082</v>
      </c>
      <c r="L60" s="20" t="n">
        <v>1.66994177</v>
      </c>
      <c r="M60" s="18" t="n">
        <v>0</v>
      </c>
      <c r="N60" s="20" t="n">
        <v>0</v>
      </c>
      <c r="O60" s="18" t="n">
        <v>2.23415026</v>
      </c>
      <c r="P60" s="20" t="n">
        <v>0.74662221</v>
      </c>
      <c r="Q60" s="18" t="n">
        <v>2.9138681</v>
      </c>
      <c r="R60" s="20" t="n">
        <v>0.66929759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36.42775886</v>
      </c>
      <c r="F63" s="20" t="n">
        <v>1.74446004</v>
      </c>
      <c r="G63" s="18" t="n">
        <v>48.22245234</v>
      </c>
      <c r="H63" s="20" t="n">
        <v>1.77454549</v>
      </c>
      <c r="I63" s="18" t="n">
        <v>0</v>
      </c>
      <c r="J63" s="20" t="n">
        <v>0</v>
      </c>
      <c r="K63" s="18" t="n">
        <v>12.59040839</v>
      </c>
      <c r="L63" s="20" t="n">
        <v>1.17877551</v>
      </c>
      <c r="M63" s="18" t="n">
        <v>0</v>
      </c>
      <c r="N63" s="20" t="n">
        <v>0</v>
      </c>
      <c r="O63" s="18" t="n">
        <v>0.8271852200000001</v>
      </c>
      <c r="P63" s="20" t="n">
        <v>0.32465654</v>
      </c>
      <c r="Q63" s="18" t="n">
        <v>1.93219519</v>
      </c>
      <c r="R63" s="20" t="n">
        <v>0.5244691500000001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27.06936444</v>
      </c>
      <c r="F65" s="20" t="n">
        <v>1.90901932</v>
      </c>
      <c r="G65" s="18" t="n">
        <v>62.28679111</v>
      </c>
      <c r="H65" s="20" t="n">
        <v>1.83675724</v>
      </c>
      <c r="I65" s="18" t="n">
        <v>0</v>
      </c>
      <c r="J65" s="20" t="n">
        <v>0</v>
      </c>
      <c r="K65" s="18" t="n">
        <v>9.578008110000001</v>
      </c>
      <c r="L65" s="20" t="n">
        <v>1.21510712</v>
      </c>
      <c r="M65" s="18" t="n">
        <v>0</v>
      </c>
      <c r="N65" s="20" t="n">
        <v>0</v>
      </c>
      <c r="O65" s="18" t="n">
        <v>0.1586845</v>
      </c>
      <c r="P65" s="20" t="n">
        <v>0.15954683</v>
      </c>
      <c r="Q65" s="18" t="n">
        <v>0.90715184</v>
      </c>
      <c r="R65" s="20" t="n">
        <v>0.39715442</v>
      </c>
    </row>
    <row r="66" spans="1:18">
      <c r="A66" s="15" t="s">
        <v>490</v>
      </c>
      <c r="B66" s="17" t="n">
        <v>5325</v>
      </c>
      <c r="C66" s="18">
        <f>(4446.0/B66*100)</f>
        <v/>
      </c>
      <c r="D66" s="19" t="n">
        <v>879</v>
      </c>
      <c r="E66" s="18" t="n">
        <v>20.36185314</v>
      </c>
      <c r="F66" s="20" t="n">
        <v>1.51516961</v>
      </c>
      <c r="G66" s="18" t="n">
        <v>63.36379555</v>
      </c>
      <c r="H66" s="20" t="n">
        <v>1.63882659</v>
      </c>
      <c r="I66" s="18" t="n">
        <v>0</v>
      </c>
      <c r="J66" s="20" t="n">
        <v>0</v>
      </c>
      <c r="K66" s="18" t="n">
        <v>13.99416103</v>
      </c>
      <c r="L66" s="20" t="n">
        <v>1.26680817</v>
      </c>
      <c r="M66" s="18" t="n">
        <v>1.39102525</v>
      </c>
      <c r="N66" s="20" t="n">
        <v>0.46753279</v>
      </c>
      <c r="O66" s="18" t="n">
        <v>0</v>
      </c>
      <c r="P66" s="20" t="n">
        <v>0</v>
      </c>
      <c r="Q66" s="18" t="n">
        <v>0.88916503</v>
      </c>
      <c r="R66" s="20" t="n">
        <v>0.30144207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37.39636578</v>
      </c>
      <c r="F69" s="20" t="n">
        <v>4.5970279</v>
      </c>
      <c r="G69" s="18" t="n">
        <v>60.44873945</v>
      </c>
      <c r="H69" s="20" t="n">
        <v>4.54507924</v>
      </c>
      <c r="I69" s="18" t="n">
        <v>0</v>
      </c>
      <c r="J69" s="20" t="n">
        <v>0</v>
      </c>
      <c r="K69" s="18" t="n">
        <v>1.84340745</v>
      </c>
      <c r="L69" s="20" t="n">
        <v>0.83134656</v>
      </c>
      <c r="M69" s="18" t="n">
        <v>0</v>
      </c>
      <c r="N69" s="20" t="n">
        <v>0</v>
      </c>
      <c r="O69" s="18" t="n">
        <v>0</v>
      </c>
      <c r="P69" s="20" t="n">
        <v>0</v>
      </c>
      <c r="Q69" s="18" t="n">
        <v>0.31148732</v>
      </c>
      <c r="R69" s="20" t="n">
        <v>0.30708922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27.04182213</v>
      </c>
      <c r="F71" s="20" t="n">
        <v>1.97472895</v>
      </c>
      <c r="G71" s="18" t="n">
        <v>72.71364543</v>
      </c>
      <c r="H71" s="20" t="n">
        <v>2.00540615</v>
      </c>
      <c r="I71" s="18" t="n">
        <v>0</v>
      </c>
      <c r="J71" s="20" t="n">
        <v>0</v>
      </c>
      <c r="K71" s="18" t="n">
        <v>0.24453244</v>
      </c>
      <c r="L71" s="20" t="n">
        <v>0.25245835</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16.96187793</v>
      </c>
      <c r="F76" s="20" t="n">
        <v>1.496019</v>
      </c>
      <c r="G76" s="18" t="n">
        <v>64.24022711000001</v>
      </c>
      <c r="H76" s="20" t="n">
        <v>1.88288261</v>
      </c>
      <c r="I76" s="18" t="n">
        <v>0</v>
      </c>
      <c r="J76" s="20" t="n">
        <v>0</v>
      </c>
      <c r="K76" s="18" t="n">
        <v>18.12880295</v>
      </c>
      <c r="L76" s="20" t="n">
        <v>1.4674216</v>
      </c>
      <c r="M76" s="18" t="n">
        <v>0</v>
      </c>
      <c r="N76" s="20" t="n">
        <v>0</v>
      </c>
      <c r="O76" s="18" t="n">
        <v>0</v>
      </c>
      <c r="P76" s="20" t="n">
        <v>0</v>
      </c>
      <c r="Q76" s="18" t="n">
        <v>0.669092</v>
      </c>
      <c r="R76" s="20" t="n">
        <v>0.23865019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4.05684316</v>
      </c>
      <c r="F80" s="20" t="n">
        <v>0.6368606999999999</v>
      </c>
      <c r="G80" s="18" t="n">
        <v>95.83561125</v>
      </c>
      <c r="H80" s="20" t="n">
        <v>0.64372534</v>
      </c>
      <c r="I80" s="18" t="n">
        <v>0</v>
      </c>
      <c r="J80" s="20" t="n">
        <v>0</v>
      </c>
      <c r="K80" s="18" t="n">
        <v>0.10754559</v>
      </c>
      <c r="L80" s="20" t="n">
        <v>0.10734691</v>
      </c>
      <c r="M80" s="18" t="n">
        <v>0</v>
      </c>
      <c r="N80" s="20" t="n">
        <v>0</v>
      </c>
      <c r="O80" s="18" t="n">
        <v>0</v>
      </c>
      <c r="P80" s="20" t="n">
        <v>0</v>
      </c>
      <c r="Q80" s="18" t="n">
        <v>0</v>
      </c>
      <c r="R80" s="20" t="n">
        <v>0</v>
      </c>
    </row>
    <row r="81" spans="1:18">
      <c r="A81" s="15" t="s">
        <v>505</v>
      </c>
      <c r="B81" s="17" t="n">
        <v>1657</v>
      </c>
      <c r="C81" s="18">
        <f>(1379.0/B81*100)</f>
        <v/>
      </c>
      <c r="D81" s="19" t="n">
        <v>278</v>
      </c>
      <c r="E81" s="18" t="n">
        <v>17.16709499</v>
      </c>
      <c r="F81" s="20" t="n">
        <v>2.4453102</v>
      </c>
      <c r="G81" s="18" t="n">
        <v>72.35813041999999</v>
      </c>
      <c r="H81" s="20" t="n">
        <v>2.68970654</v>
      </c>
      <c r="I81" s="18" t="n">
        <v>0</v>
      </c>
      <c r="J81" s="20" t="n">
        <v>0</v>
      </c>
      <c r="K81" s="18" t="n">
        <v>10.47477458</v>
      </c>
      <c r="L81" s="20" t="n">
        <v>1.86408137</v>
      </c>
      <c r="M81" s="18" t="n">
        <v>0</v>
      </c>
      <c r="N81" s="20" t="n">
        <v>0</v>
      </c>
      <c r="O81" s="18" t="n">
        <v>0</v>
      </c>
      <c r="P81" s="20" t="n">
        <v>0</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(4352.0/B44*100)</f>
        <v/>
      </c>
      <c r="D44" s="19" t="n">
        <v>863</v>
      </c>
      <c r="E44" s="18" t="n">
        <v>39.53711012</v>
      </c>
      <c r="F44" s="20" t="n">
        <v>2.21268069</v>
      </c>
      <c r="G44" s="18" t="n">
        <v>43.83497365</v>
      </c>
      <c r="H44" s="20" t="n">
        <v>2.56201961</v>
      </c>
      <c r="I44" s="18" t="n">
        <v>0</v>
      </c>
      <c r="J44" s="20" t="n">
        <v>0</v>
      </c>
      <c r="K44" s="18" t="n">
        <v>14.30936319</v>
      </c>
      <c r="L44" s="20" t="n">
        <v>1.46578611</v>
      </c>
      <c r="M44" s="18" t="n">
        <v>0</v>
      </c>
      <c r="N44" s="20" t="n">
        <v>0</v>
      </c>
      <c r="O44" s="18" t="n">
        <v>2.31855303</v>
      </c>
      <c r="P44" s="20" t="n">
        <v>0.79679291</v>
      </c>
      <c r="Q44" s="18" t="n">
        <v>0</v>
      </c>
      <c r="R44" s="20" t="n">
        <v>0</v>
      </c>
    </row>
    <row r="45" spans="1:18">
      <c r="A45" s="15" t="s">
        <v>468</v>
      </c>
      <c r="B45" s="17" t="n">
        <v>5519</v>
      </c>
      <c r="C45" s="18">
        <f>(4581.0/B45*100)</f>
        <v/>
      </c>
      <c r="D45" s="19" t="n">
        <v>938</v>
      </c>
      <c r="E45" s="18" t="n">
        <v>50.54392496</v>
      </c>
      <c r="F45" s="20" t="n">
        <v>1.76476355</v>
      </c>
      <c r="G45" s="18" t="n">
        <v>27.15394738</v>
      </c>
      <c r="H45" s="20" t="n">
        <v>1.629681</v>
      </c>
      <c r="I45" s="18" t="n">
        <v>0</v>
      </c>
      <c r="J45" s="20" t="n">
        <v>0</v>
      </c>
      <c r="K45" s="18" t="n">
        <v>19.86735812</v>
      </c>
      <c r="L45" s="20" t="n">
        <v>1.30811644</v>
      </c>
      <c r="M45" s="18" t="n">
        <v>0</v>
      </c>
      <c r="N45" s="20" t="n">
        <v>0</v>
      </c>
      <c r="O45" s="18" t="n">
        <v>2.43476955</v>
      </c>
      <c r="P45" s="20" t="n">
        <v>0.65420311</v>
      </c>
      <c r="Q45" s="18" t="n">
        <v>0</v>
      </c>
      <c r="R45" s="20" t="n">
        <v>0</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(4409.0/B54*100)</f>
        <v/>
      </c>
      <c r="D54" s="19" t="n">
        <v>907</v>
      </c>
      <c r="E54" s="18" t="n">
        <v>48.30107784</v>
      </c>
      <c r="F54" s="20" t="n">
        <v>1.86306219</v>
      </c>
      <c r="G54" s="18" t="n">
        <v>43.80670562</v>
      </c>
      <c r="H54" s="20" t="n">
        <v>1.91741581</v>
      </c>
      <c r="I54" s="18" t="n">
        <v>0</v>
      </c>
      <c r="J54" s="20" t="n">
        <v>0</v>
      </c>
      <c r="K54" s="18" t="n">
        <v>7.51734204</v>
      </c>
      <c r="L54" s="20" t="n">
        <v>0.96364729</v>
      </c>
      <c r="M54" s="18" t="n">
        <v>0</v>
      </c>
      <c r="N54" s="20" t="n">
        <v>0</v>
      </c>
      <c r="O54" s="18" t="n">
        <v>0.37487449</v>
      </c>
      <c r="P54" s="20" t="n">
        <v>0.1851629</v>
      </c>
      <c r="Q54" s="18" t="n">
        <v>0</v>
      </c>
      <c r="R54" s="20" t="n">
        <v>0</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(5450.0/B56*100)</f>
        <v/>
      </c>
      <c r="D56" s="19" t="n">
        <v>1063</v>
      </c>
      <c r="E56" s="18" t="n">
        <v>57.87045864</v>
      </c>
      <c r="F56" s="20" t="n">
        <v>1.5830752</v>
      </c>
      <c r="G56" s="18" t="n">
        <v>36.84235549</v>
      </c>
      <c r="H56" s="20" t="n">
        <v>1.64731122</v>
      </c>
      <c r="I56" s="18" t="n">
        <v>0</v>
      </c>
      <c r="J56" s="20" t="n">
        <v>0</v>
      </c>
      <c r="K56" s="18" t="n">
        <v>5.02170965</v>
      </c>
      <c r="L56" s="20" t="n">
        <v>0.78975251</v>
      </c>
      <c r="M56" s="18" t="n">
        <v>0.18696574</v>
      </c>
      <c r="N56" s="20" t="n">
        <v>0.12964404</v>
      </c>
      <c r="O56" s="18" t="n">
        <v>0.07851047</v>
      </c>
      <c r="P56" s="20" t="n">
        <v>0.07846319</v>
      </c>
      <c r="Q56" s="18" t="n">
        <v>0</v>
      </c>
      <c r="R56" s="20" t="n">
        <v>0</v>
      </c>
    </row>
    <row r="57" spans="1:18">
      <c r="A57" s="15" t="s">
        <v>480</v>
      </c>
      <c r="B57" s="17" t="n">
        <v>7267</v>
      </c>
      <c r="C57" s="18">
        <f>(6057.0/B57*100)</f>
        <v/>
      </c>
      <c r="D57" s="19" t="n">
        <v>1210</v>
      </c>
      <c r="E57" s="18" t="n">
        <v>56.37406167</v>
      </c>
      <c r="F57" s="20" t="n">
        <v>1.90782532</v>
      </c>
      <c r="G57" s="18" t="n">
        <v>33.54934496</v>
      </c>
      <c r="H57" s="20" t="n">
        <v>1.69660201</v>
      </c>
      <c r="I57" s="18" t="n">
        <v>0</v>
      </c>
      <c r="J57" s="20" t="n">
        <v>0</v>
      </c>
      <c r="K57" s="18" t="n">
        <v>9.04796254</v>
      </c>
      <c r="L57" s="20" t="n">
        <v>0.85383027</v>
      </c>
      <c r="M57" s="18" t="n">
        <v>0</v>
      </c>
      <c r="N57" s="20" t="n">
        <v>0</v>
      </c>
      <c r="O57" s="18" t="n">
        <v>1.02863083</v>
      </c>
      <c r="P57" s="20" t="n">
        <v>0.39748685</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(4011.0/B59*100)</f>
        <v/>
      </c>
      <c r="D59" s="19" t="n">
        <v>815</v>
      </c>
      <c r="E59" s="18" t="n">
        <v>57.43201626</v>
      </c>
      <c r="F59" s="20" t="n">
        <v>2.41063388</v>
      </c>
      <c r="G59" s="18" t="n">
        <v>34.66266766</v>
      </c>
      <c r="H59" s="20" t="n">
        <v>2.03739483</v>
      </c>
      <c r="I59" s="18" t="n">
        <v>0</v>
      </c>
      <c r="J59" s="20" t="n">
        <v>0</v>
      </c>
      <c r="K59" s="18" t="n">
        <v>4.89434014</v>
      </c>
      <c r="L59" s="20" t="n">
        <v>0.9522038</v>
      </c>
      <c r="M59" s="18" t="n">
        <v>1.1623399</v>
      </c>
      <c r="N59" s="20" t="n">
        <v>0.53137148</v>
      </c>
      <c r="O59" s="18" t="n">
        <v>1.84863603</v>
      </c>
      <c r="P59" s="20" t="n">
        <v>0.52251953</v>
      </c>
      <c r="Q59" s="18" t="n">
        <v>0</v>
      </c>
      <c r="R59" s="20" t="n">
        <v>0</v>
      </c>
    </row>
    <row r="60" spans="1:18">
      <c r="A60" s="15" t="s">
        <v>484</v>
      </c>
      <c r="B60" s="17" t="n">
        <v>4546</v>
      </c>
      <c r="C60" s="18">
        <f>(3779.0/B60*100)</f>
        <v/>
      </c>
      <c r="D60" s="19" t="n">
        <v>767</v>
      </c>
      <c r="E60" s="18" t="n">
        <v>51.89310337</v>
      </c>
      <c r="F60" s="20" t="n">
        <v>2.23601898</v>
      </c>
      <c r="G60" s="18" t="n">
        <v>25.39630498</v>
      </c>
      <c r="H60" s="20" t="n">
        <v>1.7598342</v>
      </c>
      <c r="I60" s="18" t="n">
        <v>0</v>
      </c>
      <c r="J60" s="20" t="n">
        <v>0</v>
      </c>
      <c r="K60" s="18" t="n">
        <v>19.24482701</v>
      </c>
      <c r="L60" s="20" t="n">
        <v>1.65404742</v>
      </c>
      <c r="M60" s="18" t="n">
        <v>0</v>
      </c>
      <c r="N60" s="20" t="n">
        <v>0</v>
      </c>
      <c r="O60" s="18" t="n">
        <v>3.46576464</v>
      </c>
      <c r="P60" s="20" t="n">
        <v>0.9282313599999999</v>
      </c>
      <c r="Q60" s="18" t="n">
        <v>0</v>
      </c>
      <c r="R60" s="20" t="n">
        <v>0</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(4438.0/B63*100)</f>
        <v/>
      </c>
      <c r="D63" s="19" t="n">
        <v>886</v>
      </c>
      <c r="E63" s="18" t="n">
        <v>52.36607173</v>
      </c>
      <c r="F63" s="20" t="n">
        <v>1.63926836</v>
      </c>
      <c r="G63" s="18" t="n">
        <v>32.66692044</v>
      </c>
      <c r="H63" s="20" t="n">
        <v>1.58566737</v>
      </c>
      <c r="I63" s="18" t="n">
        <v>0</v>
      </c>
      <c r="J63" s="20" t="n">
        <v>0</v>
      </c>
      <c r="K63" s="18" t="n">
        <v>13.99947761</v>
      </c>
      <c r="L63" s="20" t="n">
        <v>1.2848635</v>
      </c>
      <c r="M63" s="18" t="n">
        <v>0</v>
      </c>
      <c r="N63" s="20" t="n">
        <v>0</v>
      </c>
      <c r="O63" s="18" t="n">
        <v>0.9675302099999999</v>
      </c>
      <c r="P63" s="20" t="n">
        <v>0.26163426</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(3025.0/B65*100)</f>
        <v/>
      </c>
      <c r="D65" s="19" t="n">
        <v>609</v>
      </c>
      <c r="E65" s="18" t="n">
        <v>44.96218335</v>
      </c>
      <c r="F65" s="20" t="n">
        <v>2.09370701</v>
      </c>
      <c r="G65" s="18" t="n">
        <v>44.24785618</v>
      </c>
      <c r="H65" s="20" t="n">
        <v>2.13151633</v>
      </c>
      <c r="I65" s="18" t="n">
        <v>0</v>
      </c>
      <c r="J65" s="20" t="n">
        <v>0</v>
      </c>
      <c r="K65" s="18" t="n">
        <v>10.4566742</v>
      </c>
      <c r="L65" s="20" t="n">
        <v>1.25129336</v>
      </c>
      <c r="M65" s="18" t="n">
        <v>0</v>
      </c>
      <c r="N65" s="20" t="n">
        <v>0</v>
      </c>
      <c r="O65" s="18" t="n">
        <v>0.33328628</v>
      </c>
      <c r="P65" s="20" t="n">
        <v>0.23679556</v>
      </c>
      <c r="Q65" s="18" t="n">
        <v>0</v>
      </c>
      <c r="R65" s="20" t="n">
        <v>0</v>
      </c>
    </row>
    <row r="66" spans="1:18">
      <c r="A66" s="15" t="s">
        <v>490</v>
      </c>
      <c r="B66" s="17" t="n">
        <v>5325</v>
      </c>
      <c r="C66" s="18">
        <f>(4446.0/B66*100)</f>
        <v/>
      </c>
      <c r="D66" s="19" t="n">
        <v>879</v>
      </c>
      <c r="E66" s="18" t="n">
        <v>46.27726162</v>
      </c>
      <c r="F66" s="20" t="n">
        <v>2.12606745</v>
      </c>
      <c r="G66" s="18" t="n">
        <v>36.65953237</v>
      </c>
      <c r="H66" s="20" t="n">
        <v>1.94859819</v>
      </c>
      <c r="I66" s="18" t="n">
        <v>0</v>
      </c>
      <c r="J66" s="20" t="n">
        <v>0</v>
      </c>
      <c r="K66" s="18" t="n">
        <v>14.76498703</v>
      </c>
      <c r="L66" s="20" t="n">
        <v>1.26591602</v>
      </c>
      <c r="M66" s="18" t="n">
        <v>2.29821897</v>
      </c>
      <c r="N66" s="20" t="n">
        <v>0.4658208</v>
      </c>
      <c r="O66" s="18" t="n">
        <v>0</v>
      </c>
      <c r="P66" s="20" t="n">
        <v>0</v>
      </c>
      <c r="Q66" s="18" t="n">
        <v>0</v>
      </c>
      <c r="R66" s="20" t="n">
        <v>0</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(1172.0/B69*100)</f>
        <v/>
      </c>
      <c r="D69" s="19" t="n">
        <v>226</v>
      </c>
      <c r="E69" s="18" t="n">
        <v>44.20166009</v>
      </c>
      <c r="F69" s="20" t="n">
        <v>4.811449</v>
      </c>
      <c r="G69" s="18" t="n">
        <v>52.05694879</v>
      </c>
      <c r="H69" s="20" t="n">
        <v>5.19169506</v>
      </c>
      <c r="I69" s="18" t="n">
        <v>0</v>
      </c>
      <c r="J69" s="20" t="n">
        <v>0</v>
      </c>
      <c r="K69" s="18" t="n">
        <v>3.74139112</v>
      </c>
      <c r="L69" s="20" t="n">
        <v>1.55333052</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(4045.0/B71*100)</f>
        <v/>
      </c>
      <c r="D71" s="19" t="n">
        <v>831</v>
      </c>
      <c r="E71" s="18" t="n">
        <v>51.48622303</v>
      </c>
      <c r="F71" s="20" t="n">
        <v>1.82450883</v>
      </c>
      <c r="G71" s="18" t="n">
        <v>48.1531622</v>
      </c>
      <c r="H71" s="20" t="n">
        <v>1.83720617</v>
      </c>
      <c r="I71" s="18" t="n">
        <v>0</v>
      </c>
      <c r="J71" s="20" t="n">
        <v>0</v>
      </c>
      <c r="K71" s="18" t="n">
        <v>0.36061477</v>
      </c>
      <c r="L71" s="20" t="n">
        <v>0.27823879</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(3938.0/B76*100)</f>
        <v/>
      </c>
      <c r="D76" s="19" t="n">
        <v>754</v>
      </c>
      <c r="E76" s="18" t="n">
        <v>36.7304247</v>
      </c>
      <c r="F76" s="20" t="n">
        <v>2.2032161</v>
      </c>
      <c r="G76" s="18" t="n">
        <v>44.01565743</v>
      </c>
      <c r="H76" s="20" t="n">
        <v>2.21979967</v>
      </c>
      <c r="I76" s="18" t="n">
        <v>0</v>
      </c>
      <c r="J76" s="20" t="n">
        <v>0</v>
      </c>
      <c r="K76" s="18" t="n">
        <v>19.25391787</v>
      </c>
      <c r="L76" s="20" t="n">
        <v>1.53719832</v>
      </c>
      <c r="M76" s="18" t="n">
        <v>0</v>
      </c>
      <c r="N76" s="20" t="n">
        <v>0</v>
      </c>
      <c r="O76" s="18" t="n">
        <v>0</v>
      </c>
      <c r="P76" s="20" t="n">
        <v>0</v>
      </c>
      <c r="Q76" s="18" t="n">
        <v>0</v>
      </c>
      <c r="R76" s="20" t="n">
        <v>0</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17.26323487</v>
      </c>
      <c r="F80" s="20" t="n">
        <v>1.38738918</v>
      </c>
      <c r="G80" s="18" t="n">
        <v>82.62921953</v>
      </c>
      <c r="H80" s="20" t="n">
        <v>1.39284559</v>
      </c>
      <c r="I80" s="18" t="n">
        <v>0</v>
      </c>
      <c r="J80" s="20" t="n">
        <v>0</v>
      </c>
      <c r="K80" s="18" t="n">
        <v>0.10754559</v>
      </c>
      <c r="L80" s="20" t="n">
        <v>0.10734691</v>
      </c>
      <c r="M80" s="18" t="n">
        <v>0</v>
      </c>
      <c r="N80" s="20" t="n">
        <v>0</v>
      </c>
      <c r="O80" s="18" t="n">
        <v>0</v>
      </c>
      <c r="P80" s="20" t="n">
        <v>0</v>
      </c>
      <c r="Q80" s="18" t="n">
        <v>0</v>
      </c>
      <c r="R80" s="20" t="n">
        <v>0</v>
      </c>
    </row>
    <row r="81" spans="1:18">
      <c r="A81" s="15" t="s">
        <v>505</v>
      </c>
      <c r="B81" s="17" t="n">
        <v>1657</v>
      </c>
      <c r="C81" s="18">
        <f>(1379.0/B81*100)</f>
        <v/>
      </c>
      <c r="D81" s="19" t="n">
        <v>278</v>
      </c>
      <c r="E81" s="18" t="n">
        <v>32.58331723</v>
      </c>
      <c r="F81" s="20" t="n">
        <v>3.14190949</v>
      </c>
      <c r="G81" s="18" t="n">
        <v>56.03432394</v>
      </c>
      <c r="H81" s="20" t="n">
        <v>3.73984297</v>
      </c>
      <c r="I81" s="18" t="n">
        <v>0</v>
      </c>
      <c r="J81" s="20" t="n">
        <v>0</v>
      </c>
      <c r="K81" s="18" t="n">
        <v>10.47477458</v>
      </c>
      <c r="L81" s="20" t="n">
        <v>1.86408137</v>
      </c>
      <c r="M81" s="18" t="n">
        <v>0</v>
      </c>
      <c r="N81" s="20" t="n">
        <v>0</v>
      </c>
      <c r="O81" s="18" t="n">
        <v>0.90758424</v>
      </c>
      <c r="P81" s="20" t="n">
        <v>0.5983596</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60.03986319</v>
      </c>
      <c r="F44" s="20" t="n">
        <v>2.17047215</v>
      </c>
      <c r="G44" s="18" t="n">
        <v>26.0040058</v>
      </c>
      <c r="H44" s="20" t="n">
        <v>2.2488091</v>
      </c>
      <c r="I44" s="18" t="n">
        <v>0</v>
      </c>
      <c r="J44" s="20" t="n">
        <v>0</v>
      </c>
      <c r="K44" s="18" t="n">
        <v>3.58072128</v>
      </c>
      <c r="L44" s="20" t="n">
        <v>0.58910784</v>
      </c>
      <c r="M44" s="18" t="n">
        <v>0</v>
      </c>
      <c r="N44" s="20" t="n">
        <v>0</v>
      </c>
      <c r="O44" s="18" t="n">
        <v>0.11351075</v>
      </c>
      <c r="P44" s="20" t="n">
        <v>0.11262475</v>
      </c>
      <c r="Q44" s="18" t="n">
        <v>10.26189899</v>
      </c>
      <c r="R44" s="20" t="n">
        <v>1.30188764</v>
      </c>
    </row>
    <row r="45" spans="1:18">
      <c r="A45" s="15" t="s">
        <v>468</v>
      </c>
      <c r="B45" s="17" t="n">
        <v>5519</v>
      </c>
      <c r="C45" s="18">
        <f>(4594.0/B45*100)</f>
        <v/>
      </c>
      <c r="D45" s="19" t="n">
        <v>925</v>
      </c>
      <c r="E45" s="18" t="n">
        <v>70.02468541</v>
      </c>
      <c r="F45" s="20" t="n">
        <v>1.72965615</v>
      </c>
      <c r="G45" s="18" t="n">
        <v>19.8169949</v>
      </c>
      <c r="H45" s="20" t="n">
        <v>1.28688974</v>
      </c>
      <c r="I45" s="18" t="n">
        <v>0</v>
      </c>
      <c r="J45" s="20" t="n">
        <v>0</v>
      </c>
      <c r="K45" s="18" t="n">
        <v>6.68044938</v>
      </c>
      <c r="L45" s="20" t="n">
        <v>0.8005217100000001</v>
      </c>
      <c r="M45" s="18" t="n">
        <v>0</v>
      </c>
      <c r="N45" s="20" t="n">
        <v>0</v>
      </c>
      <c r="O45" s="18" t="n">
        <v>0</v>
      </c>
      <c r="P45" s="20" t="n">
        <v>0</v>
      </c>
      <c r="Q45" s="18" t="n">
        <v>3.47787031</v>
      </c>
      <c r="R45" s="20" t="n">
        <v>0.68670759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70.24242932999999</v>
      </c>
      <c r="F54" s="20" t="n">
        <v>1.70073444</v>
      </c>
      <c r="G54" s="18" t="n">
        <v>20.45009637</v>
      </c>
      <c r="H54" s="20" t="n">
        <v>1.44922953</v>
      </c>
      <c r="I54" s="18" t="n">
        <v>0</v>
      </c>
      <c r="J54" s="20" t="n">
        <v>0</v>
      </c>
      <c r="K54" s="18" t="n">
        <v>2.46712486</v>
      </c>
      <c r="L54" s="20" t="n">
        <v>0.47969789</v>
      </c>
      <c r="M54" s="18" t="n">
        <v>0</v>
      </c>
      <c r="N54" s="20" t="n">
        <v>0</v>
      </c>
      <c r="O54" s="18" t="n">
        <v>0.07407392</v>
      </c>
      <c r="P54" s="20" t="n">
        <v>0.11076532</v>
      </c>
      <c r="Q54" s="18" t="n">
        <v>6.76627552</v>
      </c>
      <c r="R54" s="20" t="n">
        <v>0.96174393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73.01397583000001</v>
      </c>
      <c r="F56" s="20" t="n">
        <v>1.20673224</v>
      </c>
      <c r="G56" s="18" t="n">
        <v>23.57407571</v>
      </c>
      <c r="H56" s="20" t="n">
        <v>1.24517297</v>
      </c>
      <c r="I56" s="18" t="n">
        <v>0</v>
      </c>
      <c r="J56" s="20" t="n">
        <v>0</v>
      </c>
      <c r="K56" s="18" t="n">
        <v>1.24407709</v>
      </c>
      <c r="L56" s="20" t="n">
        <v>0.38352755</v>
      </c>
      <c r="M56" s="18" t="n">
        <v>0</v>
      </c>
      <c r="N56" s="20" t="n">
        <v>0</v>
      </c>
      <c r="O56" s="18" t="n">
        <v>0.18533989</v>
      </c>
      <c r="P56" s="20" t="n">
        <v>0.19787005</v>
      </c>
      <c r="Q56" s="18" t="n">
        <v>1.98253148</v>
      </c>
      <c r="R56" s="20" t="n">
        <v>0.44955382</v>
      </c>
    </row>
    <row r="57" spans="1:18">
      <c r="A57" s="15" t="s">
        <v>480</v>
      </c>
      <c r="B57" s="17" t="n">
        <v>7267</v>
      </c>
      <c r="C57" s="18">
        <f>(6063.0/B57*100)</f>
        <v/>
      </c>
      <c r="D57" s="19" t="n">
        <v>1204</v>
      </c>
      <c r="E57" s="18" t="n">
        <v>59.2170849</v>
      </c>
      <c r="F57" s="20" t="n">
        <v>1.81288711</v>
      </c>
      <c r="G57" s="18" t="n">
        <v>36.39748468</v>
      </c>
      <c r="H57" s="20" t="n">
        <v>1.83786824</v>
      </c>
      <c r="I57" s="18" t="n">
        <v>0</v>
      </c>
      <c r="J57" s="20" t="n">
        <v>0</v>
      </c>
      <c r="K57" s="18" t="n">
        <v>1.83865307</v>
      </c>
      <c r="L57" s="20" t="n">
        <v>0.37907403</v>
      </c>
      <c r="M57" s="18" t="n">
        <v>0</v>
      </c>
      <c r="N57" s="20" t="n">
        <v>0</v>
      </c>
      <c r="O57" s="18" t="n">
        <v>0</v>
      </c>
      <c r="P57" s="20" t="n">
        <v>0</v>
      </c>
      <c r="Q57" s="18" t="n">
        <v>2.54677734</v>
      </c>
      <c r="R57" s="20" t="n">
        <v>0.5185117299999999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70.25366124999999</v>
      </c>
      <c r="F59" s="20" t="n">
        <v>1.79953864</v>
      </c>
      <c r="G59" s="18" t="n">
        <v>24.58520836</v>
      </c>
      <c r="H59" s="20" t="n">
        <v>1.77053331</v>
      </c>
      <c r="I59" s="18" t="n">
        <v>0</v>
      </c>
      <c r="J59" s="20" t="n">
        <v>0</v>
      </c>
      <c r="K59" s="18" t="n">
        <v>1.16193666</v>
      </c>
      <c r="L59" s="20" t="n">
        <v>0.46853003</v>
      </c>
      <c r="M59" s="18" t="n">
        <v>0</v>
      </c>
      <c r="N59" s="20" t="n">
        <v>0</v>
      </c>
      <c r="O59" s="18" t="n">
        <v>0</v>
      </c>
      <c r="P59" s="20" t="n">
        <v>0</v>
      </c>
      <c r="Q59" s="18" t="n">
        <v>3.99919374</v>
      </c>
      <c r="R59" s="20" t="n">
        <v>0.62358598</v>
      </c>
    </row>
    <row r="60" spans="1:18">
      <c r="A60" s="15" t="s">
        <v>484</v>
      </c>
      <c r="B60" s="17" t="n">
        <v>4546</v>
      </c>
      <c r="C60" s="18">
        <f>(3791.0/B60*100)</f>
        <v/>
      </c>
      <c r="D60" s="19" t="n">
        <v>755</v>
      </c>
      <c r="E60" s="18" t="n">
        <v>56.72687851</v>
      </c>
      <c r="F60" s="20" t="n">
        <v>2.08008048</v>
      </c>
      <c r="G60" s="18" t="n">
        <v>33.41727999</v>
      </c>
      <c r="H60" s="20" t="n">
        <v>2.02794416</v>
      </c>
      <c r="I60" s="18" t="n">
        <v>0</v>
      </c>
      <c r="J60" s="20" t="n">
        <v>0</v>
      </c>
      <c r="K60" s="18" t="n">
        <v>2.92860761</v>
      </c>
      <c r="L60" s="20" t="n">
        <v>0.51440898</v>
      </c>
      <c r="M60" s="18" t="n">
        <v>0</v>
      </c>
      <c r="N60" s="20" t="n">
        <v>0</v>
      </c>
      <c r="O60" s="18" t="n">
        <v>0</v>
      </c>
      <c r="P60" s="20" t="n">
        <v>0</v>
      </c>
      <c r="Q60" s="18" t="n">
        <v>6.92723389</v>
      </c>
      <c r="R60" s="20" t="n">
        <v>0.97075012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62.34054805</v>
      </c>
      <c r="F63" s="20" t="n">
        <v>1.79437671</v>
      </c>
      <c r="G63" s="18" t="n">
        <v>25.86483159</v>
      </c>
      <c r="H63" s="20" t="n">
        <v>1.59464367</v>
      </c>
      <c r="I63" s="18" t="n">
        <v>0</v>
      </c>
      <c r="J63" s="20" t="n">
        <v>0</v>
      </c>
      <c r="K63" s="18" t="n">
        <v>1.93486144</v>
      </c>
      <c r="L63" s="20" t="n">
        <v>0.36984283</v>
      </c>
      <c r="M63" s="18" t="n">
        <v>0</v>
      </c>
      <c r="N63" s="20" t="n">
        <v>0</v>
      </c>
      <c r="O63" s="18" t="n">
        <v>0.1214548</v>
      </c>
      <c r="P63" s="20" t="n">
        <v>0.12221627</v>
      </c>
      <c r="Q63" s="18" t="n">
        <v>9.73830412</v>
      </c>
      <c r="R63" s="20" t="n">
        <v>1.17221655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56.10490391</v>
      </c>
      <c r="F65" s="20" t="n">
        <v>1.93021957</v>
      </c>
      <c r="G65" s="18" t="n">
        <v>38.48415944</v>
      </c>
      <c r="H65" s="20" t="n">
        <v>1.81010983</v>
      </c>
      <c r="I65" s="18" t="n">
        <v>0</v>
      </c>
      <c r="J65" s="20" t="n">
        <v>0</v>
      </c>
      <c r="K65" s="18" t="n">
        <v>2.63532654</v>
      </c>
      <c r="L65" s="20" t="n">
        <v>0.62958601</v>
      </c>
      <c r="M65" s="18" t="n">
        <v>0</v>
      </c>
      <c r="N65" s="20" t="n">
        <v>0</v>
      </c>
      <c r="O65" s="18" t="n">
        <v>0.14656577</v>
      </c>
      <c r="P65" s="20" t="n">
        <v>0.14727381</v>
      </c>
      <c r="Q65" s="18" t="n">
        <v>2.62904434</v>
      </c>
      <c r="R65" s="20" t="n">
        <v>0.70499036</v>
      </c>
    </row>
    <row r="66" spans="1:18">
      <c r="A66" s="15" t="s">
        <v>490</v>
      </c>
      <c r="B66" s="17" t="n">
        <v>5325</v>
      </c>
      <c r="C66" s="18">
        <f>(4425.0/B66*100)</f>
        <v/>
      </c>
      <c r="D66" s="19" t="n">
        <v>900</v>
      </c>
      <c r="E66" s="18" t="n">
        <v>62.63891848</v>
      </c>
      <c r="F66" s="20" t="n">
        <v>1.71047051</v>
      </c>
      <c r="G66" s="18" t="n">
        <v>25.72064275</v>
      </c>
      <c r="H66" s="20" t="n">
        <v>1.46226481</v>
      </c>
      <c r="I66" s="18" t="n">
        <v>0</v>
      </c>
      <c r="J66" s="20" t="n">
        <v>0</v>
      </c>
      <c r="K66" s="18" t="n">
        <v>5.58864122</v>
      </c>
      <c r="L66" s="20" t="n">
        <v>0.84334646</v>
      </c>
      <c r="M66" s="18" t="n">
        <v>0</v>
      </c>
      <c r="N66" s="20" t="n">
        <v>0</v>
      </c>
      <c r="O66" s="18" t="n">
        <v>0</v>
      </c>
      <c r="P66" s="20" t="n">
        <v>0</v>
      </c>
      <c r="Q66" s="18" t="n">
        <v>6.05179754</v>
      </c>
      <c r="R66" s="20" t="n">
        <v>0.8418143300000001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63.66674243</v>
      </c>
      <c r="F69" s="20" t="n">
        <v>4.544647</v>
      </c>
      <c r="G69" s="18" t="n">
        <v>29.47275263</v>
      </c>
      <c r="H69" s="20" t="n">
        <v>4.14532184</v>
      </c>
      <c r="I69" s="18" t="n">
        <v>0</v>
      </c>
      <c r="J69" s="20" t="n">
        <v>0</v>
      </c>
      <c r="K69" s="18" t="n">
        <v>1.14463824</v>
      </c>
      <c r="L69" s="20" t="n">
        <v>0.64320184</v>
      </c>
      <c r="M69" s="18" t="n">
        <v>0</v>
      </c>
      <c r="N69" s="20" t="n">
        <v>0</v>
      </c>
      <c r="O69" s="18" t="n">
        <v>0.25584992</v>
      </c>
      <c r="P69" s="20" t="n">
        <v>0.26901948</v>
      </c>
      <c r="Q69" s="18" t="n">
        <v>5.46001679</v>
      </c>
      <c r="R69" s="20" t="n">
        <v>1.66239098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67.33107517000001</v>
      </c>
      <c r="F71" s="20" t="n">
        <v>1.76520107</v>
      </c>
      <c r="G71" s="18" t="n">
        <v>32.66892483</v>
      </c>
      <c r="H71" s="20" t="n">
        <v>1.76520107</v>
      </c>
      <c r="I71" s="18" t="n">
        <v>0</v>
      </c>
      <c r="J71" s="20" t="n">
        <v>0</v>
      </c>
      <c r="K71" s="18" t="n">
        <v>0</v>
      </c>
      <c r="L71" s="20" t="n">
        <v>0</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57.53747696</v>
      </c>
      <c r="F76" s="20" t="n">
        <v>1.93017957</v>
      </c>
      <c r="G76" s="18" t="n">
        <v>30.63474428</v>
      </c>
      <c r="H76" s="20" t="n">
        <v>1.68380507</v>
      </c>
      <c r="I76" s="18" t="n">
        <v>0</v>
      </c>
      <c r="J76" s="20" t="n">
        <v>0</v>
      </c>
      <c r="K76" s="18" t="n">
        <v>3.82024654</v>
      </c>
      <c r="L76" s="20" t="n">
        <v>0.65574644</v>
      </c>
      <c r="M76" s="18" t="n">
        <v>0</v>
      </c>
      <c r="N76" s="20" t="n">
        <v>0</v>
      </c>
      <c r="O76" s="18" t="n">
        <v>0.10185965</v>
      </c>
      <c r="P76" s="20" t="n">
        <v>0.10333474</v>
      </c>
      <c r="Q76" s="18" t="n">
        <v>7.90567257</v>
      </c>
      <c r="R76" s="20" t="n">
        <v>1.11227204</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37.83784191</v>
      </c>
      <c r="F80" s="20" t="n">
        <v>1.46277045</v>
      </c>
      <c r="G80" s="18" t="n">
        <v>62.1346295</v>
      </c>
      <c r="H80" s="20" t="n">
        <v>1.46270844</v>
      </c>
      <c r="I80" s="18" t="n">
        <v>0</v>
      </c>
      <c r="J80" s="20" t="n">
        <v>0</v>
      </c>
      <c r="K80" s="18" t="n">
        <v>0</v>
      </c>
      <c r="L80" s="20" t="n">
        <v>0</v>
      </c>
      <c r="M80" s="18" t="n">
        <v>0</v>
      </c>
      <c r="N80" s="20" t="n">
        <v>0</v>
      </c>
      <c r="O80" s="18" t="n">
        <v>0</v>
      </c>
      <c r="P80" s="20" t="n">
        <v>0</v>
      </c>
      <c r="Q80" s="18" t="n">
        <v>0.02752859</v>
      </c>
      <c r="R80" s="20" t="n">
        <v>0.0196299</v>
      </c>
    </row>
    <row r="81" spans="1:18">
      <c r="A81" s="15" t="s">
        <v>505</v>
      </c>
      <c r="B81" s="17" t="n">
        <v>1657</v>
      </c>
      <c r="C81" s="18">
        <f>(1384.0/B81*100)</f>
        <v/>
      </c>
      <c r="D81" s="19" t="n">
        <v>273</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32.45177616</v>
      </c>
      <c r="F44" s="20" t="n">
        <v>2.03515233</v>
      </c>
      <c r="G44" s="18" t="n">
        <v>52.31700424</v>
      </c>
      <c r="H44" s="20" t="n">
        <v>1.9237576</v>
      </c>
      <c r="I44" s="18" t="n">
        <v>0</v>
      </c>
      <c r="J44" s="20" t="n">
        <v>0</v>
      </c>
      <c r="K44" s="18" t="n">
        <v>3.7771764</v>
      </c>
      <c r="L44" s="20" t="n">
        <v>0.5802432</v>
      </c>
      <c r="M44" s="18" t="n">
        <v>0</v>
      </c>
      <c r="N44" s="20" t="n">
        <v>0</v>
      </c>
      <c r="O44" s="18" t="n">
        <v>1.40868601</v>
      </c>
      <c r="P44" s="20" t="n">
        <v>0.58117759</v>
      </c>
      <c r="Q44" s="18" t="n">
        <v>10.04535718</v>
      </c>
      <c r="R44" s="20" t="n">
        <v>1.20091718</v>
      </c>
    </row>
    <row r="45" spans="1:18">
      <c r="A45" s="15" t="s">
        <v>468</v>
      </c>
      <c r="B45" s="17" t="n">
        <v>5519</v>
      </c>
      <c r="C45" s="18">
        <f>(4594.0/B45*100)</f>
        <v/>
      </c>
      <c r="D45" s="19" t="n">
        <v>925</v>
      </c>
      <c r="E45" s="18" t="n">
        <v>42.41892525</v>
      </c>
      <c r="F45" s="20" t="n">
        <v>1.64087084</v>
      </c>
      <c r="G45" s="18" t="n">
        <v>40.39847391</v>
      </c>
      <c r="H45" s="20" t="n">
        <v>1.7560786</v>
      </c>
      <c r="I45" s="18" t="n">
        <v>0</v>
      </c>
      <c r="J45" s="20" t="n">
        <v>0</v>
      </c>
      <c r="K45" s="18" t="n">
        <v>6.68044938</v>
      </c>
      <c r="L45" s="20" t="n">
        <v>0.8005217100000001</v>
      </c>
      <c r="M45" s="18" t="n">
        <v>0.36516201</v>
      </c>
      <c r="N45" s="20" t="n">
        <v>0.21389456</v>
      </c>
      <c r="O45" s="18" t="n">
        <v>3.98202845</v>
      </c>
      <c r="P45" s="20" t="n">
        <v>0.75135942</v>
      </c>
      <c r="Q45" s="18" t="n">
        <v>6.154961</v>
      </c>
      <c r="R45" s="20" t="n">
        <v>0.90172811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52.49101498</v>
      </c>
      <c r="F54" s="20" t="n">
        <v>1.65797356</v>
      </c>
      <c r="G54" s="18" t="n">
        <v>40.32954119</v>
      </c>
      <c r="H54" s="20" t="n">
        <v>1.72565066</v>
      </c>
      <c r="I54" s="18" t="n">
        <v>0</v>
      </c>
      <c r="J54" s="20" t="n">
        <v>0</v>
      </c>
      <c r="K54" s="18" t="n">
        <v>2.46712486</v>
      </c>
      <c r="L54" s="20" t="n">
        <v>0.47969789</v>
      </c>
      <c r="M54" s="18" t="n">
        <v>0</v>
      </c>
      <c r="N54" s="20" t="n">
        <v>0</v>
      </c>
      <c r="O54" s="18" t="n">
        <v>0.30112358</v>
      </c>
      <c r="P54" s="20" t="n">
        <v>0.15528711</v>
      </c>
      <c r="Q54" s="18" t="n">
        <v>4.4111954</v>
      </c>
      <c r="R54" s="20" t="n">
        <v>0.69213677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66.93560605</v>
      </c>
      <c r="F56" s="20" t="n">
        <v>1.82032139</v>
      </c>
      <c r="G56" s="18" t="n">
        <v>30.27037789</v>
      </c>
      <c r="H56" s="20" t="n">
        <v>1.70348214</v>
      </c>
      <c r="I56" s="18" t="n">
        <v>0</v>
      </c>
      <c r="J56" s="20" t="n">
        <v>0</v>
      </c>
      <c r="K56" s="18" t="n">
        <v>1.24407709</v>
      </c>
      <c r="L56" s="20" t="n">
        <v>0.38352755</v>
      </c>
      <c r="M56" s="18" t="n">
        <v>0</v>
      </c>
      <c r="N56" s="20" t="n">
        <v>0</v>
      </c>
      <c r="O56" s="18" t="n">
        <v>0.18533989</v>
      </c>
      <c r="P56" s="20" t="n">
        <v>0.19787005</v>
      </c>
      <c r="Q56" s="18" t="n">
        <v>1.36459909</v>
      </c>
      <c r="R56" s="20" t="n">
        <v>0.37654328</v>
      </c>
    </row>
    <row r="57" spans="1:18">
      <c r="A57" s="15" t="s">
        <v>480</v>
      </c>
      <c r="B57" s="17" t="n">
        <v>7267</v>
      </c>
      <c r="C57" s="18">
        <f>(6063.0/B57*100)</f>
        <v/>
      </c>
      <c r="D57" s="19" t="n">
        <v>1204</v>
      </c>
      <c r="E57" s="18" t="n">
        <v>40.44579516</v>
      </c>
      <c r="F57" s="20" t="n">
        <v>1.86706042</v>
      </c>
      <c r="G57" s="18" t="n">
        <v>53.3318825</v>
      </c>
      <c r="H57" s="20" t="n">
        <v>1.79298746</v>
      </c>
      <c r="I57" s="18" t="n">
        <v>0</v>
      </c>
      <c r="J57" s="20" t="n">
        <v>0</v>
      </c>
      <c r="K57" s="18" t="n">
        <v>2.08445492</v>
      </c>
      <c r="L57" s="20" t="n">
        <v>0.45547217</v>
      </c>
      <c r="M57" s="18" t="n">
        <v>0</v>
      </c>
      <c r="N57" s="20" t="n">
        <v>0</v>
      </c>
      <c r="O57" s="18" t="n">
        <v>0.08732226</v>
      </c>
      <c r="P57" s="20" t="n">
        <v>0.0526965</v>
      </c>
      <c r="Q57" s="18" t="n">
        <v>4.05054516</v>
      </c>
      <c r="R57" s="20" t="n">
        <v>0.80668954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48.25497749</v>
      </c>
      <c r="F59" s="20" t="n">
        <v>2.17129583</v>
      </c>
      <c r="G59" s="18" t="n">
        <v>46.69516179</v>
      </c>
      <c r="H59" s="20" t="n">
        <v>2.15199509</v>
      </c>
      <c r="I59" s="18" t="n">
        <v>0</v>
      </c>
      <c r="J59" s="20" t="n">
        <v>0</v>
      </c>
      <c r="K59" s="18" t="n">
        <v>1.16193666</v>
      </c>
      <c r="L59" s="20" t="n">
        <v>0.46853003</v>
      </c>
      <c r="M59" s="18" t="n">
        <v>0</v>
      </c>
      <c r="N59" s="20" t="n">
        <v>0</v>
      </c>
      <c r="O59" s="18" t="n">
        <v>1.82541364</v>
      </c>
      <c r="P59" s="20" t="n">
        <v>0.51541892</v>
      </c>
      <c r="Q59" s="18" t="n">
        <v>2.06251042</v>
      </c>
      <c r="R59" s="20" t="n">
        <v>0.62786232</v>
      </c>
    </row>
    <row r="60" spans="1:18">
      <c r="A60" s="15" t="s">
        <v>484</v>
      </c>
      <c r="B60" s="17" t="n">
        <v>4546</v>
      </c>
      <c r="C60" s="18">
        <f>(3791.0/B60*100)</f>
        <v/>
      </c>
      <c r="D60" s="19" t="n">
        <v>755</v>
      </c>
      <c r="E60" s="18" t="n">
        <v>35.32799703</v>
      </c>
      <c r="F60" s="20" t="n">
        <v>1.8912986</v>
      </c>
      <c r="G60" s="18" t="n">
        <v>51.92578436</v>
      </c>
      <c r="H60" s="20" t="n">
        <v>1.8443234</v>
      </c>
      <c r="I60" s="18" t="n">
        <v>0</v>
      </c>
      <c r="J60" s="20" t="n">
        <v>0</v>
      </c>
      <c r="K60" s="18" t="n">
        <v>2.92860761</v>
      </c>
      <c r="L60" s="20" t="n">
        <v>0.51440898</v>
      </c>
      <c r="M60" s="18" t="n">
        <v>0</v>
      </c>
      <c r="N60" s="20" t="n">
        <v>0</v>
      </c>
      <c r="O60" s="18" t="n">
        <v>2.73199686</v>
      </c>
      <c r="P60" s="20" t="n">
        <v>0.68665213</v>
      </c>
      <c r="Q60" s="18" t="n">
        <v>7.08561415</v>
      </c>
      <c r="R60" s="20" t="n">
        <v>1.07067384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44.00899111</v>
      </c>
      <c r="F63" s="20" t="n">
        <v>1.94472668</v>
      </c>
      <c r="G63" s="18" t="n">
        <v>45.00725662</v>
      </c>
      <c r="H63" s="20" t="n">
        <v>2.08028203</v>
      </c>
      <c r="I63" s="18" t="n">
        <v>0</v>
      </c>
      <c r="J63" s="20" t="n">
        <v>0</v>
      </c>
      <c r="K63" s="18" t="n">
        <v>1.93486144</v>
      </c>
      <c r="L63" s="20" t="n">
        <v>0.36984283</v>
      </c>
      <c r="M63" s="18" t="n">
        <v>0</v>
      </c>
      <c r="N63" s="20" t="n">
        <v>0</v>
      </c>
      <c r="O63" s="18" t="n">
        <v>0.98295324</v>
      </c>
      <c r="P63" s="20" t="n">
        <v>0.39179758</v>
      </c>
      <c r="Q63" s="18" t="n">
        <v>8.06593758</v>
      </c>
      <c r="R63" s="20" t="n">
        <v>0.86243694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37.38902881</v>
      </c>
      <c r="F65" s="20" t="n">
        <v>1.87614994</v>
      </c>
      <c r="G65" s="18" t="n">
        <v>56.43075169</v>
      </c>
      <c r="H65" s="20" t="n">
        <v>1.80863817</v>
      </c>
      <c r="I65" s="18" t="n">
        <v>0</v>
      </c>
      <c r="J65" s="20" t="n">
        <v>0</v>
      </c>
      <c r="K65" s="18" t="n">
        <v>2.78775381</v>
      </c>
      <c r="L65" s="20" t="n">
        <v>0.60978503</v>
      </c>
      <c r="M65" s="18" t="n">
        <v>0</v>
      </c>
      <c r="N65" s="20" t="n">
        <v>0</v>
      </c>
      <c r="O65" s="18" t="n">
        <v>0.14656577</v>
      </c>
      <c r="P65" s="20" t="n">
        <v>0.14727381</v>
      </c>
      <c r="Q65" s="18" t="n">
        <v>3.24589993</v>
      </c>
      <c r="R65" s="20" t="n">
        <v>0.81995659</v>
      </c>
    </row>
    <row r="66" spans="1:18">
      <c r="A66" s="15" t="s">
        <v>490</v>
      </c>
      <c r="B66" s="17" t="n">
        <v>5325</v>
      </c>
      <c r="C66" s="18">
        <f>(4425.0/B66*100)</f>
        <v/>
      </c>
      <c r="D66" s="19" t="n">
        <v>900</v>
      </c>
      <c r="E66" s="18" t="n">
        <v>36.89330032</v>
      </c>
      <c r="F66" s="20" t="n">
        <v>1.73233278</v>
      </c>
      <c r="G66" s="18" t="n">
        <v>49.4717557</v>
      </c>
      <c r="H66" s="20" t="n">
        <v>1.68424003</v>
      </c>
      <c r="I66" s="18" t="n">
        <v>0</v>
      </c>
      <c r="J66" s="20" t="n">
        <v>0</v>
      </c>
      <c r="K66" s="18" t="n">
        <v>5.78174533</v>
      </c>
      <c r="L66" s="20" t="n">
        <v>0.87349734</v>
      </c>
      <c r="M66" s="18" t="n">
        <v>2.85187164</v>
      </c>
      <c r="N66" s="20" t="n">
        <v>0.49168746</v>
      </c>
      <c r="O66" s="18" t="n">
        <v>0</v>
      </c>
      <c r="P66" s="20" t="n">
        <v>0</v>
      </c>
      <c r="Q66" s="18" t="n">
        <v>5.00132701</v>
      </c>
      <c r="R66" s="20" t="n">
        <v>0.80267344</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46.58364501</v>
      </c>
      <c r="F69" s="20" t="n">
        <v>3.68603538</v>
      </c>
      <c r="G69" s="18" t="n">
        <v>51.32654921</v>
      </c>
      <c r="H69" s="20" t="n">
        <v>3.31998827</v>
      </c>
      <c r="I69" s="18" t="n">
        <v>0</v>
      </c>
      <c r="J69" s="20" t="n">
        <v>0</v>
      </c>
      <c r="K69" s="18" t="n">
        <v>1.14463824</v>
      </c>
      <c r="L69" s="20" t="n">
        <v>0.64320184</v>
      </c>
      <c r="M69" s="18" t="n">
        <v>0</v>
      </c>
      <c r="N69" s="20" t="n">
        <v>0</v>
      </c>
      <c r="O69" s="18" t="n">
        <v>0</v>
      </c>
      <c r="P69" s="20" t="n">
        <v>0</v>
      </c>
      <c r="Q69" s="18" t="n">
        <v>0.94516754</v>
      </c>
      <c r="R69" s="20" t="n">
        <v>0.69483678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48.5745215</v>
      </c>
      <c r="F71" s="20" t="n">
        <v>2.02787001</v>
      </c>
      <c r="G71" s="18" t="n">
        <v>51.32058374</v>
      </c>
      <c r="H71" s="20" t="n">
        <v>2.01877428</v>
      </c>
      <c r="I71" s="18" t="n">
        <v>0</v>
      </c>
      <c r="J71" s="20" t="n">
        <v>0</v>
      </c>
      <c r="K71" s="18" t="n">
        <v>0</v>
      </c>
      <c r="L71" s="20" t="n">
        <v>0</v>
      </c>
      <c r="M71" s="18" t="n">
        <v>0</v>
      </c>
      <c r="N71" s="20" t="n">
        <v>0</v>
      </c>
      <c r="O71" s="18" t="n">
        <v>0</v>
      </c>
      <c r="P71" s="20" t="n">
        <v>0</v>
      </c>
      <c r="Q71" s="18" t="n">
        <v>0.10489476</v>
      </c>
      <c r="R71" s="20" t="n">
        <v>0.10866683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40.47159137</v>
      </c>
      <c r="F76" s="20" t="n">
        <v>2.0169955</v>
      </c>
      <c r="G76" s="18" t="n">
        <v>48.11254153</v>
      </c>
      <c r="H76" s="20" t="n">
        <v>1.68209893</v>
      </c>
      <c r="I76" s="18" t="n">
        <v>0</v>
      </c>
      <c r="J76" s="20" t="n">
        <v>0</v>
      </c>
      <c r="K76" s="18" t="n">
        <v>4.00792858</v>
      </c>
      <c r="L76" s="20" t="n">
        <v>0.67542574</v>
      </c>
      <c r="M76" s="18" t="n">
        <v>0</v>
      </c>
      <c r="N76" s="20" t="n">
        <v>0</v>
      </c>
      <c r="O76" s="18" t="n">
        <v>0</v>
      </c>
      <c r="P76" s="20" t="n">
        <v>0</v>
      </c>
      <c r="Q76" s="18" t="n">
        <v>7.40793852</v>
      </c>
      <c r="R76" s="20" t="n">
        <v>0.96771159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23.0011625</v>
      </c>
      <c r="F80" s="20" t="n">
        <v>1.63121692</v>
      </c>
      <c r="G80" s="18" t="n">
        <v>76.99883749999999</v>
      </c>
      <c r="H80" s="20" t="n">
        <v>1.63121692</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(1384.0/B81*100)</f>
        <v/>
      </c>
      <c r="D81" s="19" t="n">
        <v>273</v>
      </c>
      <c r="E81" s="18" t="n">
        <v>19.8436725</v>
      </c>
      <c r="F81" s="20" t="n">
        <v>2.52468581</v>
      </c>
      <c r="G81" s="18" t="n">
        <v>71.04776441999999</v>
      </c>
      <c r="H81" s="20" t="n">
        <v>3.10572846</v>
      </c>
      <c r="I81" s="18" t="n">
        <v>0</v>
      </c>
      <c r="J81" s="20" t="n">
        <v>0</v>
      </c>
      <c r="K81" s="18" t="n">
        <v>3.72366244</v>
      </c>
      <c r="L81" s="20" t="n">
        <v>1.06801633</v>
      </c>
      <c r="M81" s="18" t="n">
        <v>0.42959547</v>
      </c>
      <c r="N81" s="20" t="n">
        <v>0.42877559</v>
      </c>
      <c r="O81" s="18" t="n">
        <v>0.40344031</v>
      </c>
      <c r="P81" s="20" t="n">
        <v>0.40738011</v>
      </c>
      <c r="Q81" s="18" t="n">
        <v>4.55186486</v>
      </c>
      <c r="R81" s="20" t="n">
        <v>1.23128259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685</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32.65962706</v>
      </c>
      <c r="F44" s="20" t="n">
        <v>1.89267025</v>
      </c>
      <c r="G44" s="18" t="n">
        <v>51.85117932</v>
      </c>
      <c r="H44" s="20" t="n">
        <v>2.25408534</v>
      </c>
      <c r="I44" s="18" t="n">
        <v>0</v>
      </c>
      <c r="J44" s="20" t="n">
        <v>0</v>
      </c>
      <c r="K44" s="18" t="n">
        <v>3.7771764</v>
      </c>
      <c r="L44" s="20" t="n">
        <v>0.5802432</v>
      </c>
      <c r="M44" s="18" t="n">
        <v>0</v>
      </c>
      <c r="N44" s="20" t="n">
        <v>0</v>
      </c>
      <c r="O44" s="18" t="n">
        <v>1.58561962</v>
      </c>
      <c r="P44" s="20" t="n">
        <v>0.59909385</v>
      </c>
      <c r="Q44" s="18" t="n">
        <v>10.1263976</v>
      </c>
      <c r="R44" s="20" t="n">
        <v>1.28501145</v>
      </c>
    </row>
    <row r="45" spans="1:18">
      <c r="A45" s="15" t="s">
        <v>468</v>
      </c>
      <c r="B45" s="17" t="n">
        <v>5519</v>
      </c>
      <c r="C45" s="18">
        <f>(4594.0/B45*100)</f>
        <v/>
      </c>
      <c r="D45" s="19" t="n">
        <v>925</v>
      </c>
      <c r="E45" s="18" t="n">
        <v>45.9257831</v>
      </c>
      <c r="F45" s="20" t="n">
        <v>2.01012243</v>
      </c>
      <c r="G45" s="18" t="n">
        <v>38.85446766</v>
      </c>
      <c r="H45" s="20" t="n">
        <v>1.94683304</v>
      </c>
      <c r="I45" s="18" t="n">
        <v>0</v>
      </c>
      <c r="J45" s="20" t="n">
        <v>0</v>
      </c>
      <c r="K45" s="18" t="n">
        <v>6.77529935</v>
      </c>
      <c r="L45" s="20" t="n">
        <v>0.80170637</v>
      </c>
      <c r="M45" s="18" t="n">
        <v>0.34485404</v>
      </c>
      <c r="N45" s="20" t="n">
        <v>0.20392912</v>
      </c>
      <c r="O45" s="18" t="n">
        <v>3.74320701</v>
      </c>
      <c r="P45" s="20" t="n">
        <v>0.73013627</v>
      </c>
      <c r="Q45" s="18" t="n">
        <v>4.35638883</v>
      </c>
      <c r="R45" s="20" t="n">
        <v>0.78504368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31.80146459</v>
      </c>
      <c r="F54" s="20" t="n">
        <v>1.75139535</v>
      </c>
      <c r="G54" s="18" t="n">
        <v>60.30753419</v>
      </c>
      <c r="H54" s="20" t="n">
        <v>1.82115047</v>
      </c>
      <c r="I54" s="18" t="n">
        <v>0</v>
      </c>
      <c r="J54" s="20" t="n">
        <v>0</v>
      </c>
      <c r="K54" s="18" t="n">
        <v>2.55404889</v>
      </c>
      <c r="L54" s="20" t="n">
        <v>0.48744538</v>
      </c>
      <c r="M54" s="18" t="n">
        <v>0</v>
      </c>
      <c r="N54" s="20" t="n">
        <v>0</v>
      </c>
      <c r="O54" s="18" t="n">
        <v>0</v>
      </c>
      <c r="P54" s="20" t="n">
        <v>0</v>
      </c>
      <c r="Q54" s="18" t="n">
        <v>5.33695232</v>
      </c>
      <c r="R54" s="20" t="n">
        <v>0.80280493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18.59698293</v>
      </c>
      <c r="F56" s="20" t="n">
        <v>1.34516461</v>
      </c>
      <c r="G56" s="18" t="n">
        <v>78.56860113</v>
      </c>
      <c r="H56" s="20" t="n">
        <v>1.36526029</v>
      </c>
      <c r="I56" s="18" t="n">
        <v>0</v>
      </c>
      <c r="J56" s="20" t="n">
        <v>0</v>
      </c>
      <c r="K56" s="18" t="n">
        <v>1.24407709</v>
      </c>
      <c r="L56" s="20" t="n">
        <v>0.38352755</v>
      </c>
      <c r="M56" s="18" t="n">
        <v>0</v>
      </c>
      <c r="N56" s="20" t="n">
        <v>0</v>
      </c>
      <c r="O56" s="18" t="n">
        <v>0.18533989</v>
      </c>
      <c r="P56" s="20" t="n">
        <v>0.19787005</v>
      </c>
      <c r="Q56" s="18" t="n">
        <v>1.40499896</v>
      </c>
      <c r="R56" s="20" t="n">
        <v>0.33999825</v>
      </c>
    </row>
    <row r="57" spans="1:18">
      <c r="A57" s="15" t="s">
        <v>480</v>
      </c>
      <c r="B57" s="17" t="n">
        <v>7267</v>
      </c>
      <c r="C57" s="18">
        <f>(6063.0/B57*100)</f>
        <v/>
      </c>
      <c r="D57" s="19" t="n">
        <v>1204</v>
      </c>
      <c r="E57" s="18" t="n">
        <v>30.41897449</v>
      </c>
      <c r="F57" s="20" t="n">
        <v>1.56301156</v>
      </c>
      <c r="G57" s="18" t="n">
        <v>63.29127225</v>
      </c>
      <c r="H57" s="20" t="n">
        <v>1.85842421</v>
      </c>
      <c r="I57" s="18" t="n">
        <v>0</v>
      </c>
      <c r="J57" s="20" t="n">
        <v>0</v>
      </c>
      <c r="K57" s="18" t="n">
        <v>2.08445492</v>
      </c>
      <c r="L57" s="20" t="n">
        <v>0.45547217</v>
      </c>
      <c r="M57" s="18" t="n">
        <v>0</v>
      </c>
      <c r="N57" s="20" t="n">
        <v>0</v>
      </c>
      <c r="O57" s="18" t="n">
        <v>0.02522154</v>
      </c>
      <c r="P57" s="20" t="n">
        <v>0.02519804</v>
      </c>
      <c r="Q57" s="18" t="n">
        <v>4.1800768</v>
      </c>
      <c r="R57" s="20" t="n">
        <v>0.75808857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45.63934393</v>
      </c>
      <c r="F59" s="20" t="n">
        <v>2.04420076</v>
      </c>
      <c r="G59" s="18" t="n">
        <v>47.83877676</v>
      </c>
      <c r="H59" s="20" t="n">
        <v>2.28793573</v>
      </c>
      <c r="I59" s="18" t="n">
        <v>0</v>
      </c>
      <c r="J59" s="20" t="n">
        <v>0</v>
      </c>
      <c r="K59" s="18" t="n">
        <v>1.16193666</v>
      </c>
      <c r="L59" s="20" t="n">
        <v>0.46853003</v>
      </c>
      <c r="M59" s="18" t="n">
        <v>0</v>
      </c>
      <c r="N59" s="20" t="n">
        <v>0</v>
      </c>
      <c r="O59" s="18" t="n">
        <v>2.82601671</v>
      </c>
      <c r="P59" s="20" t="n">
        <v>0.67449857</v>
      </c>
      <c r="Q59" s="18" t="n">
        <v>2.53392594</v>
      </c>
      <c r="R59" s="20" t="n">
        <v>0.69555044</v>
      </c>
    </row>
    <row r="60" spans="1:18">
      <c r="A60" s="15" t="s">
        <v>484</v>
      </c>
      <c r="B60" s="17" t="n">
        <v>4546</v>
      </c>
      <c r="C60" s="18">
        <f>(3791.0/B60*100)</f>
        <v/>
      </c>
      <c r="D60" s="19" t="n">
        <v>755</v>
      </c>
      <c r="E60" s="18" t="n">
        <v>40.26623867</v>
      </c>
      <c r="F60" s="20" t="n">
        <v>2.15612635</v>
      </c>
      <c r="G60" s="18" t="n">
        <v>45.72258854</v>
      </c>
      <c r="H60" s="20" t="n">
        <v>2.09948977</v>
      </c>
      <c r="I60" s="18" t="n">
        <v>0</v>
      </c>
      <c r="J60" s="20" t="n">
        <v>0</v>
      </c>
      <c r="K60" s="18" t="n">
        <v>3.07311363</v>
      </c>
      <c r="L60" s="20" t="n">
        <v>0.53572111</v>
      </c>
      <c r="M60" s="18" t="n">
        <v>0</v>
      </c>
      <c r="N60" s="20" t="n">
        <v>0</v>
      </c>
      <c r="O60" s="18" t="n">
        <v>2.90996132</v>
      </c>
      <c r="P60" s="20" t="n">
        <v>0.68418664</v>
      </c>
      <c r="Q60" s="18" t="n">
        <v>8.028097839999999</v>
      </c>
      <c r="R60" s="20" t="n">
        <v>1.05968527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36.7236173</v>
      </c>
      <c r="F63" s="20" t="n">
        <v>1.7387767</v>
      </c>
      <c r="G63" s="18" t="n">
        <v>53.31901247</v>
      </c>
      <c r="H63" s="20" t="n">
        <v>2.06600078</v>
      </c>
      <c r="I63" s="18" t="n">
        <v>0</v>
      </c>
      <c r="J63" s="20" t="n">
        <v>0</v>
      </c>
      <c r="K63" s="18" t="n">
        <v>1.93486144</v>
      </c>
      <c r="L63" s="20" t="n">
        <v>0.36984283</v>
      </c>
      <c r="M63" s="18" t="n">
        <v>0</v>
      </c>
      <c r="N63" s="20" t="n">
        <v>0</v>
      </c>
      <c r="O63" s="18" t="n">
        <v>0.50021236</v>
      </c>
      <c r="P63" s="20" t="n">
        <v>0.20019606</v>
      </c>
      <c r="Q63" s="18" t="n">
        <v>7.52229642</v>
      </c>
      <c r="R63" s="20" t="n">
        <v>0.97241155</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28.92111531</v>
      </c>
      <c r="F65" s="20" t="n">
        <v>1.72408863</v>
      </c>
      <c r="G65" s="18" t="n">
        <v>64.69760785</v>
      </c>
      <c r="H65" s="20" t="n">
        <v>1.68267754</v>
      </c>
      <c r="I65" s="18" t="n">
        <v>0</v>
      </c>
      <c r="J65" s="20" t="n">
        <v>0</v>
      </c>
      <c r="K65" s="18" t="n">
        <v>2.78775381</v>
      </c>
      <c r="L65" s="20" t="n">
        <v>0.60978503</v>
      </c>
      <c r="M65" s="18" t="n">
        <v>0</v>
      </c>
      <c r="N65" s="20" t="n">
        <v>0</v>
      </c>
      <c r="O65" s="18" t="n">
        <v>0.14656577</v>
      </c>
      <c r="P65" s="20" t="n">
        <v>0.14727381</v>
      </c>
      <c r="Q65" s="18" t="n">
        <v>3.44695727</v>
      </c>
      <c r="R65" s="20" t="n">
        <v>0.81008674</v>
      </c>
    </row>
    <row r="66" spans="1:18">
      <c r="A66" s="15" t="s">
        <v>490</v>
      </c>
      <c r="B66" s="17" t="n">
        <v>5325</v>
      </c>
      <c r="C66" s="18">
        <f>(4425.0/B66*100)</f>
        <v/>
      </c>
      <c r="D66" s="19" t="n">
        <v>900</v>
      </c>
      <c r="E66" s="18" t="n">
        <v>29.853557</v>
      </c>
      <c r="F66" s="20" t="n">
        <v>1.72889691</v>
      </c>
      <c r="G66" s="18" t="n">
        <v>57.76333909</v>
      </c>
      <c r="H66" s="20" t="n">
        <v>1.61740479</v>
      </c>
      <c r="I66" s="18" t="n">
        <v>0</v>
      </c>
      <c r="J66" s="20" t="n">
        <v>0</v>
      </c>
      <c r="K66" s="18" t="n">
        <v>5.78174533</v>
      </c>
      <c r="L66" s="20" t="n">
        <v>0.87349734</v>
      </c>
      <c r="M66" s="18" t="n">
        <v>1.60072968</v>
      </c>
      <c r="N66" s="20" t="n">
        <v>0.36696279</v>
      </c>
      <c r="O66" s="18" t="n">
        <v>0</v>
      </c>
      <c r="P66" s="20" t="n">
        <v>0</v>
      </c>
      <c r="Q66" s="18" t="n">
        <v>5.0006289</v>
      </c>
      <c r="R66" s="20" t="n">
        <v>0.79707748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32.49943978</v>
      </c>
      <c r="F69" s="20" t="n">
        <v>4.33709496</v>
      </c>
      <c r="G69" s="18" t="n">
        <v>65.04309807</v>
      </c>
      <c r="H69" s="20" t="n">
        <v>4.32145884</v>
      </c>
      <c r="I69" s="18" t="n">
        <v>0</v>
      </c>
      <c r="J69" s="20" t="n">
        <v>0</v>
      </c>
      <c r="K69" s="18" t="n">
        <v>1.14463824</v>
      </c>
      <c r="L69" s="20" t="n">
        <v>0.64320184</v>
      </c>
      <c r="M69" s="18" t="n">
        <v>0</v>
      </c>
      <c r="N69" s="20" t="n">
        <v>0</v>
      </c>
      <c r="O69" s="18" t="n">
        <v>0</v>
      </c>
      <c r="P69" s="20" t="n">
        <v>0</v>
      </c>
      <c r="Q69" s="18" t="n">
        <v>1.3128239</v>
      </c>
      <c r="R69" s="20" t="n">
        <v>0.78480806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46.19449394</v>
      </c>
      <c r="F71" s="20" t="n">
        <v>1.76438629</v>
      </c>
      <c r="G71" s="18" t="n">
        <v>53.70061131</v>
      </c>
      <c r="H71" s="20" t="n">
        <v>1.77428269</v>
      </c>
      <c r="I71" s="18" t="n">
        <v>0</v>
      </c>
      <c r="J71" s="20" t="n">
        <v>0</v>
      </c>
      <c r="K71" s="18" t="n">
        <v>0</v>
      </c>
      <c r="L71" s="20" t="n">
        <v>0</v>
      </c>
      <c r="M71" s="18" t="n">
        <v>0</v>
      </c>
      <c r="N71" s="20" t="n">
        <v>0</v>
      </c>
      <c r="O71" s="18" t="n">
        <v>0</v>
      </c>
      <c r="P71" s="20" t="n">
        <v>0</v>
      </c>
      <c r="Q71" s="18" t="n">
        <v>0.10489476</v>
      </c>
      <c r="R71" s="20" t="n">
        <v>0.10866683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22.99688509</v>
      </c>
      <c r="F76" s="20" t="n">
        <v>1.69431032</v>
      </c>
      <c r="G76" s="18" t="n">
        <v>64.83570331</v>
      </c>
      <c r="H76" s="20" t="n">
        <v>2.04288227</v>
      </c>
      <c r="I76" s="18" t="n">
        <v>0</v>
      </c>
      <c r="J76" s="20" t="n">
        <v>0</v>
      </c>
      <c r="K76" s="18" t="n">
        <v>4.00792858</v>
      </c>
      <c r="L76" s="20" t="n">
        <v>0.67542574</v>
      </c>
      <c r="M76" s="18" t="n">
        <v>0</v>
      </c>
      <c r="N76" s="20" t="n">
        <v>0</v>
      </c>
      <c r="O76" s="18" t="n">
        <v>0</v>
      </c>
      <c r="P76" s="20" t="n">
        <v>0</v>
      </c>
      <c r="Q76" s="18" t="n">
        <v>8.159483030000001</v>
      </c>
      <c r="R76" s="20" t="n">
        <v>1.10983079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1657</v>
      </c>
      <c r="C81" s="18">
        <f>(1384.0/B81*100)</f>
        <v/>
      </c>
      <c r="D81" s="19" t="n">
        <v>273</v>
      </c>
      <c r="E81" s="18" t="n">
        <v>20.83035692</v>
      </c>
      <c r="F81" s="20" t="n">
        <v>2.29509577</v>
      </c>
      <c r="G81" s="18" t="n">
        <v>69.84088092</v>
      </c>
      <c r="H81" s="20" t="n">
        <v>2.89799633</v>
      </c>
      <c r="I81" s="18" t="n">
        <v>0</v>
      </c>
      <c r="J81" s="20" t="n">
        <v>0</v>
      </c>
      <c r="K81" s="18" t="n">
        <v>3.72366244</v>
      </c>
      <c r="L81" s="20" t="n">
        <v>1.06801633</v>
      </c>
      <c r="M81" s="18" t="n">
        <v>0.42959547</v>
      </c>
      <c r="N81" s="20" t="n">
        <v>0.42877559</v>
      </c>
      <c r="O81" s="18" t="n">
        <v>0</v>
      </c>
      <c r="P81" s="20" t="n">
        <v>0</v>
      </c>
      <c r="Q81" s="18" t="n">
        <v>5.17550426</v>
      </c>
      <c r="R81" s="20" t="n">
        <v>1.48366607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24.75279819</v>
      </c>
      <c r="F44" s="20" t="n">
        <v>1.78435285</v>
      </c>
      <c r="G44" s="18" t="n">
        <v>66.34379665</v>
      </c>
      <c r="H44" s="20" t="n">
        <v>2.06515717</v>
      </c>
      <c r="I44" s="18" t="n">
        <v>0</v>
      </c>
      <c r="J44" s="20" t="n">
        <v>0</v>
      </c>
      <c r="K44" s="18" t="n">
        <v>3.7771764</v>
      </c>
      <c r="L44" s="20" t="n">
        <v>0.5802432</v>
      </c>
      <c r="M44" s="18" t="n">
        <v>0</v>
      </c>
      <c r="N44" s="20" t="n">
        <v>0</v>
      </c>
      <c r="O44" s="18" t="n">
        <v>0.37223258</v>
      </c>
      <c r="P44" s="20" t="n">
        <v>0.26330476</v>
      </c>
      <c r="Q44" s="18" t="n">
        <v>4.75399618</v>
      </c>
      <c r="R44" s="20" t="n">
        <v>0.83752502</v>
      </c>
    </row>
    <row r="45" spans="1:18">
      <c r="A45" s="15" t="s">
        <v>468</v>
      </c>
      <c r="B45" s="17" t="n">
        <v>5519</v>
      </c>
      <c r="C45" s="18">
        <f>(4594.0/B45*100)</f>
        <v/>
      </c>
      <c r="D45" s="19" t="n">
        <v>925</v>
      </c>
      <c r="E45" s="18" t="n">
        <v>33.82441373</v>
      </c>
      <c r="F45" s="20" t="n">
        <v>1.73365782</v>
      </c>
      <c r="G45" s="18" t="n">
        <v>50.78822385</v>
      </c>
      <c r="H45" s="20" t="n">
        <v>1.91555531</v>
      </c>
      <c r="I45" s="18" t="n">
        <v>0</v>
      </c>
      <c r="J45" s="20" t="n">
        <v>0</v>
      </c>
      <c r="K45" s="18" t="n">
        <v>7.24044284</v>
      </c>
      <c r="L45" s="20" t="n">
        <v>0.78065145</v>
      </c>
      <c r="M45" s="18" t="n">
        <v>0.0743992</v>
      </c>
      <c r="N45" s="20" t="n">
        <v>0.10196933</v>
      </c>
      <c r="O45" s="18" t="n">
        <v>3.63163863</v>
      </c>
      <c r="P45" s="20" t="n">
        <v>0.6738424200000001</v>
      </c>
      <c r="Q45" s="18" t="n">
        <v>4.44088174</v>
      </c>
      <c r="R45" s="20" t="n">
        <v>0.73231213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38.74679384</v>
      </c>
      <c r="F54" s="20" t="n">
        <v>1.81594154</v>
      </c>
      <c r="G54" s="18" t="n">
        <v>56.35530665</v>
      </c>
      <c r="H54" s="20" t="n">
        <v>1.78848757</v>
      </c>
      <c r="I54" s="18" t="n">
        <v>0</v>
      </c>
      <c r="J54" s="20" t="n">
        <v>0</v>
      </c>
      <c r="K54" s="18" t="n">
        <v>2.83856757</v>
      </c>
      <c r="L54" s="20" t="n">
        <v>0.53089189</v>
      </c>
      <c r="M54" s="18" t="n">
        <v>0</v>
      </c>
      <c r="N54" s="20" t="n">
        <v>0</v>
      </c>
      <c r="O54" s="18" t="n">
        <v>0.38980513</v>
      </c>
      <c r="P54" s="20" t="n">
        <v>0.19583182</v>
      </c>
      <c r="Q54" s="18" t="n">
        <v>1.66952681</v>
      </c>
      <c r="R54" s="20" t="n">
        <v>0.45007161</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36.65647862</v>
      </c>
      <c r="F56" s="20" t="n">
        <v>1.77917477</v>
      </c>
      <c r="G56" s="18" t="n">
        <v>60.97084048</v>
      </c>
      <c r="H56" s="20" t="n">
        <v>1.78091024</v>
      </c>
      <c r="I56" s="18" t="n">
        <v>0</v>
      </c>
      <c r="J56" s="20" t="n">
        <v>0</v>
      </c>
      <c r="K56" s="18" t="n">
        <v>1.42941698</v>
      </c>
      <c r="L56" s="20" t="n">
        <v>0.43428304</v>
      </c>
      <c r="M56" s="18" t="n">
        <v>0</v>
      </c>
      <c r="N56" s="20" t="n">
        <v>0</v>
      </c>
      <c r="O56" s="18" t="n">
        <v>0</v>
      </c>
      <c r="P56" s="20" t="n">
        <v>0</v>
      </c>
      <c r="Q56" s="18" t="n">
        <v>0.94326392</v>
      </c>
      <c r="R56" s="20" t="n">
        <v>0.30925156</v>
      </c>
    </row>
    <row r="57" spans="1:18">
      <c r="A57" s="15" t="s">
        <v>480</v>
      </c>
      <c r="B57" s="17" t="n">
        <v>7267</v>
      </c>
      <c r="C57" s="18">
        <f>(6063.0/B57*100)</f>
        <v/>
      </c>
      <c r="D57" s="19" t="n">
        <v>1204</v>
      </c>
      <c r="E57" s="18" t="n">
        <v>40.85955947</v>
      </c>
      <c r="F57" s="20" t="n">
        <v>1.60132959</v>
      </c>
      <c r="G57" s="18" t="n">
        <v>52.72816913</v>
      </c>
      <c r="H57" s="20" t="n">
        <v>1.56921043</v>
      </c>
      <c r="I57" s="18" t="n">
        <v>0</v>
      </c>
      <c r="J57" s="20" t="n">
        <v>0</v>
      </c>
      <c r="K57" s="18" t="n">
        <v>2.27471778</v>
      </c>
      <c r="L57" s="20" t="n">
        <v>0.46708081</v>
      </c>
      <c r="M57" s="18" t="n">
        <v>0</v>
      </c>
      <c r="N57" s="20" t="n">
        <v>0</v>
      </c>
      <c r="O57" s="18" t="n">
        <v>0.1633091</v>
      </c>
      <c r="P57" s="20" t="n">
        <v>0.14039874</v>
      </c>
      <c r="Q57" s="18" t="n">
        <v>3.97424452</v>
      </c>
      <c r="R57" s="20" t="n">
        <v>0.79226436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32.29067165</v>
      </c>
      <c r="F59" s="20" t="n">
        <v>1.98814457</v>
      </c>
      <c r="G59" s="18" t="n">
        <v>62.78563678</v>
      </c>
      <c r="H59" s="20" t="n">
        <v>1.9628863</v>
      </c>
      <c r="I59" s="18" t="n">
        <v>0</v>
      </c>
      <c r="J59" s="20" t="n">
        <v>0</v>
      </c>
      <c r="K59" s="18" t="n">
        <v>1.21639859</v>
      </c>
      <c r="L59" s="20" t="n">
        <v>0.47198325</v>
      </c>
      <c r="M59" s="18" t="n">
        <v>0</v>
      </c>
      <c r="N59" s="20" t="n">
        <v>0</v>
      </c>
      <c r="O59" s="18" t="n">
        <v>1.47468985</v>
      </c>
      <c r="P59" s="20" t="n">
        <v>0.47626421</v>
      </c>
      <c r="Q59" s="18" t="n">
        <v>2.23260313</v>
      </c>
      <c r="R59" s="20" t="n">
        <v>0.62370851</v>
      </c>
    </row>
    <row r="60" spans="1:18">
      <c r="A60" s="15" t="s">
        <v>484</v>
      </c>
      <c r="B60" s="17" t="n">
        <v>4546</v>
      </c>
      <c r="C60" s="18">
        <f>(3791.0/B60*100)</f>
        <v/>
      </c>
      <c r="D60" s="19" t="n">
        <v>755</v>
      </c>
      <c r="E60" s="18" t="n">
        <v>38.82048041</v>
      </c>
      <c r="F60" s="20" t="n">
        <v>2.18566464</v>
      </c>
      <c r="G60" s="18" t="n">
        <v>44.75964246</v>
      </c>
      <c r="H60" s="20" t="n">
        <v>2.20066567</v>
      </c>
      <c r="I60" s="18" t="n">
        <v>0</v>
      </c>
      <c r="J60" s="20" t="n">
        <v>0</v>
      </c>
      <c r="K60" s="18" t="n">
        <v>3.63131839</v>
      </c>
      <c r="L60" s="20" t="n">
        <v>0.53980496</v>
      </c>
      <c r="M60" s="18" t="n">
        <v>0</v>
      </c>
      <c r="N60" s="20" t="n">
        <v>0</v>
      </c>
      <c r="O60" s="18" t="n">
        <v>3.73034074</v>
      </c>
      <c r="P60" s="20" t="n">
        <v>0.98032898</v>
      </c>
      <c r="Q60" s="18" t="n">
        <v>9.058217989999999</v>
      </c>
      <c r="R60" s="20" t="n">
        <v>1.17404516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34.63823759</v>
      </c>
      <c r="F63" s="20" t="n">
        <v>1.67051104</v>
      </c>
      <c r="G63" s="18" t="n">
        <v>57.3202104</v>
      </c>
      <c r="H63" s="20" t="n">
        <v>1.78423272</v>
      </c>
      <c r="I63" s="18" t="n">
        <v>0</v>
      </c>
      <c r="J63" s="20" t="n">
        <v>0</v>
      </c>
      <c r="K63" s="18" t="n">
        <v>2.26175772</v>
      </c>
      <c r="L63" s="20" t="n">
        <v>0.39419904</v>
      </c>
      <c r="M63" s="18" t="n">
        <v>0</v>
      </c>
      <c r="N63" s="20" t="n">
        <v>0</v>
      </c>
      <c r="O63" s="18" t="n">
        <v>0.56972124</v>
      </c>
      <c r="P63" s="20" t="n">
        <v>0.28453019</v>
      </c>
      <c r="Q63" s="18" t="n">
        <v>5.21007305</v>
      </c>
      <c r="R63" s="20" t="n">
        <v>0.7187497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36.33834147</v>
      </c>
      <c r="F65" s="20" t="n">
        <v>1.90309089</v>
      </c>
      <c r="G65" s="18" t="n">
        <v>58.0069499</v>
      </c>
      <c r="H65" s="20" t="n">
        <v>1.89289454</v>
      </c>
      <c r="I65" s="18" t="n">
        <v>0</v>
      </c>
      <c r="J65" s="20" t="n">
        <v>0</v>
      </c>
      <c r="K65" s="18" t="n">
        <v>3.16377019</v>
      </c>
      <c r="L65" s="20" t="n">
        <v>0.66935468</v>
      </c>
      <c r="M65" s="18" t="n">
        <v>0</v>
      </c>
      <c r="N65" s="20" t="n">
        <v>0</v>
      </c>
      <c r="O65" s="18" t="n">
        <v>0</v>
      </c>
      <c r="P65" s="20" t="n">
        <v>0</v>
      </c>
      <c r="Q65" s="18" t="n">
        <v>2.49093844</v>
      </c>
      <c r="R65" s="20" t="n">
        <v>0.70033884</v>
      </c>
    </row>
    <row r="66" spans="1:18">
      <c r="A66" s="15" t="s">
        <v>490</v>
      </c>
      <c r="B66" s="17" t="n">
        <v>5325</v>
      </c>
      <c r="C66" s="18">
        <f>(4425.0/B66*100)</f>
        <v/>
      </c>
      <c r="D66" s="19" t="n">
        <v>900</v>
      </c>
      <c r="E66" s="18" t="n">
        <v>30.133097</v>
      </c>
      <c r="F66" s="20" t="n">
        <v>1.66972716</v>
      </c>
      <c r="G66" s="18" t="n">
        <v>57.64055557</v>
      </c>
      <c r="H66" s="20" t="n">
        <v>1.69339091</v>
      </c>
      <c r="I66" s="18" t="n">
        <v>0</v>
      </c>
      <c r="J66" s="20" t="n">
        <v>0</v>
      </c>
      <c r="K66" s="18" t="n">
        <v>6.97464148</v>
      </c>
      <c r="L66" s="20" t="n">
        <v>0.87741098</v>
      </c>
      <c r="M66" s="18" t="n">
        <v>1.65685361</v>
      </c>
      <c r="N66" s="20" t="n">
        <v>0.37193905</v>
      </c>
      <c r="O66" s="18" t="n">
        <v>0</v>
      </c>
      <c r="P66" s="20" t="n">
        <v>0</v>
      </c>
      <c r="Q66" s="18" t="n">
        <v>3.59485234</v>
      </c>
      <c r="R66" s="20" t="n">
        <v>0.61958616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35.63337679</v>
      </c>
      <c r="F69" s="20" t="n">
        <v>3.31617748</v>
      </c>
      <c r="G69" s="18" t="n">
        <v>61.9621484</v>
      </c>
      <c r="H69" s="20" t="n">
        <v>3.0973848</v>
      </c>
      <c r="I69" s="18" t="n">
        <v>0</v>
      </c>
      <c r="J69" s="20" t="n">
        <v>0</v>
      </c>
      <c r="K69" s="18" t="n">
        <v>1.65062062</v>
      </c>
      <c r="L69" s="20" t="n">
        <v>0.80541979</v>
      </c>
      <c r="M69" s="18" t="n">
        <v>0</v>
      </c>
      <c r="N69" s="20" t="n">
        <v>0</v>
      </c>
      <c r="O69" s="18" t="n">
        <v>0</v>
      </c>
      <c r="P69" s="20" t="n">
        <v>0</v>
      </c>
      <c r="Q69" s="18" t="n">
        <v>0.75385419</v>
      </c>
      <c r="R69" s="20" t="n">
        <v>0.52422801</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42.73646726</v>
      </c>
      <c r="F71" s="20" t="n">
        <v>2.17221676</v>
      </c>
      <c r="G71" s="18" t="n">
        <v>56.90777177</v>
      </c>
      <c r="H71" s="20" t="n">
        <v>2.18198704</v>
      </c>
      <c r="I71" s="18" t="n">
        <v>0</v>
      </c>
      <c r="J71" s="20" t="n">
        <v>0</v>
      </c>
      <c r="K71" s="18" t="n">
        <v>0</v>
      </c>
      <c r="L71" s="20" t="n">
        <v>0</v>
      </c>
      <c r="M71" s="18" t="n">
        <v>0</v>
      </c>
      <c r="N71" s="20" t="n">
        <v>0</v>
      </c>
      <c r="O71" s="18" t="n">
        <v>0</v>
      </c>
      <c r="P71" s="20" t="n">
        <v>0</v>
      </c>
      <c r="Q71" s="18" t="n">
        <v>0.35576097</v>
      </c>
      <c r="R71" s="20" t="n">
        <v>0.28205847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24.62890106</v>
      </c>
      <c r="F76" s="20" t="n">
        <v>1.77623414</v>
      </c>
      <c r="G76" s="18" t="n">
        <v>66.82911018999999</v>
      </c>
      <c r="H76" s="20" t="n">
        <v>1.88637183</v>
      </c>
      <c r="I76" s="18" t="n">
        <v>0</v>
      </c>
      <c r="J76" s="20" t="n">
        <v>0</v>
      </c>
      <c r="K76" s="18" t="n">
        <v>4.33507853</v>
      </c>
      <c r="L76" s="20" t="n">
        <v>0.70638037</v>
      </c>
      <c r="M76" s="18" t="n">
        <v>0</v>
      </c>
      <c r="N76" s="20" t="n">
        <v>0</v>
      </c>
      <c r="O76" s="18" t="n">
        <v>0</v>
      </c>
      <c r="P76" s="20" t="n">
        <v>0</v>
      </c>
      <c r="Q76" s="18" t="n">
        <v>4.20691022</v>
      </c>
      <c r="R76" s="20" t="n">
        <v>0.83411633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505</v>
      </c>
      <c r="B81" s="17" t="n">
        <v>1657</v>
      </c>
      <c r="C81" s="18">
        <f>(1384.0/B81*100)</f>
        <v/>
      </c>
      <c r="D81" s="19" t="n">
        <v>273</v>
      </c>
      <c r="E81" s="18" t="n">
        <v>24.77226235</v>
      </c>
      <c r="F81" s="20" t="n">
        <v>3.02051326</v>
      </c>
      <c r="G81" s="18" t="n">
        <v>68.9243136</v>
      </c>
      <c r="H81" s="20" t="n">
        <v>3.05468756</v>
      </c>
      <c r="I81" s="18" t="n">
        <v>0</v>
      </c>
      <c r="J81" s="20" t="n">
        <v>0</v>
      </c>
      <c r="K81" s="18" t="n">
        <v>4.20155552</v>
      </c>
      <c r="L81" s="20" t="n">
        <v>1.06652535</v>
      </c>
      <c r="M81" s="18" t="n">
        <v>0</v>
      </c>
      <c r="N81" s="20" t="n">
        <v>0</v>
      </c>
      <c r="O81" s="18" t="n">
        <v>0</v>
      </c>
      <c r="P81" s="20" t="n">
        <v>0</v>
      </c>
      <c r="Q81" s="18" t="n">
        <v>2.10186853</v>
      </c>
      <c r="R81" s="20" t="n">
        <v>0.86381513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61.85311444</v>
      </c>
      <c r="F44" s="20" t="n">
        <v>2.22347475</v>
      </c>
      <c r="G44" s="18" t="n">
        <v>27.64063214</v>
      </c>
      <c r="H44" s="20" t="n">
        <v>2.36852982</v>
      </c>
      <c r="I44" s="18" t="n">
        <v>0</v>
      </c>
      <c r="J44" s="20" t="n">
        <v>0</v>
      </c>
      <c r="K44" s="18" t="n">
        <v>3.7771764</v>
      </c>
      <c r="L44" s="20" t="n">
        <v>0.5802432</v>
      </c>
      <c r="M44" s="18" t="n">
        <v>0</v>
      </c>
      <c r="N44" s="20" t="n">
        <v>0</v>
      </c>
      <c r="O44" s="18" t="n">
        <v>2.08352538</v>
      </c>
      <c r="P44" s="20" t="n">
        <v>0.58457054</v>
      </c>
      <c r="Q44" s="18" t="n">
        <v>4.64555164</v>
      </c>
      <c r="R44" s="20" t="n">
        <v>0.95167233</v>
      </c>
    </row>
    <row r="45" spans="1:18">
      <c r="A45" s="15" t="s">
        <v>468</v>
      </c>
      <c r="B45" s="17" t="n">
        <v>5519</v>
      </c>
      <c r="C45" s="18">
        <f>(4594.0/B45*100)</f>
        <v/>
      </c>
      <c r="D45" s="19" t="n">
        <v>925</v>
      </c>
      <c r="E45" s="18" t="n">
        <v>53.58411638</v>
      </c>
      <c r="F45" s="20" t="n">
        <v>1.74893656</v>
      </c>
      <c r="G45" s="18" t="n">
        <v>30.45446187</v>
      </c>
      <c r="H45" s="20" t="n">
        <v>1.5974674</v>
      </c>
      <c r="I45" s="18" t="n">
        <v>0</v>
      </c>
      <c r="J45" s="20" t="n">
        <v>0</v>
      </c>
      <c r="K45" s="18" t="n">
        <v>7.49578196</v>
      </c>
      <c r="L45" s="20" t="n">
        <v>0.80440771</v>
      </c>
      <c r="M45" s="18" t="n">
        <v>0.0743992</v>
      </c>
      <c r="N45" s="20" t="n">
        <v>0.10196933</v>
      </c>
      <c r="O45" s="18" t="n">
        <v>3.93492741</v>
      </c>
      <c r="P45" s="20" t="n">
        <v>0.59839543</v>
      </c>
      <c r="Q45" s="18" t="n">
        <v>4.45631318</v>
      </c>
      <c r="R45" s="20" t="n">
        <v>0.81123743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66.58971867</v>
      </c>
      <c r="F54" s="20" t="n">
        <v>1.72093144</v>
      </c>
      <c r="G54" s="18" t="n">
        <v>28.3886226</v>
      </c>
      <c r="H54" s="20" t="n">
        <v>1.58779391</v>
      </c>
      <c r="I54" s="18" t="n">
        <v>0</v>
      </c>
      <c r="J54" s="20" t="n">
        <v>0</v>
      </c>
      <c r="K54" s="18" t="n">
        <v>3.31828366</v>
      </c>
      <c r="L54" s="20" t="n">
        <v>0.68922983</v>
      </c>
      <c r="M54" s="18" t="n">
        <v>0</v>
      </c>
      <c r="N54" s="20" t="n">
        <v>0</v>
      </c>
      <c r="O54" s="18" t="n">
        <v>0.55976525</v>
      </c>
      <c r="P54" s="20" t="n">
        <v>0.30153999</v>
      </c>
      <c r="Q54" s="18" t="n">
        <v>1.14360982</v>
      </c>
      <c r="R54" s="20" t="n">
        <v>0.32378642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70.37618442</v>
      </c>
      <c r="F56" s="20" t="n">
        <v>1.34910961</v>
      </c>
      <c r="G56" s="18" t="n">
        <v>26.93342541</v>
      </c>
      <c r="H56" s="20" t="n">
        <v>1.38955553</v>
      </c>
      <c r="I56" s="18" t="n">
        <v>0</v>
      </c>
      <c r="J56" s="20" t="n">
        <v>0</v>
      </c>
      <c r="K56" s="18" t="n">
        <v>1.51590892</v>
      </c>
      <c r="L56" s="20" t="n">
        <v>0.444119</v>
      </c>
      <c r="M56" s="18" t="n">
        <v>0</v>
      </c>
      <c r="N56" s="20" t="n">
        <v>0</v>
      </c>
      <c r="O56" s="18" t="n">
        <v>0</v>
      </c>
      <c r="P56" s="20" t="n">
        <v>0</v>
      </c>
      <c r="Q56" s="18" t="n">
        <v>1.17448125</v>
      </c>
      <c r="R56" s="20" t="n">
        <v>0.34017657</v>
      </c>
    </row>
    <row r="57" spans="1:18">
      <c r="A57" s="15" t="s">
        <v>480</v>
      </c>
      <c r="B57" s="17" t="n">
        <v>7267</v>
      </c>
      <c r="C57" s="18">
        <f>(6063.0/B57*100)</f>
        <v/>
      </c>
      <c r="D57" s="19" t="n">
        <v>1204</v>
      </c>
      <c r="E57" s="18" t="n">
        <v>65.9522559</v>
      </c>
      <c r="F57" s="20" t="n">
        <v>1.44932717</v>
      </c>
      <c r="G57" s="18" t="n">
        <v>28.23483046</v>
      </c>
      <c r="H57" s="20" t="n">
        <v>1.39793488</v>
      </c>
      <c r="I57" s="18" t="n">
        <v>0</v>
      </c>
      <c r="J57" s="20" t="n">
        <v>0</v>
      </c>
      <c r="K57" s="18" t="n">
        <v>2.27471778</v>
      </c>
      <c r="L57" s="20" t="n">
        <v>0.46708081</v>
      </c>
      <c r="M57" s="18" t="n">
        <v>0</v>
      </c>
      <c r="N57" s="20" t="n">
        <v>0</v>
      </c>
      <c r="O57" s="18" t="n">
        <v>0.30915462</v>
      </c>
      <c r="P57" s="20" t="n">
        <v>0.17967767</v>
      </c>
      <c r="Q57" s="18" t="n">
        <v>3.22904124</v>
      </c>
      <c r="R57" s="20" t="n">
        <v>0.75795033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77.58440896</v>
      </c>
      <c r="F59" s="20" t="n">
        <v>1.67070049</v>
      </c>
      <c r="G59" s="18" t="n">
        <v>17.6328594</v>
      </c>
      <c r="H59" s="20" t="n">
        <v>1.62239562</v>
      </c>
      <c r="I59" s="18" t="n">
        <v>0</v>
      </c>
      <c r="J59" s="20" t="n">
        <v>0</v>
      </c>
      <c r="K59" s="18" t="n">
        <v>1.21639859</v>
      </c>
      <c r="L59" s="20" t="n">
        <v>0.47198325</v>
      </c>
      <c r="M59" s="18" t="n">
        <v>0</v>
      </c>
      <c r="N59" s="20" t="n">
        <v>0</v>
      </c>
      <c r="O59" s="18" t="n">
        <v>2.28006563</v>
      </c>
      <c r="P59" s="20" t="n">
        <v>0.64962872</v>
      </c>
      <c r="Q59" s="18" t="n">
        <v>1.28626742</v>
      </c>
      <c r="R59" s="20" t="n">
        <v>0.36982368</v>
      </c>
    </row>
    <row r="60" spans="1:18">
      <c r="A60" s="15" t="s">
        <v>484</v>
      </c>
      <c r="B60" s="17" t="n">
        <v>4546</v>
      </c>
      <c r="C60" s="18">
        <f>(3791.0/B60*100)</f>
        <v/>
      </c>
      <c r="D60" s="19" t="n">
        <v>755</v>
      </c>
      <c r="E60" s="18" t="n">
        <v>49.27987657</v>
      </c>
      <c r="F60" s="20" t="n">
        <v>1.79060555</v>
      </c>
      <c r="G60" s="18" t="n">
        <v>37.0480074</v>
      </c>
      <c r="H60" s="20" t="n">
        <v>1.84909553</v>
      </c>
      <c r="I60" s="18" t="n">
        <v>0</v>
      </c>
      <c r="J60" s="20" t="n">
        <v>0</v>
      </c>
      <c r="K60" s="18" t="n">
        <v>3.90031803</v>
      </c>
      <c r="L60" s="20" t="n">
        <v>0.60846035</v>
      </c>
      <c r="M60" s="18" t="n">
        <v>0</v>
      </c>
      <c r="N60" s="20" t="n">
        <v>0</v>
      </c>
      <c r="O60" s="18" t="n">
        <v>3.20415239</v>
      </c>
      <c r="P60" s="20" t="n">
        <v>0.90914624</v>
      </c>
      <c r="Q60" s="18" t="n">
        <v>6.56764562</v>
      </c>
      <c r="R60" s="20" t="n">
        <v>0.9616485</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64.58192524</v>
      </c>
      <c r="F63" s="20" t="n">
        <v>1.64720211</v>
      </c>
      <c r="G63" s="18" t="n">
        <v>26.50412309</v>
      </c>
      <c r="H63" s="20" t="n">
        <v>1.63048877</v>
      </c>
      <c r="I63" s="18" t="n">
        <v>0</v>
      </c>
      <c r="J63" s="20" t="n">
        <v>0</v>
      </c>
      <c r="K63" s="18" t="n">
        <v>2.36773556</v>
      </c>
      <c r="L63" s="20" t="n">
        <v>0.40820082</v>
      </c>
      <c r="M63" s="18" t="n">
        <v>0</v>
      </c>
      <c r="N63" s="20" t="n">
        <v>0</v>
      </c>
      <c r="O63" s="18" t="n">
        <v>1.48048222</v>
      </c>
      <c r="P63" s="20" t="n">
        <v>0.48312976</v>
      </c>
      <c r="Q63" s="18" t="n">
        <v>5.0657339</v>
      </c>
      <c r="R63" s="20" t="n">
        <v>0.8126509200000001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49.29786144</v>
      </c>
      <c r="F65" s="20" t="n">
        <v>1.83983464</v>
      </c>
      <c r="G65" s="18" t="n">
        <v>45.27864829</v>
      </c>
      <c r="H65" s="20" t="n">
        <v>1.82465429</v>
      </c>
      <c r="I65" s="18" t="n">
        <v>0</v>
      </c>
      <c r="J65" s="20" t="n">
        <v>0</v>
      </c>
      <c r="K65" s="18" t="n">
        <v>3.16377019</v>
      </c>
      <c r="L65" s="20" t="n">
        <v>0.66935468</v>
      </c>
      <c r="M65" s="18" t="n">
        <v>0</v>
      </c>
      <c r="N65" s="20" t="n">
        <v>0</v>
      </c>
      <c r="O65" s="18" t="n">
        <v>0.30567705</v>
      </c>
      <c r="P65" s="20" t="n">
        <v>0.21771597</v>
      </c>
      <c r="Q65" s="18" t="n">
        <v>1.95404302</v>
      </c>
      <c r="R65" s="20" t="n">
        <v>0.58057525</v>
      </c>
    </row>
    <row r="66" spans="1:18">
      <c r="A66" s="15" t="s">
        <v>490</v>
      </c>
      <c r="B66" s="17" t="n">
        <v>5325</v>
      </c>
      <c r="C66" s="18">
        <f>(4425.0/B66*100)</f>
        <v/>
      </c>
      <c r="D66" s="19" t="n">
        <v>900</v>
      </c>
      <c r="E66" s="18" t="n">
        <v>58.59707127</v>
      </c>
      <c r="F66" s="20" t="n">
        <v>1.86220122</v>
      </c>
      <c r="G66" s="18" t="n">
        <v>29.55439636</v>
      </c>
      <c r="H66" s="20" t="n">
        <v>1.77739111</v>
      </c>
      <c r="I66" s="18" t="n">
        <v>0</v>
      </c>
      <c r="J66" s="20" t="n">
        <v>0</v>
      </c>
      <c r="K66" s="18" t="n">
        <v>7.17682956</v>
      </c>
      <c r="L66" s="20" t="n">
        <v>0.90951483</v>
      </c>
      <c r="M66" s="18" t="n">
        <v>1.89882403</v>
      </c>
      <c r="N66" s="20" t="n">
        <v>0.42922717</v>
      </c>
      <c r="O66" s="18" t="n">
        <v>0</v>
      </c>
      <c r="P66" s="20" t="n">
        <v>0</v>
      </c>
      <c r="Q66" s="18" t="n">
        <v>2.77287878</v>
      </c>
      <c r="R66" s="20" t="n">
        <v>0.51865693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57.42318922</v>
      </c>
      <c r="F69" s="20" t="n">
        <v>4.81608414</v>
      </c>
      <c r="G69" s="18" t="n">
        <v>40.92619016</v>
      </c>
      <c r="H69" s="20" t="n">
        <v>4.59587352</v>
      </c>
      <c r="I69" s="18" t="n">
        <v>0</v>
      </c>
      <c r="J69" s="20" t="n">
        <v>0</v>
      </c>
      <c r="K69" s="18" t="n">
        <v>1.65062062</v>
      </c>
      <c r="L69" s="20" t="n">
        <v>0.80541979</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65.16177003999999</v>
      </c>
      <c r="F71" s="20" t="n">
        <v>2.10721209</v>
      </c>
      <c r="G71" s="18" t="n">
        <v>34.48246898</v>
      </c>
      <c r="H71" s="20" t="n">
        <v>2.09971436</v>
      </c>
      <c r="I71" s="18" t="n">
        <v>0</v>
      </c>
      <c r="J71" s="20" t="n">
        <v>0</v>
      </c>
      <c r="K71" s="18" t="n">
        <v>0</v>
      </c>
      <c r="L71" s="20" t="n">
        <v>0</v>
      </c>
      <c r="M71" s="18" t="n">
        <v>0</v>
      </c>
      <c r="N71" s="20" t="n">
        <v>0</v>
      </c>
      <c r="O71" s="18" t="n">
        <v>0</v>
      </c>
      <c r="P71" s="20" t="n">
        <v>0</v>
      </c>
      <c r="Q71" s="18" t="n">
        <v>0.35576097</v>
      </c>
      <c r="R71" s="20" t="n">
        <v>0.28205847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45.59840561</v>
      </c>
      <c r="F76" s="20" t="n">
        <v>2.03887059</v>
      </c>
      <c r="G76" s="18" t="n">
        <v>46.30327584</v>
      </c>
      <c r="H76" s="20" t="n">
        <v>1.90627888</v>
      </c>
      <c r="I76" s="18" t="n">
        <v>0</v>
      </c>
      <c r="J76" s="20" t="n">
        <v>0</v>
      </c>
      <c r="K76" s="18" t="n">
        <v>4.33507853</v>
      </c>
      <c r="L76" s="20" t="n">
        <v>0.70638037</v>
      </c>
      <c r="M76" s="18" t="n">
        <v>0</v>
      </c>
      <c r="N76" s="20" t="n">
        <v>0</v>
      </c>
      <c r="O76" s="18" t="n">
        <v>0</v>
      </c>
      <c r="P76" s="20" t="n">
        <v>0</v>
      </c>
      <c r="Q76" s="18" t="n">
        <v>3.76324002</v>
      </c>
      <c r="R76" s="20" t="n">
        <v>0.76772523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42.74544321</v>
      </c>
      <c r="F80" s="20" t="n">
        <v>2.03882397</v>
      </c>
      <c r="G80" s="18" t="n">
        <v>57.25455679</v>
      </c>
      <c r="H80" s="20" t="n">
        <v>2.03882397</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(1384.0/B81*100)</f>
        <v/>
      </c>
      <c r="D81" s="19" t="n">
        <v>273</v>
      </c>
      <c r="E81" s="18" t="n">
        <v>42.56967943</v>
      </c>
      <c r="F81" s="20" t="n">
        <v>2.77621072</v>
      </c>
      <c r="G81" s="18" t="n">
        <v>50.43613346</v>
      </c>
      <c r="H81" s="20" t="n">
        <v>2.56882188</v>
      </c>
      <c r="I81" s="18" t="n">
        <v>0</v>
      </c>
      <c r="J81" s="20" t="n">
        <v>0</v>
      </c>
      <c r="K81" s="18" t="n">
        <v>4.20155552</v>
      </c>
      <c r="L81" s="20" t="n">
        <v>1.06652535</v>
      </c>
      <c r="M81" s="18" t="n">
        <v>0</v>
      </c>
      <c r="N81" s="20" t="n">
        <v>0</v>
      </c>
      <c r="O81" s="18" t="n">
        <v>0.67518816</v>
      </c>
      <c r="P81" s="20" t="n">
        <v>0.49393884</v>
      </c>
      <c r="Q81" s="18" t="n">
        <v>2.11744344</v>
      </c>
      <c r="R81" s="20" t="n">
        <v>0.89575821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79.60480404</v>
      </c>
      <c r="F44" s="20" t="n">
        <v>1.42297639</v>
      </c>
      <c r="G44" s="18" t="n">
        <v>11.58783138</v>
      </c>
      <c r="H44" s="20" t="n">
        <v>1.39529849</v>
      </c>
      <c r="I44" s="18" t="n">
        <v>0</v>
      </c>
      <c r="J44" s="20" t="n">
        <v>0</v>
      </c>
      <c r="K44" s="18" t="n">
        <v>4.62592452</v>
      </c>
      <c r="L44" s="20" t="n">
        <v>0.69552093</v>
      </c>
      <c r="M44" s="18" t="n">
        <v>0</v>
      </c>
      <c r="N44" s="20" t="n">
        <v>0</v>
      </c>
      <c r="O44" s="18" t="n">
        <v>0</v>
      </c>
      <c r="P44" s="20" t="n">
        <v>0</v>
      </c>
      <c r="Q44" s="18" t="n">
        <v>4.18144006</v>
      </c>
      <c r="R44" s="20" t="n">
        <v>0.7186484</v>
      </c>
    </row>
    <row r="45" spans="1:18">
      <c r="A45" s="15" t="s">
        <v>468</v>
      </c>
      <c r="B45" s="17" t="n">
        <v>5519</v>
      </c>
      <c r="C45" s="18">
        <f>(4594.0/B45*100)</f>
        <v/>
      </c>
      <c r="D45" s="19" t="n">
        <v>925</v>
      </c>
      <c r="E45" s="18" t="n">
        <v>82.64768628</v>
      </c>
      <c r="F45" s="20" t="n">
        <v>1.2159053</v>
      </c>
      <c r="G45" s="18" t="n">
        <v>6.68840895</v>
      </c>
      <c r="H45" s="20" t="n">
        <v>0.87162693</v>
      </c>
      <c r="I45" s="18" t="n">
        <v>0</v>
      </c>
      <c r="J45" s="20" t="n">
        <v>0</v>
      </c>
      <c r="K45" s="18" t="n">
        <v>7.83057156</v>
      </c>
      <c r="L45" s="20" t="n">
        <v>0.80925401</v>
      </c>
      <c r="M45" s="18" t="n">
        <v>0.0743992</v>
      </c>
      <c r="N45" s="20" t="n">
        <v>0.10196933</v>
      </c>
      <c r="O45" s="18" t="n">
        <v>0.24944477</v>
      </c>
      <c r="P45" s="20" t="n">
        <v>0.16231899</v>
      </c>
      <c r="Q45" s="18" t="n">
        <v>2.50948924</v>
      </c>
      <c r="R45" s="20" t="n">
        <v>0.56857142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80.09056282</v>
      </c>
      <c r="F54" s="20" t="n">
        <v>1.23947832</v>
      </c>
      <c r="G54" s="18" t="n">
        <v>13.39032422</v>
      </c>
      <c r="H54" s="20" t="n">
        <v>1.08240977</v>
      </c>
      <c r="I54" s="18" t="n">
        <v>0</v>
      </c>
      <c r="J54" s="20" t="n">
        <v>0</v>
      </c>
      <c r="K54" s="18" t="n">
        <v>3.67735138</v>
      </c>
      <c r="L54" s="20" t="n">
        <v>0.75528111</v>
      </c>
      <c r="M54" s="18" t="n">
        <v>0.10568313</v>
      </c>
      <c r="N54" s="20" t="n">
        <v>0.10509829</v>
      </c>
      <c r="O54" s="18" t="n">
        <v>0.09356697</v>
      </c>
      <c r="P54" s="20" t="n">
        <v>0.09652236</v>
      </c>
      <c r="Q54" s="18" t="n">
        <v>2.64251148</v>
      </c>
      <c r="R54" s="20" t="n">
        <v>0.51265946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83.20257384</v>
      </c>
      <c r="F56" s="20" t="n">
        <v>1.28810537</v>
      </c>
      <c r="G56" s="18" t="n">
        <v>13.6832542</v>
      </c>
      <c r="H56" s="20" t="n">
        <v>1.16197152</v>
      </c>
      <c r="I56" s="18" t="n">
        <v>0</v>
      </c>
      <c r="J56" s="20" t="n">
        <v>0</v>
      </c>
      <c r="K56" s="18" t="n">
        <v>1.79021196</v>
      </c>
      <c r="L56" s="20" t="n">
        <v>0.49069184</v>
      </c>
      <c r="M56" s="18" t="n">
        <v>0</v>
      </c>
      <c r="N56" s="20" t="n">
        <v>0</v>
      </c>
      <c r="O56" s="18" t="n">
        <v>0</v>
      </c>
      <c r="P56" s="20" t="n">
        <v>0</v>
      </c>
      <c r="Q56" s="18" t="n">
        <v>1.32395999</v>
      </c>
      <c r="R56" s="20" t="n">
        <v>0.41916274</v>
      </c>
    </row>
    <row r="57" spans="1:18">
      <c r="A57" s="15" t="s">
        <v>480</v>
      </c>
      <c r="B57" s="17" t="n">
        <v>7267</v>
      </c>
      <c r="C57" s="18">
        <f>(6063.0/B57*100)</f>
        <v/>
      </c>
      <c r="D57" s="19" t="n">
        <v>1204</v>
      </c>
      <c r="E57" s="18" t="n">
        <v>85.56735942</v>
      </c>
      <c r="F57" s="20" t="n">
        <v>1.16756975</v>
      </c>
      <c r="G57" s="18" t="n">
        <v>10.29893302</v>
      </c>
      <c r="H57" s="20" t="n">
        <v>0.98439648</v>
      </c>
      <c r="I57" s="18" t="n">
        <v>0</v>
      </c>
      <c r="J57" s="20" t="n">
        <v>0</v>
      </c>
      <c r="K57" s="18" t="n">
        <v>2.66089857</v>
      </c>
      <c r="L57" s="20" t="n">
        <v>0.49051067</v>
      </c>
      <c r="M57" s="18" t="n">
        <v>0</v>
      </c>
      <c r="N57" s="20" t="n">
        <v>0</v>
      </c>
      <c r="O57" s="18" t="n">
        <v>0.1158899</v>
      </c>
      <c r="P57" s="20" t="n">
        <v>0.11525782</v>
      </c>
      <c r="Q57" s="18" t="n">
        <v>1.35691909</v>
      </c>
      <c r="R57" s="20" t="n">
        <v>0.41611784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86.71551494000001</v>
      </c>
      <c r="F59" s="20" t="n">
        <v>1.15759105</v>
      </c>
      <c r="G59" s="18" t="n">
        <v>9.093909119999999</v>
      </c>
      <c r="H59" s="20" t="n">
        <v>1.1207275</v>
      </c>
      <c r="I59" s="18" t="n">
        <v>0</v>
      </c>
      <c r="J59" s="20" t="n">
        <v>0</v>
      </c>
      <c r="K59" s="18" t="n">
        <v>1.29622662</v>
      </c>
      <c r="L59" s="20" t="n">
        <v>0.47766291</v>
      </c>
      <c r="M59" s="18" t="n">
        <v>0</v>
      </c>
      <c r="N59" s="20" t="n">
        <v>0</v>
      </c>
      <c r="O59" s="18" t="n">
        <v>0</v>
      </c>
      <c r="P59" s="20" t="n">
        <v>0</v>
      </c>
      <c r="Q59" s="18" t="n">
        <v>2.89434932</v>
      </c>
      <c r="R59" s="20" t="n">
        <v>0.56764446</v>
      </c>
    </row>
    <row r="60" spans="1:18">
      <c r="A60" s="15" t="s">
        <v>484</v>
      </c>
      <c r="B60" s="17" t="n">
        <v>4546</v>
      </c>
      <c r="C60" s="18">
        <f>(3791.0/B60*100)</f>
        <v/>
      </c>
      <c r="D60" s="19" t="n">
        <v>755</v>
      </c>
      <c r="E60" s="18" t="n">
        <v>73.12967261</v>
      </c>
      <c r="F60" s="20" t="n">
        <v>1.97509615</v>
      </c>
      <c r="G60" s="18" t="n">
        <v>17.44970907</v>
      </c>
      <c r="H60" s="20" t="n">
        <v>1.90805529</v>
      </c>
      <c r="I60" s="18" t="n">
        <v>0</v>
      </c>
      <c r="J60" s="20" t="n">
        <v>0</v>
      </c>
      <c r="K60" s="18" t="n">
        <v>4.41062554</v>
      </c>
      <c r="L60" s="20" t="n">
        <v>0.6793842</v>
      </c>
      <c r="M60" s="18" t="n">
        <v>0</v>
      </c>
      <c r="N60" s="20" t="n">
        <v>0</v>
      </c>
      <c r="O60" s="18" t="n">
        <v>0</v>
      </c>
      <c r="P60" s="20" t="n">
        <v>0</v>
      </c>
      <c r="Q60" s="18" t="n">
        <v>5.00999278</v>
      </c>
      <c r="R60" s="20" t="n">
        <v>0.90501449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78.49382996999999</v>
      </c>
      <c r="F63" s="20" t="n">
        <v>1.5322944</v>
      </c>
      <c r="G63" s="18" t="n">
        <v>13.4606854</v>
      </c>
      <c r="H63" s="20" t="n">
        <v>1.24664463</v>
      </c>
      <c r="I63" s="18" t="n">
        <v>0</v>
      </c>
      <c r="J63" s="20" t="n">
        <v>0</v>
      </c>
      <c r="K63" s="18" t="n">
        <v>2.7960816</v>
      </c>
      <c r="L63" s="20" t="n">
        <v>0.46423485</v>
      </c>
      <c r="M63" s="18" t="n">
        <v>0</v>
      </c>
      <c r="N63" s="20" t="n">
        <v>0</v>
      </c>
      <c r="O63" s="18" t="n">
        <v>0</v>
      </c>
      <c r="P63" s="20" t="n">
        <v>0</v>
      </c>
      <c r="Q63" s="18" t="n">
        <v>5.24940303</v>
      </c>
      <c r="R63" s="20" t="n">
        <v>0.788487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69.73467074</v>
      </c>
      <c r="F65" s="20" t="n">
        <v>1.7506351</v>
      </c>
      <c r="G65" s="18" t="n">
        <v>26.27811906</v>
      </c>
      <c r="H65" s="20" t="n">
        <v>1.5521998</v>
      </c>
      <c r="I65" s="18" t="n">
        <v>0</v>
      </c>
      <c r="J65" s="20" t="n">
        <v>0</v>
      </c>
      <c r="K65" s="18" t="n">
        <v>3.16377019</v>
      </c>
      <c r="L65" s="20" t="n">
        <v>0.66935468</v>
      </c>
      <c r="M65" s="18" t="n">
        <v>0</v>
      </c>
      <c r="N65" s="20" t="n">
        <v>0</v>
      </c>
      <c r="O65" s="18" t="n">
        <v>0</v>
      </c>
      <c r="P65" s="20" t="n">
        <v>0</v>
      </c>
      <c r="Q65" s="18" t="n">
        <v>0.8234400200000001</v>
      </c>
      <c r="R65" s="20" t="n">
        <v>0.45543211</v>
      </c>
    </row>
    <row r="66" spans="1:18">
      <c r="A66" s="15" t="s">
        <v>490</v>
      </c>
      <c r="B66" s="17" t="n">
        <v>5325</v>
      </c>
      <c r="C66" s="18">
        <f>(4425.0/B66*100)</f>
        <v/>
      </c>
      <c r="D66" s="19" t="n">
        <v>900</v>
      </c>
      <c r="E66" s="18" t="n">
        <v>69.59529628</v>
      </c>
      <c r="F66" s="20" t="n">
        <v>1.5234609</v>
      </c>
      <c r="G66" s="18" t="n">
        <v>20.43795365</v>
      </c>
      <c r="H66" s="20" t="n">
        <v>1.46463176</v>
      </c>
      <c r="I66" s="18" t="n">
        <v>0</v>
      </c>
      <c r="J66" s="20" t="n">
        <v>0</v>
      </c>
      <c r="K66" s="18" t="n">
        <v>7.34925644</v>
      </c>
      <c r="L66" s="20" t="n">
        <v>0.88822393</v>
      </c>
      <c r="M66" s="18" t="n">
        <v>0</v>
      </c>
      <c r="N66" s="20" t="n">
        <v>0</v>
      </c>
      <c r="O66" s="18" t="n">
        <v>0</v>
      </c>
      <c r="P66" s="20" t="n">
        <v>0</v>
      </c>
      <c r="Q66" s="18" t="n">
        <v>2.61749363</v>
      </c>
      <c r="R66" s="20" t="n">
        <v>0.52176426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79.91929645</v>
      </c>
      <c r="F69" s="20" t="n">
        <v>2.98832113</v>
      </c>
      <c r="G69" s="18" t="n">
        <v>17.03185159</v>
      </c>
      <c r="H69" s="20" t="n">
        <v>2.74060965</v>
      </c>
      <c r="I69" s="18" t="n">
        <v>0</v>
      </c>
      <c r="J69" s="20" t="n">
        <v>0</v>
      </c>
      <c r="K69" s="18" t="n">
        <v>1.65062062</v>
      </c>
      <c r="L69" s="20" t="n">
        <v>0.80541979</v>
      </c>
      <c r="M69" s="18" t="n">
        <v>0</v>
      </c>
      <c r="N69" s="20" t="n">
        <v>0</v>
      </c>
      <c r="O69" s="18" t="n">
        <v>0</v>
      </c>
      <c r="P69" s="20" t="n">
        <v>0</v>
      </c>
      <c r="Q69" s="18" t="n">
        <v>1.39823134</v>
      </c>
      <c r="R69" s="20" t="n">
        <v>0.72799024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77.88808234</v>
      </c>
      <c r="F71" s="20" t="n">
        <v>1.57595426</v>
      </c>
      <c r="G71" s="18" t="n">
        <v>22.0070229</v>
      </c>
      <c r="H71" s="20" t="n">
        <v>1.55485024</v>
      </c>
      <c r="I71" s="18" t="n">
        <v>0</v>
      </c>
      <c r="J71" s="20" t="n">
        <v>0</v>
      </c>
      <c r="K71" s="18" t="n">
        <v>0</v>
      </c>
      <c r="L71" s="20" t="n">
        <v>0</v>
      </c>
      <c r="M71" s="18" t="n">
        <v>0</v>
      </c>
      <c r="N71" s="20" t="n">
        <v>0</v>
      </c>
      <c r="O71" s="18" t="n">
        <v>0</v>
      </c>
      <c r="P71" s="20" t="n">
        <v>0</v>
      </c>
      <c r="Q71" s="18" t="n">
        <v>0.10489476</v>
      </c>
      <c r="R71" s="20" t="n">
        <v>0.10866683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69.00375346</v>
      </c>
      <c r="F76" s="20" t="n">
        <v>1.73409401</v>
      </c>
      <c r="G76" s="18" t="n">
        <v>22.668468</v>
      </c>
      <c r="H76" s="20" t="n">
        <v>1.69160465</v>
      </c>
      <c r="I76" s="18" t="n">
        <v>0</v>
      </c>
      <c r="J76" s="20" t="n">
        <v>0</v>
      </c>
      <c r="K76" s="18" t="n">
        <v>4.75140824</v>
      </c>
      <c r="L76" s="20" t="n">
        <v>0.72003626</v>
      </c>
      <c r="M76" s="18" t="n">
        <v>0</v>
      </c>
      <c r="N76" s="20" t="n">
        <v>0</v>
      </c>
      <c r="O76" s="18" t="n">
        <v>0</v>
      </c>
      <c r="P76" s="20" t="n">
        <v>0</v>
      </c>
      <c r="Q76" s="18" t="n">
        <v>3.57637029</v>
      </c>
      <c r="R76" s="20" t="n">
        <v>0.86332769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49.88456898</v>
      </c>
      <c r="F80" s="20" t="n">
        <v>2.12704542</v>
      </c>
      <c r="G80" s="18" t="n">
        <v>50.11543102</v>
      </c>
      <c r="H80" s="20" t="n">
        <v>2.12704542</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(1384.0/B81*100)</f>
        <v/>
      </c>
      <c r="D81" s="19" t="n">
        <v>273</v>
      </c>
      <c r="E81" s="18" t="n">
        <v>74.35737759</v>
      </c>
      <c r="F81" s="20" t="n">
        <v>2.41092458</v>
      </c>
      <c r="G81" s="18" t="n">
        <v>18.50505681</v>
      </c>
      <c r="H81" s="20" t="n">
        <v>2.13222451</v>
      </c>
      <c r="I81" s="18" t="n">
        <v>0</v>
      </c>
      <c r="J81" s="20" t="n">
        <v>0</v>
      </c>
      <c r="K81" s="18" t="n">
        <v>4.60035211</v>
      </c>
      <c r="L81" s="20" t="n">
        <v>1.24932107</v>
      </c>
      <c r="M81" s="18" t="n">
        <v>0</v>
      </c>
      <c r="N81" s="20" t="n">
        <v>0</v>
      </c>
      <c r="O81" s="18" t="n">
        <v>0</v>
      </c>
      <c r="P81" s="20" t="n">
        <v>0</v>
      </c>
      <c r="Q81" s="18" t="n">
        <v>2.53721349</v>
      </c>
      <c r="R81" s="20" t="n">
        <v>1.14665624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689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57.70032127</v>
      </c>
      <c r="F44" s="20" t="n">
        <v>1.81609981</v>
      </c>
      <c r="G44" s="18" t="n">
        <v>10.12295422</v>
      </c>
      <c r="H44" s="20" t="n">
        <v>1.07286676</v>
      </c>
      <c r="I44" s="18" t="n">
        <v>0</v>
      </c>
      <c r="J44" s="20" t="n">
        <v>0</v>
      </c>
      <c r="K44" s="18" t="n">
        <v>6.00024407</v>
      </c>
      <c r="L44" s="20" t="n">
        <v>0.75735528</v>
      </c>
      <c r="M44" s="18" t="n">
        <v>0</v>
      </c>
      <c r="N44" s="20" t="n">
        <v>0</v>
      </c>
      <c r="O44" s="18" t="n">
        <v>0</v>
      </c>
      <c r="P44" s="20" t="n">
        <v>0</v>
      </c>
      <c r="Q44" s="18" t="n">
        <v>26.17648044</v>
      </c>
      <c r="R44" s="20" t="n">
        <v>1.77939682</v>
      </c>
    </row>
    <row r="45" spans="1:18">
      <c r="A45" s="15" t="s">
        <v>468</v>
      </c>
      <c r="B45" s="17" t="n">
        <v>5519</v>
      </c>
      <c r="C45" s="18">
        <f>(4594.0/B45*100)</f>
        <v/>
      </c>
      <c r="D45" s="19" t="n">
        <v>925</v>
      </c>
      <c r="E45" s="18" t="n">
        <v>49.61003906</v>
      </c>
      <c r="F45" s="20" t="n">
        <v>1.77679967</v>
      </c>
      <c r="G45" s="18" t="n">
        <v>16.2186271</v>
      </c>
      <c r="H45" s="20" t="n">
        <v>1.44414263</v>
      </c>
      <c r="I45" s="18" t="n">
        <v>0</v>
      </c>
      <c r="J45" s="20" t="n">
        <v>0</v>
      </c>
      <c r="K45" s="18" t="n">
        <v>10.06523404</v>
      </c>
      <c r="L45" s="20" t="n">
        <v>0.98444536</v>
      </c>
      <c r="M45" s="18" t="n">
        <v>0.81504274</v>
      </c>
      <c r="N45" s="20" t="n">
        <v>0.33639604</v>
      </c>
      <c r="O45" s="18" t="n">
        <v>0</v>
      </c>
      <c r="P45" s="20" t="n">
        <v>0</v>
      </c>
      <c r="Q45" s="18" t="n">
        <v>23.29105706</v>
      </c>
      <c r="R45" s="20" t="n">
        <v>1.59520603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50.57244587</v>
      </c>
      <c r="F54" s="20" t="n">
        <v>1.73837425</v>
      </c>
      <c r="G54" s="18" t="n">
        <v>19.8809754</v>
      </c>
      <c r="H54" s="20" t="n">
        <v>1.29796899</v>
      </c>
      <c r="I54" s="18" t="n">
        <v>0</v>
      </c>
      <c r="J54" s="20" t="n">
        <v>0</v>
      </c>
      <c r="K54" s="18" t="n">
        <v>4.38675739</v>
      </c>
      <c r="L54" s="20" t="n">
        <v>0.81602684</v>
      </c>
      <c r="M54" s="18" t="n">
        <v>0.10568313</v>
      </c>
      <c r="N54" s="20" t="n">
        <v>0.10509829</v>
      </c>
      <c r="O54" s="18" t="n">
        <v>0</v>
      </c>
      <c r="P54" s="20" t="n">
        <v>0</v>
      </c>
      <c r="Q54" s="18" t="n">
        <v>25.05413821</v>
      </c>
      <c r="R54" s="20" t="n">
        <v>1.67788494</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61.95335578</v>
      </c>
      <c r="F56" s="20" t="n">
        <v>1.84403765</v>
      </c>
      <c r="G56" s="18" t="n">
        <v>21.14851803</v>
      </c>
      <c r="H56" s="20" t="n">
        <v>1.43657616</v>
      </c>
      <c r="I56" s="18" t="n">
        <v>0</v>
      </c>
      <c r="J56" s="20" t="n">
        <v>0</v>
      </c>
      <c r="K56" s="18" t="n">
        <v>2.25286189</v>
      </c>
      <c r="L56" s="20" t="n">
        <v>0.52255887</v>
      </c>
      <c r="M56" s="18" t="n">
        <v>0</v>
      </c>
      <c r="N56" s="20" t="n">
        <v>0</v>
      </c>
      <c r="O56" s="18" t="n">
        <v>0</v>
      </c>
      <c r="P56" s="20" t="n">
        <v>0</v>
      </c>
      <c r="Q56" s="18" t="n">
        <v>14.64526431</v>
      </c>
      <c r="R56" s="20" t="n">
        <v>1.48063312</v>
      </c>
    </row>
    <row r="57" spans="1:18">
      <c r="A57" s="15" t="s">
        <v>480</v>
      </c>
      <c r="B57" s="17" t="n">
        <v>7267</v>
      </c>
      <c r="C57" s="18">
        <f>(6063.0/B57*100)</f>
        <v/>
      </c>
      <c r="D57" s="19" t="n">
        <v>1204</v>
      </c>
      <c r="E57" s="18" t="n">
        <v>47.8124709</v>
      </c>
      <c r="F57" s="20" t="n">
        <v>1.84989228</v>
      </c>
      <c r="G57" s="18" t="n">
        <v>28.89971498</v>
      </c>
      <c r="H57" s="20" t="n">
        <v>1.64319833</v>
      </c>
      <c r="I57" s="18" t="n">
        <v>0</v>
      </c>
      <c r="J57" s="20" t="n">
        <v>0</v>
      </c>
      <c r="K57" s="18" t="n">
        <v>3.62741238</v>
      </c>
      <c r="L57" s="20" t="n">
        <v>0.54997949</v>
      </c>
      <c r="M57" s="18" t="n">
        <v>0</v>
      </c>
      <c r="N57" s="20" t="n">
        <v>0</v>
      </c>
      <c r="O57" s="18" t="n">
        <v>0</v>
      </c>
      <c r="P57" s="20" t="n">
        <v>0</v>
      </c>
      <c r="Q57" s="18" t="n">
        <v>19.66040174</v>
      </c>
      <c r="R57" s="20" t="n">
        <v>1.42845098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73.50378514000001</v>
      </c>
      <c r="F59" s="20" t="n">
        <v>1.96140891</v>
      </c>
      <c r="G59" s="18" t="n">
        <v>6.21673415</v>
      </c>
      <c r="H59" s="20" t="n">
        <v>1.07785054</v>
      </c>
      <c r="I59" s="18" t="n">
        <v>0</v>
      </c>
      <c r="J59" s="20" t="n">
        <v>0</v>
      </c>
      <c r="K59" s="18" t="n">
        <v>1.80541869</v>
      </c>
      <c r="L59" s="20" t="n">
        <v>0.53818176</v>
      </c>
      <c r="M59" s="18" t="n">
        <v>0</v>
      </c>
      <c r="N59" s="20" t="n">
        <v>0</v>
      </c>
      <c r="O59" s="18" t="n">
        <v>0</v>
      </c>
      <c r="P59" s="20" t="n">
        <v>0</v>
      </c>
      <c r="Q59" s="18" t="n">
        <v>18.47406202</v>
      </c>
      <c r="R59" s="20" t="n">
        <v>1.59308541</v>
      </c>
    </row>
    <row r="60" spans="1:18">
      <c r="A60" s="15" t="s">
        <v>484</v>
      </c>
      <c r="B60" s="17" t="n">
        <v>4546</v>
      </c>
      <c r="C60" s="18">
        <f>(3791.0/B60*100)</f>
        <v/>
      </c>
      <c r="D60" s="19" t="n">
        <v>755</v>
      </c>
      <c r="E60" s="18" t="n">
        <v>37.94305869</v>
      </c>
      <c r="F60" s="20" t="n">
        <v>2.05015992</v>
      </c>
      <c r="G60" s="18" t="n">
        <v>25.51325854</v>
      </c>
      <c r="H60" s="20" t="n">
        <v>1.9644429</v>
      </c>
      <c r="I60" s="18" t="n">
        <v>0</v>
      </c>
      <c r="J60" s="20" t="n">
        <v>0</v>
      </c>
      <c r="K60" s="18" t="n">
        <v>6.25946616</v>
      </c>
      <c r="L60" s="20" t="n">
        <v>0.8466777</v>
      </c>
      <c r="M60" s="18" t="n">
        <v>0.11713018</v>
      </c>
      <c r="N60" s="20" t="n">
        <v>0.11596778</v>
      </c>
      <c r="O60" s="18" t="n">
        <v>0</v>
      </c>
      <c r="P60" s="20" t="n">
        <v>0</v>
      </c>
      <c r="Q60" s="18" t="n">
        <v>30.16708643</v>
      </c>
      <c r="R60" s="20" t="n">
        <v>1.92171643</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42.14763331</v>
      </c>
      <c r="F63" s="20" t="n">
        <v>1.76226209</v>
      </c>
      <c r="G63" s="18" t="n">
        <v>6.94980909</v>
      </c>
      <c r="H63" s="20" t="n">
        <v>0.93937791</v>
      </c>
      <c r="I63" s="18" t="n">
        <v>0</v>
      </c>
      <c r="J63" s="20" t="n">
        <v>0</v>
      </c>
      <c r="K63" s="18" t="n">
        <v>3.60730956</v>
      </c>
      <c r="L63" s="20" t="n">
        <v>0.5512527</v>
      </c>
      <c r="M63" s="18" t="n">
        <v>0</v>
      </c>
      <c r="N63" s="20" t="n">
        <v>0</v>
      </c>
      <c r="O63" s="18" t="n">
        <v>0</v>
      </c>
      <c r="P63" s="20" t="n">
        <v>0</v>
      </c>
      <c r="Q63" s="18" t="n">
        <v>47.29524805</v>
      </c>
      <c r="R63" s="20" t="n">
        <v>1.60155357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32.87136989</v>
      </c>
      <c r="F65" s="20" t="n">
        <v>1.59191326</v>
      </c>
      <c r="G65" s="18" t="n">
        <v>41.90727833</v>
      </c>
      <c r="H65" s="20" t="n">
        <v>1.99217946</v>
      </c>
      <c r="I65" s="18" t="n">
        <v>0</v>
      </c>
      <c r="J65" s="20" t="n">
        <v>0</v>
      </c>
      <c r="K65" s="18" t="n">
        <v>3.84374576</v>
      </c>
      <c r="L65" s="20" t="n">
        <v>0.75734188</v>
      </c>
      <c r="M65" s="18" t="n">
        <v>0</v>
      </c>
      <c r="N65" s="20" t="n">
        <v>0</v>
      </c>
      <c r="O65" s="18" t="n">
        <v>0</v>
      </c>
      <c r="P65" s="20" t="n">
        <v>0</v>
      </c>
      <c r="Q65" s="18" t="n">
        <v>21.37760602</v>
      </c>
      <c r="R65" s="20" t="n">
        <v>1.68730505</v>
      </c>
    </row>
    <row r="66" spans="1:18">
      <c r="A66" s="15" t="s">
        <v>490</v>
      </c>
      <c r="B66" s="17" t="n">
        <v>5325</v>
      </c>
      <c r="C66" s="18">
        <f>(4425.0/B66*100)</f>
        <v/>
      </c>
      <c r="D66" s="19" t="n">
        <v>900</v>
      </c>
      <c r="E66" s="18" t="n">
        <v>39.32014893</v>
      </c>
      <c r="F66" s="20" t="n">
        <v>1.93365423</v>
      </c>
      <c r="G66" s="18" t="n">
        <v>25.14372515</v>
      </c>
      <c r="H66" s="20" t="n">
        <v>1.67838006</v>
      </c>
      <c r="I66" s="18" t="n">
        <v>0</v>
      </c>
      <c r="J66" s="20" t="n">
        <v>0</v>
      </c>
      <c r="K66" s="18" t="n">
        <v>8.95944942</v>
      </c>
      <c r="L66" s="20" t="n">
        <v>0.96802229</v>
      </c>
      <c r="M66" s="18" t="n">
        <v>0</v>
      </c>
      <c r="N66" s="20" t="n">
        <v>0</v>
      </c>
      <c r="O66" s="18" t="n">
        <v>0</v>
      </c>
      <c r="P66" s="20" t="n">
        <v>0</v>
      </c>
      <c r="Q66" s="18" t="n">
        <v>26.57667651</v>
      </c>
      <c r="R66" s="20" t="n">
        <v>1.8134971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44.29219477</v>
      </c>
      <c r="F69" s="20" t="n">
        <v>3.87978626</v>
      </c>
      <c r="G69" s="18" t="n">
        <v>36.69053344</v>
      </c>
      <c r="H69" s="20" t="n">
        <v>4.04449647</v>
      </c>
      <c r="I69" s="18" t="n">
        <v>0</v>
      </c>
      <c r="J69" s="20" t="n">
        <v>0</v>
      </c>
      <c r="K69" s="18" t="n">
        <v>2.84157976</v>
      </c>
      <c r="L69" s="20" t="n">
        <v>1.34468471</v>
      </c>
      <c r="M69" s="18" t="n">
        <v>0</v>
      </c>
      <c r="N69" s="20" t="n">
        <v>0</v>
      </c>
      <c r="O69" s="18" t="n">
        <v>0</v>
      </c>
      <c r="P69" s="20" t="n">
        <v>0</v>
      </c>
      <c r="Q69" s="18" t="n">
        <v>16.17569203</v>
      </c>
      <c r="R69" s="20" t="n">
        <v>3.2824977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65.52910371999999</v>
      </c>
      <c r="F71" s="20" t="n">
        <v>1.87222936</v>
      </c>
      <c r="G71" s="18" t="n">
        <v>32.14785327</v>
      </c>
      <c r="H71" s="20" t="n">
        <v>1.89995575</v>
      </c>
      <c r="I71" s="18" t="n">
        <v>0</v>
      </c>
      <c r="J71" s="20" t="n">
        <v>0</v>
      </c>
      <c r="K71" s="18" t="n">
        <v>0.11842815</v>
      </c>
      <c r="L71" s="20" t="n">
        <v>0.11861787</v>
      </c>
      <c r="M71" s="18" t="n">
        <v>0</v>
      </c>
      <c r="N71" s="20" t="n">
        <v>0</v>
      </c>
      <c r="O71" s="18" t="n">
        <v>0</v>
      </c>
      <c r="P71" s="20" t="n">
        <v>0</v>
      </c>
      <c r="Q71" s="18" t="n">
        <v>2.20461487</v>
      </c>
      <c r="R71" s="20" t="n">
        <v>0.48542233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35.82939133</v>
      </c>
      <c r="F76" s="20" t="n">
        <v>2.0366705</v>
      </c>
      <c r="G76" s="18" t="n">
        <v>27.7577141</v>
      </c>
      <c r="H76" s="20" t="n">
        <v>1.6583096</v>
      </c>
      <c r="I76" s="18" t="n">
        <v>0</v>
      </c>
      <c r="J76" s="20" t="n">
        <v>0</v>
      </c>
      <c r="K76" s="18" t="n">
        <v>6.56796885</v>
      </c>
      <c r="L76" s="20" t="n">
        <v>0.88618259</v>
      </c>
      <c r="M76" s="18" t="n">
        <v>0</v>
      </c>
      <c r="N76" s="20" t="n">
        <v>0</v>
      </c>
      <c r="O76" s="18" t="n">
        <v>0</v>
      </c>
      <c r="P76" s="20" t="n">
        <v>0</v>
      </c>
      <c r="Q76" s="18" t="n">
        <v>29.84492572</v>
      </c>
      <c r="R76" s="20" t="n">
        <v>1.83867465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67.37880935</v>
      </c>
      <c r="F80" s="20" t="n">
        <v>1.64803604</v>
      </c>
      <c r="G80" s="18" t="n">
        <v>29.30858135</v>
      </c>
      <c r="H80" s="20" t="n">
        <v>1.61847221</v>
      </c>
      <c r="I80" s="18" t="n">
        <v>0</v>
      </c>
      <c r="J80" s="20" t="n">
        <v>0</v>
      </c>
      <c r="K80" s="18" t="n">
        <v>0</v>
      </c>
      <c r="L80" s="20" t="n">
        <v>0</v>
      </c>
      <c r="M80" s="18" t="n">
        <v>0</v>
      </c>
      <c r="N80" s="20" t="n">
        <v>0</v>
      </c>
      <c r="O80" s="18" t="n">
        <v>0</v>
      </c>
      <c r="P80" s="20" t="n">
        <v>0</v>
      </c>
      <c r="Q80" s="18" t="n">
        <v>3.3126093</v>
      </c>
      <c r="R80" s="20" t="n">
        <v>0.63226032</v>
      </c>
    </row>
    <row r="81" spans="1:18">
      <c r="A81" s="15" t="s">
        <v>505</v>
      </c>
      <c r="B81" s="17" t="n">
        <v>1657</v>
      </c>
      <c r="C81" s="18">
        <f>(1384.0/B81*100)</f>
        <v/>
      </c>
      <c r="D81" s="19" t="n">
        <v>273</v>
      </c>
      <c r="E81" s="18" t="n">
        <v>29.15507279</v>
      </c>
      <c r="F81" s="20" t="n">
        <v>2.94752248</v>
      </c>
      <c r="G81" s="18" t="n">
        <v>39.23649748</v>
      </c>
      <c r="H81" s="20" t="n">
        <v>3.32631145</v>
      </c>
      <c r="I81" s="18" t="n">
        <v>0</v>
      </c>
      <c r="J81" s="20" t="n">
        <v>0</v>
      </c>
      <c r="K81" s="18" t="n">
        <v>6.11659939</v>
      </c>
      <c r="L81" s="20" t="n">
        <v>1.46740916</v>
      </c>
      <c r="M81" s="18" t="n">
        <v>0</v>
      </c>
      <c r="N81" s="20" t="n">
        <v>0</v>
      </c>
      <c r="O81" s="18" t="n">
        <v>0</v>
      </c>
      <c r="P81" s="20" t="n">
        <v>0</v>
      </c>
      <c r="Q81" s="18" t="n">
        <v>25.49183034</v>
      </c>
      <c r="R81" s="20" t="n">
        <v>3.83074542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53.27347854</v>
      </c>
      <c r="F44" s="20" t="n">
        <v>1.50979239</v>
      </c>
      <c r="G44" s="18" t="n">
        <v>10.9499364</v>
      </c>
      <c r="H44" s="20" t="n">
        <v>1.22085874</v>
      </c>
      <c r="I44" s="18" t="n">
        <v>0</v>
      </c>
      <c r="J44" s="20" t="n">
        <v>0</v>
      </c>
      <c r="K44" s="18" t="n">
        <v>6.11566327</v>
      </c>
      <c r="L44" s="20" t="n">
        <v>0.80058653</v>
      </c>
      <c r="M44" s="18" t="n">
        <v>0</v>
      </c>
      <c r="N44" s="20" t="n">
        <v>0</v>
      </c>
      <c r="O44" s="18" t="n">
        <v>0</v>
      </c>
      <c r="P44" s="20" t="n">
        <v>0</v>
      </c>
      <c r="Q44" s="18" t="n">
        <v>29.66092179</v>
      </c>
      <c r="R44" s="20" t="n">
        <v>1.64989165</v>
      </c>
    </row>
    <row r="45" spans="1:18">
      <c r="A45" s="15" t="s">
        <v>468</v>
      </c>
      <c r="B45" s="17" t="n">
        <v>5519</v>
      </c>
      <c r="C45" s="18">
        <f>(4594.0/B45*100)</f>
        <v/>
      </c>
      <c r="D45" s="19" t="n">
        <v>925</v>
      </c>
      <c r="E45" s="18" t="n">
        <v>51.86640302</v>
      </c>
      <c r="F45" s="20" t="n">
        <v>1.92975713</v>
      </c>
      <c r="G45" s="18" t="n">
        <v>14.26874427</v>
      </c>
      <c r="H45" s="20" t="n">
        <v>1.36137093</v>
      </c>
      <c r="I45" s="18" t="n">
        <v>0</v>
      </c>
      <c r="J45" s="20" t="n">
        <v>0</v>
      </c>
      <c r="K45" s="18" t="n">
        <v>10.50573284</v>
      </c>
      <c r="L45" s="20" t="n">
        <v>0.9824386899999999</v>
      </c>
      <c r="M45" s="18" t="n">
        <v>0.81504274</v>
      </c>
      <c r="N45" s="20" t="n">
        <v>0.33639604</v>
      </c>
      <c r="O45" s="18" t="n">
        <v>0</v>
      </c>
      <c r="P45" s="20" t="n">
        <v>0</v>
      </c>
      <c r="Q45" s="18" t="n">
        <v>22.54407712</v>
      </c>
      <c r="R45" s="20" t="n">
        <v>1.64418327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53.42889526</v>
      </c>
      <c r="F54" s="20" t="n">
        <v>1.69470149</v>
      </c>
      <c r="G54" s="18" t="n">
        <v>16.23702607</v>
      </c>
      <c r="H54" s="20" t="n">
        <v>1.27257678</v>
      </c>
      <c r="I54" s="18" t="n">
        <v>0</v>
      </c>
      <c r="J54" s="20" t="n">
        <v>0</v>
      </c>
      <c r="K54" s="18" t="n">
        <v>4.38675739</v>
      </c>
      <c r="L54" s="20" t="n">
        <v>0.81602684</v>
      </c>
      <c r="M54" s="18" t="n">
        <v>0.10568313</v>
      </c>
      <c r="N54" s="20" t="n">
        <v>0.10509829</v>
      </c>
      <c r="O54" s="18" t="n">
        <v>0</v>
      </c>
      <c r="P54" s="20" t="n">
        <v>0</v>
      </c>
      <c r="Q54" s="18" t="n">
        <v>25.84163816</v>
      </c>
      <c r="R54" s="20" t="n">
        <v>1.638217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62.57866555</v>
      </c>
      <c r="F56" s="20" t="n">
        <v>1.71111583</v>
      </c>
      <c r="G56" s="18" t="n">
        <v>20.09351297</v>
      </c>
      <c r="H56" s="20" t="n">
        <v>1.45757413</v>
      </c>
      <c r="I56" s="18" t="n">
        <v>0</v>
      </c>
      <c r="J56" s="20" t="n">
        <v>0</v>
      </c>
      <c r="K56" s="18" t="n">
        <v>2.36275263</v>
      </c>
      <c r="L56" s="20" t="n">
        <v>0.5336357</v>
      </c>
      <c r="M56" s="18" t="n">
        <v>0</v>
      </c>
      <c r="N56" s="20" t="n">
        <v>0</v>
      </c>
      <c r="O56" s="18" t="n">
        <v>0</v>
      </c>
      <c r="P56" s="20" t="n">
        <v>0</v>
      </c>
      <c r="Q56" s="18" t="n">
        <v>14.96506885</v>
      </c>
      <c r="R56" s="20" t="n">
        <v>1.52260003</v>
      </c>
    </row>
    <row r="57" spans="1:18">
      <c r="A57" s="15" t="s">
        <v>480</v>
      </c>
      <c r="B57" s="17" t="n">
        <v>7267</v>
      </c>
      <c r="C57" s="18">
        <f>(6063.0/B57*100)</f>
        <v/>
      </c>
      <c r="D57" s="19" t="n">
        <v>1204</v>
      </c>
      <c r="E57" s="18" t="n">
        <v>50.27410511</v>
      </c>
      <c r="F57" s="20" t="n">
        <v>1.503574</v>
      </c>
      <c r="G57" s="18" t="n">
        <v>25.38457769</v>
      </c>
      <c r="H57" s="20" t="n">
        <v>1.48937358</v>
      </c>
      <c r="I57" s="18" t="n">
        <v>0</v>
      </c>
      <c r="J57" s="20" t="n">
        <v>0</v>
      </c>
      <c r="K57" s="18" t="n">
        <v>3.62741238</v>
      </c>
      <c r="L57" s="20" t="n">
        <v>0.54997949</v>
      </c>
      <c r="M57" s="18" t="n">
        <v>0</v>
      </c>
      <c r="N57" s="20" t="n">
        <v>0</v>
      </c>
      <c r="O57" s="18" t="n">
        <v>0</v>
      </c>
      <c r="P57" s="20" t="n">
        <v>0</v>
      </c>
      <c r="Q57" s="18" t="n">
        <v>20.71390482</v>
      </c>
      <c r="R57" s="20" t="n">
        <v>1.46766593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73.42661606</v>
      </c>
      <c r="F59" s="20" t="n">
        <v>1.62814895</v>
      </c>
      <c r="G59" s="18" t="n">
        <v>3.04086133</v>
      </c>
      <c r="H59" s="20" t="n">
        <v>0.70025389</v>
      </c>
      <c r="I59" s="18" t="n">
        <v>0</v>
      </c>
      <c r="J59" s="20" t="n">
        <v>0</v>
      </c>
      <c r="K59" s="18" t="n">
        <v>1.80541869</v>
      </c>
      <c r="L59" s="20" t="n">
        <v>0.53818176</v>
      </c>
      <c r="M59" s="18" t="n">
        <v>0</v>
      </c>
      <c r="N59" s="20" t="n">
        <v>0</v>
      </c>
      <c r="O59" s="18" t="n">
        <v>0</v>
      </c>
      <c r="P59" s="20" t="n">
        <v>0</v>
      </c>
      <c r="Q59" s="18" t="n">
        <v>21.72710392</v>
      </c>
      <c r="R59" s="20" t="n">
        <v>1.63786239</v>
      </c>
    </row>
    <row r="60" spans="1:18">
      <c r="A60" s="15" t="s">
        <v>484</v>
      </c>
      <c r="B60" s="17" t="n">
        <v>4546</v>
      </c>
      <c r="C60" s="18">
        <f>(3791.0/B60*100)</f>
        <v/>
      </c>
      <c r="D60" s="19" t="n">
        <v>755</v>
      </c>
      <c r="E60" s="18" t="n">
        <v>36.05730217</v>
      </c>
      <c r="F60" s="20" t="n">
        <v>2.1257063</v>
      </c>
      <c r="G60" s="18" t="n">
        <v>27.06957758</v>
      </c>
      <c r="H60" s="20" t="n">
        <v>2.13186813</v>
      </c>
      <c r="I60" s="18" t="n">
        <v>0</v>
      </c>
      <c r="J60" s="20" t="n">
        <v>0</v>
      </c>
      <c r="K60" s="18" t="n">
        <v>6.38496091</v>
      </c>
      <c r="L60" s="20" t="n">
        <v>0.8527731200000001</v>
      </c>
      <c r="M60" s="18" t="n">
        <v>0.11713018</v>
      </c>
      <c r="N60" s="20" t="n">
        <v>0.11596778</v>
      </c>
      <c r="O60" s="18" t="n">
        <v>0</v>
      </c>
      <c r="P60" s="20" t="n">
        <v>0</v>
      </c>
      <c r="Q60" s="18" t="n">
        <v>30.37102915</v>
      </c>
      <c r="R60" s="20" t="n">
        <v>1.89925537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41.9031085</v>
      </c>
      <c r="F63" s="20" t="n">
        <v>1.69057516</v>
      </c>
      <c r="G63" s="18" t="n">
        <v>5.92564038</v>
      </c>
      <c r="H63" s="20" t="n">
        <v>0.96700488</v>
      </c>
      <c r="I63" s="18" t="n">
        <v>0</v>
      </c>
      <c r="J63" s="20" t="n">
        <v>0</v>
      </c>
      <c r="K63" s="18" t="n">
        <v>3.72876436</v>
      </c>
      <c r="L63" s="20" t="n">
        <v>0.56088417</v>
      </c>
      <c r="M63" s="18" t="n">
        <v>0</v>
      </c>
      <c r="N63" s="20" t="n">
        <v>0</v>
      </c>
      <c r="O63" s="18" t="n">
        <v>0</v>
      </c>
      <c r="P63" s="20" t="n">
        <v>0</v>
      </c>
      <c r="Q63" s="18" t="n">
        <v>48.44248676</v>
      </c>
      <c r="R63" s="20" t="n">
        <v>1.57534247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35.175033</v>
      </c>
      <c r="F65" s="20" t="n">
        <v>1.9602933</v>
      </c>
      <c r="G65" s="18" t="n">
        <v>37.88466452</v>
      </c>
      <c r="H65" s="20" t="n">
        <v>2.00158382</v>
      </c>
      <c r="I65" s="18" t="n">
        <v>0</v>
      </c>
      <c r="J65" s="20" t="n">
        <v>0</v>
      </c>
      <c r="K65" s="18" t="n">
        <v>3.84374576</v>
      </c>
      <c r="L65" s="20" t="n">
        <v>0.75734188</v>
      </c>
      <c r="M65" s="18" t="n">
        <v>0</v>
      </c>
      <c r="N65" s="20" t="n">
        <v>0</v>
      </c>
      <c r="O65" s="18" t="n">
        <v>0</v>
      </c>
      <c r="P65" s="20" t="n">
        <v>0</v>
      </c>
      <c r="Q65" s="18" t="n">
        <v>23.09655673</v>
      </c>
      <c r="R65" s="20" t="n">
        <v>1.72488018</v>
      </c>
    </row>
    <row r="66" spans="1:18">
      <c r="A66" s="15" t="s">
        <v>490</v>
      </c>
      <c r="B66" s="17" t="n">
        <v>5325</v>
      </c>
      <c r="C66" s="18">
        <f>(4425.0/B66*100)</f>
        <v/>
      </c>
      <c r="D66" s="19" t="n">
        <v>900</v>
      </c>
      <c r="E66" s="18" t="n">
        <v>34.10392267</v>
      </c>
      <c r="F66" s="20" t="n">
        <v>1.74686021</v>
      </c>
      <c r="G66" s="18" t="n">
        <v>27.27588173</v>
      </c>
      <c r="H66" s="20" t="n">
        <v>1.70599253</v>
      </c>
      <c r="I66" s="18" t="n">
        <v>0</v>
      </c>
      <c r="J66" s="20" t="n">
        <v>0</v>
      </c>
      <c r="K66" s="18" t="n">
        <v>9.069024450000001</v>
      </c>
      <c r="L66" s="20" t="n">
        <v>0.9896118</v>
      </c>
      <c r="M66" s="18" t="n">
        <v>0</v>
      </c>
      <c r="N66" s="20" t="n">
        <v>0</v>
      </c>
      <c r="O66" s="18" t="n">
        <v>0</v>
      </c>
      <c r="P66" s="20" t="n">
        <v>0</v>
      </c>
      <c r="Q66" s="18" t="n">
        <v>29.55117115</v>
      </c>
      <c r="R66" s="20" t="n">
        <v>1.87179915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62.15150331</v>
      </c>
      <c r="F69" s="20" t="n">
        <v>3.92725233</v>
      </c>
      <c r="G69" s="18" t="n">
        <v>16.87604337</v>
      </c>
      <c r="H69" s="20" t="n">
        <v>2.68108538</v>
      </c>
      <c r="I69" s="18" t="n">
        <v>0</v>
      </c>
      <c r="J69" s="20" t="n">
        <v>0</v>
      </c>
      <c r="K69" s="18" t="n">
        <v>2.84157976</v>
      </c>
      <c r="L69" s="20" t="n">
        <v>1.34468471</v>
      </c>
      <c r="M69" s="18" t="n">
        <v>0</v>
      </c>
      <c r="N69" s="20" t="n">
        <v>0</v>
      </c>
      <c r="O69" s="18" t="n">
        <v>0</v>
      </c>
      <c r="P69" s="20" t="n">
        <v>0</v>
      </c>
      <c r="Q69" s="18" t="n">
        <v>18.13087356</v>
      </c>
      <c r="R69" s="20" t="n">
        <v>3.33518379</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66.65729963</v>
      </c>
      <c r="F71" s="20" t="n">
        <v>1.82397642</v>
      </c>
      <c r="G71" s="18" t="n">
        <v>30.65472215</v>
      </c>
      <c r="H71" s="20" t="n">
        <v>1.81208369</v>
      </c>
      <c r="I71" s="18" t="n">
        <v>0</v>
      </c>
      <c r="J71" s="20" t="n">
        <v>0</v>
      </c>
      <c r="K71" s="18" t="n">
        <v>0.11842815</v>
      </c>
      <c r="L71" s="20" t="n">
        <v>0.11861787</v>
      </c>
      <c r="M71" s="18" t="n">
        <v>0</v>
      </c>
      <c r="N71" s="20" t="n">
        <v>0</v>
      </c>
      <c r="O71" s="18" t="n">
        <v>0</v>
      </c>
      <c r="P71" s="20" t="n">
        <v>0</v>
      </c>
      <c r="Q71" s="18" t="n">
        <v>2.56955007</v>
      </c>
      <c r="R71" s="20" t="n">
        <v>0.5521460500000001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31.62687753</v>
      </c>
      <c r="F76" s="20" t="n">
        <v>1.74546173</v>
      </c>
      <c r="G76" s="18" t="n">
        <v>29.28775638</v>
      </c>
      <c r="H76" s="20" t="n">
        <v>1.72059121</v>
      </c>
      <c r="I76" s="18" t="n">
        <v>0</v>
      </c>
      <c r="J76" s="20" t="n">
        <v>0</v>
      </c>
      <c r="K76" s="18" t="n">
        <v>6.75920977</v>
      </c>
      <c r="L76" s="20" t="n">
        <v>0.91637608</v>
      </c>
      <c r="M76" s="18" t="n">
        <v>0</v>
      </c>
      <c r="N76" s="20" t="n">
        <v>0</v>
      </c>
      <c r="O76" s="18" t="n">
        <v>0</v>
      </c>
      <c r="P76" s="20" t="n">
        <v>0</v>
      </c>
      <c r="Q76" s="18" t="n">
        <v>32.32615633</v>
      </c>
      <c r="R76" s="20" t="n">
        <v>1.82998509</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48.8182879</v>
      </c>
      <c r="F80" s="20" t="n">
        <v>2.03456078</v>
      </c>
      <c r="G80" s="18" t="n">
        <v>46.7572821</v>
      </c>
      <c r="H80" s="20" t="n">
        <v>1.99776056</v>
      </c>
      <c r="I80" s="18" t="n">
        <v>0</v>
      </c>
      <c r="J80" s="20" t="n">
        <v>0</v>
      </c>
      <c r="K80" s="18" t="n">
        <v>0</v>
      </c>
      <c r="L80" s="20" t="n">
        <v>0</v>
      </c>
      <c r="M80" s="18" t="n">
        <v>0</v>
      </c>
      <c r="N80" s="20" t="n">
        <v>0</v>
      </c>
      <c r="O80" s="18" t="n">
        <v>0</v>
      </c>
      <c r="P80" s="20" t="n">
        <v>0</v>
      </c>
      <c r="Q80" s="18" t="n">
        <v>4.42442999</v>
      </c>
      <c r="R80" s="20" t="n">
        <v>0.67298355</v>
      </c>
    </row>
    <row r="81" spans="1:18">
      <c r="A81" s="15" t="s">
        <v>505</v>
      </c>
      <c r="B81" s="17" t="n">
        <v>1657</v>
      </c>
      <c r="C81" s="18">
        <f>(1384.0/B81*100)</f>
        <v/>
      </c>
      <c r="D81" s="19" t="n">
        <v>273</v>
      </c>
      <c r="E81" s="18" t="n">
        <v>33.4208749</v>
      </c>
      <c r="F81" s="20" t="n">
        <v>3.33576419</v>
      </c>
      <c r="G81" s="18" t="n">
        <v>31.90687592</v>
      </c>
      <c r="H81" s="20" t="n">
        <v>3.48393042</v>
      </c>
      <c r="I81" s="18" t="n">
        <v>0</v>
      </c>
      <c r="J81" s="20" t="n">
        <v>0</v>
      </c>
      <c r="K81" s="18" t="n">
        <v>6.11659939</v>
      </c>
      <c r="L81" s="20" t="n">
        <v>1.46740916</v>
      </c>
      <c r="M81" s="18" t="n">
        <v>0</v>
      </c>
      <c r="N81" s="20" t="n">
        <v>0</v>
      </c>
      <c r="O81" s="18" t="n">
        <v>0</v>
      </c>
      <c r="P81" s="20" t="n">
        <v>0</v>
      </c>
      <c r="Q81" s="18" t="n">
        <v>28.5556498</v>
      </c>
      <c r="R81" s="20" t="n">
        <v>3.87440813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24.50594706</v>
      </c>
      <c r="F44" s="20" t="n">
        <v>2.03682517</v>
      </c>
      <c r="G44" s="18" t="n">
        <v>55.68134488</v>
      </c>
      <c r="H44" s="20" t="n">
        <v>2.50424708</v>
      </c>
      <c r="I44" s="18" t="n">
        <v>0</v>
      </c>
      <c r="J44" s="20" t="n">
        <v>0</v>
      </c>
      <c r="K44" s="18" t="n">
        <v>6.56432136</v>
      </c>
      <c r="L44" s="20" t="n">
        <v>0.83441111</v>
      </c>
      <c r="M44" s="18" t="n">
        <v>0</v>
      </c>
      <c r="N44" s="20" t="n">
        <v>0</v>
      </c>
      <c r="O44" s="18" t="n">
        <v>0</v>
      </c>
      <c r="P44" s="20" t="n">
        <v>0</v>
      </c>
      <c r="Q44" s="18" t="n">
        <v>13.2483867</v>
      </c>
      <c r="R44" s="20" t="n">
        <v>1.18481915</v>
      </c>
    </row>
    <row r="45" spans="1:18">
      <c r="A45" s="15" t="s">
        <v>468</v>
      </c>
      <c r="B45" s="17" t="n">
        <v>5519</v>
      </c>
      <c r="C45" s="18">
        <f>(4594.0/B45*100)</f>
        <v/>
      </c>
      <c r="D45" s="19" t="n">
        <v>925</v>
      </c>
      <c r="E45" s="18" t="n">
        <v>38.81679281</v>
      </c>
      <c r="F45" s="20" t="n">
        <v>1.5315057</v>
      </c>
      <c r="G45" s="18" t="n">
        <v>33.92848277</v>
      </c>
      <c r="H45" s="20" t="n">
        <v>1.64047026</v>
      </c>
      <c r="I45" s="18" t="n">
        <v>0</v>
      </c>
      <c r="J45" s="20" t="n">
        <v>0</v>
      </c>
      <c r="K45" s="18" t="n">
        <v>13.82095981</v>
      </c>
      <c r="L45" s="20" t="n">
        <v>1.31875781</v>
      </c>
      <c r="M45" s="18" t="n">
        <v>0.48792663</v>
      </c>
      <c r="N45" s="20" t="n">
        <v>0.26258796</v>
      </c>
      <c r="O45" s="18" t="n">
        <v>0</v>
      </c>
      <c r="P45" s="20" t="n">
        <v>0</v>
      </c>
      <c r="Q45" s="18" t="n">
        <v>12.94583797</v>
      </c>
      <c r="R45" s="20" t="n">
        <v>1.25109933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14.60496665</v>
      </c>
      <c r="F54" s="20" t="n">
        <v>1.45797756</v>
      </c>
      <c r="G54" s="18" t="n">
        <v>65.44112075</v>
      </c>
      <c r="H54" s="20" t="n">
        <v>1.7694057</v>
      </c>
      <c r="I54" s="18" t="n">
        <v>0</v>
      </c>
      <c r="J54" s="20" t="n">
        <v>0</v>
      </c>
      <c r="K54" s="18" t="n">
        <v>4.79777167</v>
      </c>
      <c r="L54" s="20" t="n">
        <v>0.83895316</v>
      </c>
      <c r="M54" s="18" t="n">
        <v>0.10568313</v>
      </c>
      <c r="N54" s="20" t="n">
        <v>0.10509829</v>
      </c>
      <c r="O54" s="18" t="n">
        <v>0</v>
      </c>
      <c r="P54" s="20" t="n">
        <v>0</v>
      </c>
      <c r="Q54" s="18" t="n">
        <v>15.0504578</v>
      </c>
      <c r="R54" s="20" t="n">
        <v>1.34197849</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53.95450418</v>
      </c>
      <c r="F56" s="20" t="n">
        <v>1.78324734</v>
      </c>
      <c r="G56" s="18" t="n">
        <v>40.06251974</v>
      </c>
      <c r="H56" s="20" t="n">
        <v>1.56856779</v>
      </c>
      <c r="I56" s="18" t="n">
        <v>0</v>
      </c>
      <c r="J56" s="20" t="n">
        <v>0</v>
      </c>
      <c r="K56" s="18" t="n">
        <v>2.40653503</v>
      </c>
      <c r="L56" s="20" t="n">
        <v>0.5334127</v>
      </c>
      <c r="M56" s="18" t="n">
        <v>0</v>
      </c>
      <c r="N56" s="20" t="n">
        <v>0</v>
      </c>
      <c r="O56" s="18" t="n">
        <v>0</v>
      </c>
      <c r="P56" s="20" t="n">
        <v>0</v>
      </c>
      <c r="Q56" s="18" t="n">
        <v>3.57644106</v>
      </c>
      <c r="R56" s="20" t="n">
        <v>0.81475717</v>
      </c>
    </row>
    <row r="57" spans="1:18">
      <c r="A57" s="15" t="s">
        <v>480</v>
      </c>
      <c r="B57" s="17" t="n">
        <v>7267</v>
      </c>
      <c r="C57" s="18">
        <f>(6063.0/B57*100)</f>
        <v/>
      </c>
      <c r="D57" s="19" t="n">
        <v>1204</v>
      </c>
      <c r="E57" s="18" t="n">
        <v>23.43309854</v>
      </c>
      <c r="F57" s="20" t="n">
        <v>1.19962792</v>
      </c>
      <c r="G57" s="18" t="n">
        <v>63.65367608</v>
      </c>
      <c r="H57" s="20" t="n">
        <v>1.57730852</v>
      </c>
      <c r="I57" s="18" t="n">
        <v>0</v>
      </c>
      <c r="J57" s="20" t="n">
        <v>0</v>
      </c>
      <c r="K57" s="18" t="n">
        <v>4.01450409</v>
      </c>
      <c r="L57" s="20" t="n">
        <v>0.57194868</v>
      </c>
      <c r="M57" s="18" t="n">
        <v>0</v>
      </c>
      <c r="N57" s="20" t="n">
        <v>0</v>
      </c>
      <c r="O57" s="18" t="n">
        <v>0.11238425</v>
      </c>
      <c r="P57" s="20" t="n">
        <v>0.1122932</v>
      </c>
      <c r="Q57" s="18" t="n">
        <v>8.786337039999999</v>
      </c>
      <c r="R57" s="20" t="n">
        <v>1.00700585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52.20771503</v>
      </c>
      <c r="F59" s="20" t="n">
        <v>2.01969024</v>
      </c>
      <c r="G59" s="18" t="n">
        <v>34.92008944</v>
      </c>
      <c r="H59" s="20" t="n">
        <v>2.11541466</v>
      </c>
      <c r="I59" s="18" t="n">
        <v>0</v>
      </c>
      <c r="J59" s="20" t="n">
        <v>0</v>
      </c>
      <c r="K59" s="18" t="n">
        <v>1.92990682</v>
      </c>
      <c r="L59" s="20" t="n">
        <v>0.5453794199999999</v>
      </c>
      <c r="M59" s="18" t="n">
        <v>0</v>
      </c>
      <c r="N59" s="20" t="n">
        <v>0</v>
      </c>
      <c r="O59" s="18" t="n">
        <v>0</v>
      </c>
      <c r="P59" s="20" t="n">
        <v>0</v>
      </c>
      <c r="Q59" s="18" t="n">
        <v>10.94228871</v>
      </c>
      <c r="R59" s="20" t="n">
        <v>1.06654099</v>
      </c>
    </row>
    <row r="60" spans="1:18">
      <c r="A60" s="15" t="s">
        <v>484</v>
      </c>
      <c r="B60" s="17" t="n">
        <v>4546</v>
      </c>
      <c r="C60" s="18">
        <f>(3791.0/B60*100)</f>
        <v/>
      </c>
      <c r="D60" s="19" t="n">
        <v>755</v>
      </c>
      <c r="E60" s="18" t="n">
        <v>40.69321778</v>
      </c>
      <c r="F60" s="20" t="n">
        <v>2.05041596</v>
      </c>
      <c r="G60" s="18" t="n">
        <v>22.74682721</v>
      </c>
      <c r="H60" s="20" t="n">
        <v>2.0250649</v>
      </c>
      <c r="I60" s="18" t="n">
        <v>0</v>
      </c>
      <c r="J60" s="20" t="n">
        <v>0</v>
      </c>
      <c r="K60" s="18" t="n">
        <v>7.24391026</v>
      </c>
      <c r="L60" s="20" t="n">
        <v>0.95364645</v>
      </c>
      <c r="M60" s="18" t="n">
        <v>0</v>
      </c>
      <c r="N60" s="20" t="n">
        <v>0</v>
      </c>
      <c r="O60" s="18" t="n">
        <v>0</v>
      </c>
      <c r="P60" s="20" t="n">
        <v>0</v>
      </c>
      <c r="Q60" s="18" t="n">
        <v>29.31604474</v>
      </c>
      <c r="R60" s="20" t="n">
        <v>1.92663097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26.74664918</v>
      </c>
      <c r="F63" s="20" t="n">
        <v>1.345634</v>
      </c>
      <c r="G63" s="18" t="n">
        <v>42.29240285</v>
      </c>
      <c r="H63" s="20" t="n">
        <v>1.52530507</v>
      </c>
      <c r="I63" s="18" t="n">
        <v>0</v>
      </c>
      <c r="J63" s="20" t="n">
        <v>0</v>
      </c>
      <c r="K63" s="18" t="n">
        <v>3.93298137</v>
      </c>
      <c r="L63" s="20" t="n">
        <v>0.58444291</v>
      </c>
      <c r="M63" s="18" t="n">
        <v>0</v>
      </c>
      <c r="N63" s="20" t="n">
        <v>0</v>
      </c>
      <c r="O63" s="18" t="n">
        <v>0</v>
      </c>
      <c r="P63" s="20" t="n">
        <v>0</v>
      </c>
      <c r="Q63" s="18" t="n">
        <v>27.0279666</v>
      </c>
      <c r="R63" s="20" t="n">
        <v>1.38931541</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38.95888954</v>
      </c>
      <c r="F65" s="20" t="n">
        <v>1.98258339</v>
      </c>
      <c r="G65" s="18" t="n">
        <v>44.18067928</v>
      </c>
      <c r="H65" s="20" t="n">
        <v>2.13584014</v>
      </c>
      <c r="I65" s="18" t="n">
        <v>0</v>
      </c>
      <c r="J65" s="20" t="n">
        <v>0</v>
      </c>
      <c r="K65" s="18" t="n">
        <v>3.84374576</v>
      </c>
      <c r="L65" s="20" t="n">
        <v>0.75734188</v>
      </c>
      <c r="M65" s="18" t="n">
        <v>0</v>
      </c>
      <c r="N65" s="20" t="n">
        <v>0</v>
      </c>
      <c r="O65" s="18" t="n">
        <v>0</v>
      </c>
      <c r="P65" s="20" t="n">
        <v>0</v>
      </c>
      <c r="Q65" s="18" t="n">
        <v>13.01668542</v>
      </c>
      <c r="R65" s="20" t="n">
        <v>1.51797591</v>
      </c>
    </row>
    <row r="66" spans="1:18">
      <c r="A66" s="15" t="s">
        <v>490</v>
      </c>
      <c r="B66" s="17" t="n">
        <v>5325</v>
      </c>
      <c r="C66" s="18">
        <f>(4425.0/B66*100)</f>
        <v/>
      </c>
      <c r="D66" s="19" t="n">
        <v>900</v>
      </c>
      <c r="E66" s="18" t="n">
        <v>27.75527743</v>
      </c>
      <c r="F66" s="20" t="n">
        <v>1.58890494</v>
      </c>
      <c r="G66" s="18" t="n">
        <v>49.53884724</v>
      </c>
      <c r="H66" s="20" t="n">
        <v>1.73691184</v>
      </c>
      <c r="I66" s="18" t="n">
        <v>0</v>
      </c>
      <c r="J66" s="20" t="n">
        <v>0</v>
      </c>
      <c r="K66" s="18" t="n">
        <v>9.810456719999999</v>
      </c>
      <c r="L66" s="20" t="n">
        <v>0.94744414</v>
      </c>
      <c r="M66" s="18" t="n">
        <v>0</v>
      </c>
      <c r="N66" s="20" t="n">
        <v>0</v>
      </c>
      <c r="O66" s="18" t="n">
        <v>0</v>
      </c>
      <c r="P66" s="20" t="n">
        <v>0</v>
      </c>
      <c r="Q66" s="18" t="n">
        <v>12.89541862</v>
      </c>
      <c r="R66" s="20" t="n">
        <v>1.19432688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41.07489526</v>
      </c>
      <c r="F69" s="20" t="n">
        <v>4.45512481</v>
      </c>
      <c r="G69" s="18" t="n">
        <v>48.62357732</v>
      </c>
      <c r="H69" s="20" t="n">
        <v>4.17423124</v>
      </c>
      <c r="I69" s="18" t="n">
        <v>0</v>
      </c>
      <c r="J69" s="20" t="n">
        <v>0</v>
      </c>
      <c r="K69" s="18" t="n">
        <v>3.24923594</v>
      </c>
      <c r="L69" s="20" t="n">
        <v>1.40730258</v>
      </c>
      <c r="M69" s="18" t="n">
        <v>0</v>
      </c>
      <c r="N69" s="20" t="n">
        <v>0</v>
      </c>
      <c r="O69" s="18" t="n">
        <v>0</v>
      </c>
      <c r="P69" s="20" t="n">
        <v>0</v>
      </c>
      <c r="Q69" s="18" t="n">
        <v>7.05229148</v>
      </c>
      <c r="R69" s="20" t="n">
        <v>1.69494395</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41.57250259</v>
      </c>
      <c r="F71" s="20" t="n">
        <v>1.9007773</v>
      </c>
      <c r="G71" s="18" t="n">
        <v>57.27910096</v>
      </c>
      <c r="H71" s="20" t="n">
        <v>1.92682161</v>
      </c>
      <c r="I71" s="18" t="n">
        <v>0</v>
      </c>
      <c r="J71" s="20" t="n">
        <v>0</v>
      </c>
      <c r="K71" s="18" t="n">
        <v>0.11842815</v>
      </c>
      <c r="L71" s="20" t="n">
        <v>0.11861787</v>
      </c>
      <c r="M71" s="18" t="n">
        <v>0</v>
      </c>
      <c r="N71" s="20" t="n">
        <v>0</v>
      </c>
      <c r="O71" s="18" t="n">
        <v>0</v>
      </c>
      <c r="P71" s="20" t="n">
        <v>0</v>
      </c>
      <c r="Q71" s="18" t="n">
        <v>1.0299683</v>
      </c>
      <c r="R71" s="20" t="n">
        <v>0.33006173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39.36990327</v>
      </c>
      <c r="F76" s="20" t="n">
        <v>1.9313123</v>
      </c>
      <c r="G76" s="18" t="n">
        <v>39.99242975</v>
      </c>
      <c r="H76" s="20" t="n">
        <v>1.84843478</v>
      </c>
      <c r="I76" s="18" t="n">
        <v>0</v>
      </c>
      <c r="J76" s="20" t="n">
        <v>0</v>
      </c>
      <c r="K76" s="18" t="n">
        <v>7.48755056</v>
      </c>
      <c r="L76" s="20" t="n">
        <v>0.92461065</v>
      </c>
      <c r="M76" s="18" t="n">
        <v>0</v>
      </c>
      <c r="N76" s="20" t="n">
        <v>0</v>
      </c>
      <c r="O76" s="18" t="n">
        <v>0</v>
      </c>
      <c r="P76" s="20" t="n">
        <v>0</v>
      </c>
      <c r="Q76" s="18" t="n">
        <v>13.15011641</v>
      </c>
      <c r="R76" s="20" t="n">
        <v>1.37791445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25.75601156</v>
      </c>
      <c r="F80" s="20" t="n">
        <v>1.77284022</v>
      </c>
      <c r="G80" s="18" t="n">
        <v>73.13448891</v>
      </c>
      <c r="H80" s="20" t="n">
        <v>1.84238258</v>
      </c>
      <c r="I80" s="18" t="n">
        <v>0</v>
      </c>
      <c r="J80" s="20" t="n">
        <v>0</v>
      </c>
      <c r="K80" s="18" t="n">
        <v>0</v>
      </c>
      <c r="L80" s="20" t="n">
        <v>0</v>
      </c>
      <c r="M80" s="18" t="n">
        <v>0</v>
      </c>
      <c r="N80" s="20" t="n">
        <v>0</v>
      </c>
      <c r="O80" s="18" t="n">
        <v>0</v>
      </c>
      <c r="P80" s="20" t="n">
        <v>0</v>
      </c>
      <c r="Q80" s="18" t="n">
        <v>1.10949953</v>
      </c>
      <c r="R80" s="20" t="n">
        <v>0.37039626</v>
      </c>
    </row>
    <row r="81" spans="1:18">
      <c r="A81" s="15" t="s">
        <v>505</v>
      </c>
      <c r="B81" s="17" t="n">
        <v>1657</v>
      </c>
      <c r="C81" s="18">
        <f>(1384.0/B81*100)</f>
        <v/>
      </c>
      <c r="D81" s="19" t="n">
        <v>273</v>
      </c>
      <c r="E81" s="18" t="n">
        <v>23.23039305</v>
      </c>
      <c r="F81" s="20" t="n">
        <v>2.68355675</v>
      </c>
      <c r="G81" s="18" t="n">
        <v>61.59369628</v>
      </c>
      <c r="H81" s="20" t="n">
        <v>2.63410662</v>
      </c>
      <c r="I81" s="18" t="n">
        <v>0</v>
      </c>
      <c r="J81" s="20" t="n">
        <v>0</v>
      </c>
      <c r="K81" s="18" t="n">
        <v>6.36982215</v>
      </c>
      <c r="L81" s="20" t="n">
        <v>1.47323492</v>
      </c>
      <c r="M81" s="18" t="n">
        <v>0</v>
      </c>
      <c r="N81" s="20" t="n">
        <v>0</v>
      </c>
      <c r="O81" s="18" t="n">
        <v>0</v>
      </c>
      <c r="P81" s="20" t="n">
        <v>0</v>
      </c>
      <c r="Q81" s="18" t="n">
        <v>8.80608853</v>
      </c>
      <c r="R81" s="20" t="n">
        <v>1.43751619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27.61397741</v>
      </c>
      <c r="F44" s="20" t="n">
        <v>1.65954762</v>
      </c>
      <c r="G44" s="18" t="n">
        <v>51.43602834</v>
      </c>
      <c r="H44" s="20" t="n">
        <v>2.09534421</v>
      </c>
      <c r="I44" s="18" t="n">
        <v>0</v>
      </c>
      <c r="J44" s="20" t="n">
        <v>0</v>
      </c>
      <c r="K44" s="18" t="n">
        <v>6.78388106</v>
      </c>
      <c r="L44" s="20" t="n">
        <v>0.81349592</v>
      </c>
      <c r="M44" s="18" t="n">
        <v>0</v>
      </c>
      <c r="N44" s="20" t="n">
        <v>0</v>
      </c>
      <c r="O44" s="18" t="n">
        <v>0</v>
      </c>
      <c r="P44" s="20" t="n">
        <v>0</v>
      </c>
      <c r="Q44" s="18" t="n">
        <v>14.16611318</v>
      </c>
      <c r="R44" s="20" t="n">
        <v>1.42039335</v>
      </c>
    </row>
    <row r="45" spans="1:18">
      <c r="A45" s="15" t="s">
        <v>468</v>
      </c>
      <c r="B45" s="17" t="n">
        <v>5519</v>
      </c>
      <c r="C45" s="18">
        <f>(4594.0/B45*100)</f>
        <v/>
      </c>
      <c r="D45" s="19" t="n">
        <v>925</v>
      </c>
      <c r="E45" s="18" t="n">
        <v>33.1645817</v>
      </c>
      <c r="F45" s="20" t="n">
        <v>1.57322766</v>
      </c>
      <c r="G45" s="18" t="n">
        <v>39.65721688</v>
      </c>
      <c r="H45" s="20" t="n">
        <v>1.57341771</v>
      </c>
      <c r="I45" s="18" t="n">
        <v>0</v>
      </c>
      <c r="J45" s="20" t="n">
        <v>0</v>
      </c>
      <c r="K45" s="18" t="n">
        <v>14.35935502</v>
      </c>
      <c r="L45" s="20" t="n">
        <v>1.33597607</v>
      </c>
      <c r="M45" s="18" t="n">
        <v>0.48792663</v>
      </c>
      <c r="N45" s="20" t="n">
        <v>0.26258796</v>
      </c>
      <c r="O45" s="18" t="n">
        <v>0</v>
      </c>
      <c r="P45" s="20" t="n">
        <v>0</v>
      </c>
      <c r="Q45" s="18" t="n">
        <v>12.33091975</v>
      </c>
      <c r="R45" s="20" t="n">
        <v>1.27231638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17.91087704</v>
      </c>
      <c r="F54" s="20" t="n">
        <v>1.47926292</v>
      </c>
      <c r="G54" s="18" t="n">
        <v>58.67718759</v>
      </c>
      <c r="H54" s="20" t="n">
        <v>1.83435818</v>
      </c>
      <c r="I54" s="18" t="n">
        <v>0</v>
      </c>
      <c r="J54" s="20" t="n">
        <v>0</v>
      </c>
      <c r="K54" s="18" t="n">
        <v>5.4856836</v>
      </c>
      <c r="L54" s="20" t="n">
        <v>0.87093074</v>
      </c>
      <c r="M54" s="18" t="n">
        <v>0.10568313</v>
      </c>
      <c r="N54" s="20" t="n">
        <v>0.10509829</v>
      </c>
      <c r="O54" s="18" t="n">
        <v>0</v>
      </c>
      <c r="P54" s="20" t="n">
        <v>0</v>
      </c>
      <c r="Q54" s="18" t="n">
        <v>17.82056863</v>
      </c>
      <c r="R54" s="20" t="n">
        <v>1.38284986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42.92762437</v>
      </c>
      <c r="F56" s="20" t="n">
        <v>1.76743735</v>
      </c>
      <c r="G56" s="18" t="n">
        <v>51.15356221</v>
      </c>
      <c r="H56" s="20" t="n">
        <v>1.56759344</v>
      </c>
      <c r="I56" s="18" t="n">
        <v>0</v>
      </c>
      <c r="J56" s="20" t="n">
        <v>0</v>
      </c>
      <c r="K56" s="18" t="n">
        <v>2.57725</v>
      </c>
      <c r="L56" s="20" t="n">
        <v>0.54970136</v>
      </c>
      <c r="M56" s="18" t="n">
        <v>0</v>
      </c>
      <c r="N56" s="20" t="n">
        <v>0</v>
      </c>
      <c r="O56" s="18" t="n">
        <v>0</v>
      </c>
      <c r="P56" s="20" t="n">
        <v>0</v>
      </c>
      <c r="Q56" s="18" t="n">
        <v>3.34156341</v>
      </c>
      <c r="R56" s="20" t="n">
        <v>0.78798506</v>
      </c>
    </row>
    <row r="57" spans="1:18">
      <c r="A57" s="15" t="s">
        <v>480</v>
      </c>
      <c r="B57" s="17" t="n">
        <v>7267</v>
      </c>
      <c r="C57" s="18">
        <f>(6063.0/B57*100)</f>
        <v/>
      </c>
      <c r="D57" s="19" t="n">
        <v>1204</v>
      </c>
      <c r="E57" s="18" t="n">
        <v>24.01647006</v>
      </c>
      <c r="F57" s="20" t="n">
        <v>1.42210108</v>
      </c>
      <c r="G57" s="18" t="n">
        <v>60.7703929</v>
      </c>
      <c r="H57" s="20" t="n">
        <v>1.63177832</v>
      </c>
      <c r="I57" s="18" t="n">
        <v>0</v>
      </c>
      <c r="J57" s="20" t="n">
        <v>0</v>
      </c>
      <c r="K57" s="18" t="n">
        <v>4.01450409</v>
      </c>
      <c r="L57" s="20" t="n">
        <v>0.57194868</v>
      </c>
      <c r="M57" s="18" t="n">
        <v>0</v>
      </c>
      <c r="N57" s="20" t="n">
        <v>0</v>
      </c>
      <c r="O57" s="18" t="n">
        <v>0</v>
      </c>
      <c r="P57" s="20" t="n">
        <v>0</v>
      </c>
      <c r="Q57" s="18" t="n">
        <v>11.19863295</v>
      </c>
      <c r="R57" s="20" t="n">
        <v>1.04032756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42.0862866</v>
      </c>
      <c r="F59" s="20" t="n">
        <v>2.09093693</v>
      </c>
      <c r="G59" s="18" t="n">
        <v>43.13190707</v>
      </c>
      <c r="H59" s="20" t="n">
        <v>2.24930798</v>
      </c>
      <c r="I59" s="18" t="n">
        <v>0</v>
      </c>
      <c r="J59" s="20" t="n">
        <v>0</v>
      </c>
      <c r="K59" s="18" t="n">
        <v>1.99490364</v>
      </c>
      <c r="L59" s="20" t="n">
        <v>0.55035516</v>
      </c>
      <c r="M59" s="18" t="n">
        <v>0</v>
      </c>
      <c r="N59" s="20" t="n">
        <v>0</v>
      </c>
      <c r="O59" s="18" t="n">
        <v>0</v>
      </c>
      <c r="P59" s="20" t="n">
        <v>0</v>
      </c>
      <c r="Q59" s="18" t="n">
        <v>12.78690269</v>
      </c>
      <c r="R59" s="20" t="n">
        <v>1.30200116</v>
      </c>
    </row>
    <row r="60" spans="1:18">
      <c r="A60" s="15" t="s">
        <v>484</v>
      </c>
      <c r="B60" s="17" t="n">
        <v>4546</v>
      </c>
      <c r="C60" s="18">
        <f>(3791.0/B60*100)</f>
        <v/>
      </c>
      <c r="D60" s="19" t="n">
        <v>755</v>
      </c>
      <c r="E60" s="18" t="n">
        <v>32.66055528</v>
      </c>
      <c r="F60" s="20" t="n">
        <v>1.81172116</v>
      </c>
      <c r="G60" s="18" t="n">
        <v>25.84580349</v>
      </c>
      <c r="H60" s="20" t="n">
        <v>1.91106544</v>
      </c>
      <c r="I60" s="18" t="n">
        <v>0</v>
      </c>
      <c r="J60" s="20" t="n">
        <v>0</v>
      </c>
      <c r="K60" s="18" t="n">
        <v>7.93983244</v>
      </c>
      <c r="L60" s="20" t="n">
        <v>1.09370691</v>
      </c>
      <c r="M60" s="18" t="n">
        <v>0</v>
      </c>
      <c r="N60" s="20" t="n">
        <v>0</v>
      </c>
      <c r="O60" s="18" t="n">
        <v>0</v>
      </c>
      <c r="P60" s="20" t="n">
        <v>0</v>
      </c>
      <c r="Q60" s="18" t="n">
        <v>33.55380879</v>
      </c>
      <c r="R60" s="20" t="n">
        <v>2.09516978</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26.40935222</v>
      </c>
      <c r="F63" s="20" t="n">
        <v>1.59782415</v>
      </c>
      <c r="G63" s="18" t="n">
        <v>39.46289821</v>
      </c>
      <c r="H63" s="20" t="n">
        <v>1.71177142</v>
      </c>
      <c r="I63" s="18" t="n">
        <v>0</v>
      </c>
      <c r="J63" s="20" t="n">
        <v>0</v>
      </c>
      <c r="K63" s="18" t="n">
        <v>4.36979572</v>
      </c>
      <c r="L63" s="20" t="n">
        <v>0.62930307</v>
      </c>
      <c r="M63" s="18" t="n">
        <v>0</v>
      </c>
      <c r="N63" s="20" t="n">
        <v>0</v>
      </c>
      <c r="O63" s="18" t="n">
        <v>0</v>
      </c>
      <c r="P63" s="20" t="n">
        <v>0</v>
      </c>
      <c r="Q63" s="18" t="n">
        <v>29.75795386</v>
      </c>
      <c r="R63" s="20" t="n">
        <v>1.34509909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20.12677286</v>
      </c>
      <c r="F65" s="20" t="n">
        <v>1.67154324</v>
      </c>
      <c r="G65" s="18" t="n">
        <v>62.55207439</v>
      </c>
      <c r="H65" s="20" t="n">
        <v>1.7655542</v>
      </c>
      <c r="I65" s="18" t="n">
        <v>0</v>
      </c>
      <c r="J65" s="20" t="n">
        <v>0</v>
      </c>
      <c r="K65" s="18" t="n">
        <v>3.84374576</v>
      </c>
      <c r="L65" s="20" t="n">
        <v>0.75734188</v>
      </c>
      <c r="M65" s="18" t="n">
        <v>0</v>
      </c>
      <c r="N65" s="20" t="n">
        <v>0</v>
      </c>
      <c r="O65" s="18" t="n">
        <v>0</v>
      </c>
      <c r="P65" s="20" t="n">
        <v>0</v>
      </c>
      <c r="Q65" s="18" t="n">
        <v>13.47740699</v>
      </c>
      <c r="R65" s="20" t="n">
        <v>1.52136248</v>
      </c>
    </row>
    <row r="66" spans="1:18">
      <c r="A66" s="15" t="s">
        <v>490</v>
      </c>
      <c r="B66" s="17" t="n">
        <v>5325</v>
      </c>
      <c r="C66" s="18">
        <f>(4425.0/B66*100)</f>
        <v/>
      </c>
      <c r="D66" s="19" t="n">
        <v>900</v>
      </c>
      <c r="E66" s="18" t="n">
        <v>18.51264848</v>
      </c>
      <c r="F66" s="20" t="n">
        <v>1.49516716</v>
      </c>
      <c r="G66" s="18" t="n">
        <v>56.97302675</v>
      </c>
      <c r="H66" s="20" t="n">
        <v>1.71804272</v>
      </c>
      <c r="I66" s="18" t="n">
        <v>0</v>
      </c>
      <c r="J66" s="20" t="n">
        <v>0</v>
      </c>
      <c r="K66" s="18" t="n">
        <v>10.02401439</v>
      </c>
      <c r="L66" s="20" t="n">
        <v>0.95067474</v>
      </c>
      <c r="M66" s="18" t="n">
        <v>0</v>
      </c>
      <c r="N66" s="20" t="n">
        <v>0</v>
      </c>
      <c r="O66" s="18" t="n">
        <v>0</v>
      </c>
      <c r="P66" s="20" t="n">
        <v>0</v>
      </c>
      <c r="Q66" s="18" t="n">
        <v>14.49031038</v>
      </c>
      <c r="R66" s="20" t="n">
        <v>1.2312587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25.79796076</v>
      </c>
      <c r="F69" s="20" t="n">
        <v>3.28649884</v>
      </c>
      <c r="G69" s="18" t="n">
        <v>63.32246375</v>
      </c>
      <c r="H69" s="20" t="n">
        <v>3.24503357</v>
      </c>
      <c r="I69" s="18" t="n">
        <v>0</v>
      </c>
      <c r="J69" s="20" t="n">
        <v>0</v>
      </c>
      <c r="K69" s="18" t="n">
        <v>3.68615844</v>
      </c>
      <c r="L69" s="20" t="n">
        <v>1.45928221</v>
      </c>
      <c r="M69" s="18" t="n">
        <v>0</v>
      </c>
      <c r="N69" s="20" t="n">
        <v>0</v>
      </c>
      <c r="O69" s="18" t="n">
        <v>0</v>
      </c>
      <c r="P69" s="20" t="n">
        <v>0</v>
      </c>
      <c r="Q69" s="18" t="n">
        <v>7.19341705</v>
      </c>
      <c r="R69" s="20" t="n">
        <v>1.97025538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37.2056388</v>
      </c>
      <c r="F71" s="20" t="n">
        <v>2.0785403</v>
      </c>
      <c r="G71" s="18" t="n">
        <v>61.78378416</v>
      </c>
      <c r="H71" s="20" t="n">
        <v>2.07683424</v>
      </c>
      <c r="I71" s="18" t="n">
        <v>0</v>
      </c>
      <c r="J71" s="20" t="n">
        <v>0</v>
      </c>
      <c r="K71" s="18" t="n">
        <v>0.11842815</v>
      </c>
      <c r="L71" s="20" t="n">
        <v>0.11861787</v>
      </c>
      <c r="M71" s="18" t="n">
        <v>0</v>
      </c>
      <c r="N71" s="20" t="n">
        <v>0</v>
      </c>
      <c r="O71" s="18" t="n">
        <v>0</v>
      </c>
      <c r="P71" s="20" t="n">
        <v>0</v>
      </c>
      <c r="Q71" s="18" t="n">
        <v>0.89214888</v>
      </c>
      <c r="R71" s="20" t="n">
        <v>0.32298386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17.14987377</v>
      </c>
      <c r="F76" s="20" t="n">
        <v>1.30639831</v>
      </c>
      <c r="G76" s="18" t="n">
        <v>60.70102998</v>
      </c>
      <c r="H76" s="20" t="n">
        <v>1.93669711</v>
      </c>
      <c r="I76" s="18" t="n">
        <v>0</v>
      </c>
      <c r="J76" s="20" t="n">
        <v>0</v>
      </c>
      <c r="K76" s="18" t="n">
        <v>7.81592933</v>
      </c>
      <c r="L76" s="20" t="n">
        <v>0.93823156</v>
      </c>
      <c r="M76" s="18" t="n">
        <v>0</v>
      </c>
      <c r="N76" s="20" t="n">
        <v>0</v>
      </c>
      <c r="O76" s="18" t="n">
        <v>0</v>
      </c>
      <c r="P76" s="20" t="n">
        <v>0</v>
      </c>
      <c r="Q76" s="18" t="n">
        <v>14.33316692</v>
      </c>
      <c r="R76" s="20" t="n">
        <v>1.42250066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20.01303297</v>
      </c>
      <c r="F80" s="20" t="n">
        <v>1.23105273</v>
      </c>
      <c r="G80" s="18" t="n">
        <v>78.57969383</v>
      </c>
      <c r="H80" s="20" t="n">
        <v>1.2793103</v>
      </c>
      <c r="I80" s="18" t="n">
        <v>0</v>
      </c>
      <c r="J80" s="20" t="n">
        <v>0</v>
      </c>
      <c r="K80" s="18" t="n">
        <v>0</v>
      </c>
      <c r="L80" s="20" t="n">
        <v>0</v>
      </c>
      <c r="M80" s="18" t="n">
        <v>0</v>
      </c>
      <c r="N80" s="20" t="n">
        <v>0</v>
      </c>
      <c r="O80" s="18" t="n">
        <v>0</v>
      </c>
      <c r="P80" s="20" t="n">
        <v>0</v>
      </c>
      <c r="Q80" s="18" t="n">
        <v>1.40727319</v>
      </c>
      <c r="R80" s="20" t="n">
        <v>0.44277528</v>
      </c>
    </row>
    <row r="81" spans="1:18">
      <c r="A81" s="15" t="s">
        <v>505</v>
      </c>
      <c r="B81" s="17" t="n">
        <v>1657</v>
      </c>
      <c r="C81" s="18">
        <f>(1384.0/B81*100)</f>
        <v/>
      </c>
      <c r="D81" s="19" t="n">
        <v>273</v>
      </c>
      <c r="E81" s="18" t="n">
        <v>65.50206244</v>
      </c>
      <c r="F81" s="20" t="n">
        <v>2.87857603</v>
      </c>
      <c r="G81" s="18" t="n">
        <v>18.59436768</v>
      </c>
      <c r="H81" s="20" t="n">
        <v>1.99834988</v>
      </c>
      <c r="I81" s="18" t="n">
        <v>0</v>
      </c>
      <c r="J81" s="20" t="n">
        <v>0</v>
      </c>
      <c r="K81" s="18" t="n">
        <v>6.36982215</v>
      </c>
      <c r="L81" s="20" t="n">
        <v>1.47323492</v>
      </c>
      <c r="M81" s="18" t="n">
        <v>0</v>
      </c>
      <c r="N81" s="20" t="n">
        <v>0</v>
      </c>
      <c r="O81" s="18" t="n">
        <v>0</v>
      </c>
      <c r="P81" s="20" t="n">
        <v>0</v>
      </c>
      <c r="Q81" s="18" t="n">
        <v>9.53374773</v>
      </c>
      <c r="R81" s="20" t="n">
        <v>1.68120074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40.59611043</v>
      </c>
      <c r="F44" s="20" t="n">
        <v>1.70200422</v>
      </c>
      <c r="G44" s="18" t="n">
        <v>29.23608708</v>
      </c>
      <c r="H44" s="20" t="n">
        <v>1.68921307</v>
      </c>
      <c r="I44" s="18" t="n">
        <v>0</v>
      </c>
      <c r="J44" s="20" t="n">
        <v>0</v>
      </c>
      <c r="K44" s="18" t="n">
        <v>7.32040191</v>
      </c>
      <c r="L44" s="20" t="n">
        <v>0.8697018399999999</v>
      </c>
      <c r="M44" s="18" t="n">
        <v>0</v>
      </c>
      <c r="N44" s="20" t="n">
        <v>0</v>
      </c>
      <c r="O44" s="18" t="n">
        <v>0</v>
      </c>
      <c r="P44" s="20" t="n">
        <v>0</v>
      </c>
      <c r="Q44" s="18" t="n">
        <v>22.84740058</v>
      </c>
      <c r="R44" s="20" t="n">
        <v>1.84196866</v>
      </c>
    </row>
    <row r="45" spans="1:18">
      <c r="A45" s="15" t="s">
        <v>468</v>
      </c>
      <c r="B45" s="17" t="n">
        <v>5519</v>
      </c>
      <c r="C45" s="18">
        <f>(4594.0/B45*100)</f>
        <v/>
      </c>
      <c r="D45" s="19" t="n">
        <v>925</v>
      </c>
      <c r="E45" s="18" t="n">
        <v>48.46057722</v>
      </c>
      <c r="F45" s="20" t="n">
        <v>1.76515207</v>
      </c>
      <c r="G45" s="18" t="n">
        <v>16.64611261</v>
      </c>
      <c r="H45" s="20" t="n">
        <v>1.27379772</v>
      </c>
      <c r="I45" s="18" t="n">
        <v>0</v>
      </c>
      <c r="J45" s="20" t="n">
        <v>0</v>
      </c>
      <c r="K45" s="18" t="n">
        <v>15.01595989</v>
      </c>
      <c r="L45" s="20" t="n">
        <v>1.36204325</v>
      </c>
      <c r="M45" s="18" t="n">
        <v>0.50162636</v>
      </c>
      <c r="N45" s="20" t="n">
        <v>0.2654067</v>
      </c>
      <c r="O45" s="18" t="n">
        <v>0</v>
      </c>
      <c r="P45" s="20" t="n">
        <v>0</v>
      </c>
      <c r="Q45" s="18" t="n">
        <v>19.37572392</v>
      </c>
      <c r="R45" s="20" t="n">
        <v>1.79143398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55.926577</v>
      </c>
      <c r="F54" s="20" t="n">
        <v>1.8037322</v>
      </c>
      <c r="G54" s="18" t="n">
        <v>11.30672338</v>
      </c>
      <c r="H54" s="20" t="n">
        <v>1.23915462</v>
      </c>
      <c r="I54" s="18" t="n">
        <v>0</v>
      </c>
      <c r="J54" s="20" t="n">
        <v>0</v>
      </c>
      <c r="K54" s="18" t="n">
        <v>5.80243338</v>
      </c>
      <c r="L54" s="20" t="n">
        <v>0.8821451300000001</v>
      </c>
      <c r="M54" s="18" t="n">
        <v>0.10568313</v>
      </c>
      <c r="N54" s="20" t="n">
        <v>0.10509829</v>
      </c>
      <c r="O54" s="18" t="n">
        <v>0.21823832</v>
      </c>
      <c r="P54" s="20" t="n">
        <v>0.15446837</v>
      </c>
      <c r="Q54" s="18" t="n">
        <v>26.64034479</v>
      </c>
      <c r="R54" s="20" t="n">
        <v>1.79245335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64.17166747</v>
      </c>
      <c r="F56" s="20" t="n">
        <v>1.48662003</v>
      </c>
      <c r="G56" s="18" t="n">
        <v>25.93418928</v>
      </c>
      <c r="H56" s="20" t="n">
        <v>1.42711874</v>
      </c>
      <c r="I56" s="18" t="n">
        <v>0</v>
      </c>
      <c r="J56" s="20" t="n">
        <v>0</v>
      </c>
      <c r="K56" s="18" t="n">
        <v>2.76173936</v>
      </c>
      <c r="L56" s="20" t="n">
        <v>0.5461367499999999</v>
      </c>
      <c r="M56" s="18" t="n">
        <v>0</v>
      </c>
      <c r="N56" s="20" t="n">
        <v>0</v>
      </c>
      <c r="O56" s="18" t="n">
        <v>0</v>
      </c>
      <c r="P56" s="20" t="n">
        <v>0</v>
      </c>
      <c r="Q56" s="18" t="n">
        <v>7.13240389</v>
      </c>
      <c r="R56" s="20" t="n">
        <v>1.16384473</v>
      </c>
    </row>
    <row r="57" spans="1:18">
      <c r="A57" s="15" t="s">
        <v>480</v>
      </c>
      <c r="B57" s="17" t="n">
        <v>7267</v>
      </c>
      <c r="C57" s="18">
        <f>(6063.0/B57*100)</f>
        <v/>
      </c>
      <c r="D57" s="19" t="n">
        <v>1204</v>
      </c>
      <c r="E57" s="18" t="n">
        <v>37.82063647</v>
      </c>
      <c r="F57" s="20" t="n">
        <v>1.57033891</v>
      </c>
      <c r="G57" s="18" t="n">
        <v>41.69459747</v>
      </c>
      <c r="H57" s="20" t="n">
        <v>1.45818516</v>
      </c>
      <c r="I57" s="18" t="n">
        <v>0</v>
      </c>
      <c r="J57" s="20" t="n">
        <v>0</v>
      </c>
      <c r="K57" s="18" t="n">
        <v>4.05765737</v>
      </c>
      <c r="L57" s="20" t="n">
        <v>0.57243313</v>
      </c>
      <c r="M57" s="18" t="n">
        <v>0</v>
      </c>
      <c r="N57" s="20" t="n">
        <v>0</v>
      </c>
      <c r="O57" s="18" t="n">
        <v>0</v>
      </c>
      <c r="P57" s="20" t="n">
        <v>0</v>
      </c>
      <c r="Q57" s="18" t="n">
        <v>16.42710868</v>
      </c>
      <c r="R57" s="20" t="n">
        <v>1.28868776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65.46907999</v>
      </c>
      <c r="F59" s="20" t="n">
        <v>1.67885045</v>
      </c>
      <c r="G59" s="18" t="n">
        <v>12.47262879</v>
      </c>
      <c r="H59" s="20" t="n">
        <v>1.45316999</v>
      </c>
      <c r="I59" s="18" t="n">
        <v>0</v>
      </c>
      <c r="J59" s="20" t="n">
        <v>0</v>
      </c>
      <c r="K59" s="18" t="n">
        <v>1.99490364</v>
      </c>
      <c r="L59" s="20" t="n">
        <v>0.55035516</v>
      </c>
      <c r="M59" s="18" t="n">
        <v>0</v>
      </c>
      <c r="N59" s="20" t="n">
        <v>0</v>
      </c>
      <c r="O59" s="18" t="n">
        <v>0</v>
      </c>
      <c r="P59" s="20" t="n">
        <v>0</v>
      </c>
      <c r="Q59" s="18" t="n">
        <v>20.06338758</v>
      </c>
      <c r="R59" s="20" t="n">
        <v>1.44173352</v>
      </c>
    </row>
    <row r="60" spans="1:18">
      <c r="A60" s="15" t="s">
        <v>484</v>
      </c>
      <c r="B60" s="17" t="n">
        <v>4546</v>
      </c>
      <c r="C60" s="18">
        <f>(3791.0/B60*100)</f>
        <v/>
      </c>
      <c r="D60" s="19" t="n">
        <v>755</v>
      </c>
      <c r="E60" s="18" t="n">
        <v>34.93586615</v>
      </c>
      <c r="F60" s="20" t="n">
        <v>1.94425845</v>
      </c>
      <c r="G60" s="18" t="n">
        <v>15.2890777</v>
      </c>
      <c r="H60" s="20" t="n">
        <v>1.65907465</v>
      </c>
      <c r="I60" s="18" t="n">
        <v>0</v>
      </c>
      <c r="J60" s="20" t="n">
        <v>0</v>
      </c>
      <c r="K60" s="18" t="n">
        <v>8.15327336</v>
      </c>
      <c r="L60" s="20" t="n">
        <v>1.08869309</v>
      </c>
      <c r="M60" s="18" t="n">
        <v>0</v>
      </c>
      <c r="N60" s="20" t="n">
        <v>0</v>
      </c>
      <c r="O60" s="18" t="n">
        <v>0</v>
      </c>
      <c r="P60" s="20" t="n">
        <v>0</v>
      </c>
      <c r="Q60" s="18" t="n">
        <v>41.62178279</v>
      </c>
      <c r="R60" s="20" t="n">
        <v>2.32999577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35.32759942</v>
      </c>
      <c r="F63" s="20" t="n">
        <v>1.7649692</v>
      </c>
      <c r="G63" s="18" t="n">
        <v>17.09309875</v>
      </c>
      <c r="H63" s="20" t="n">
        <v>1.43510671</v>
      </c>
      <c r="I63" s="18" t="n">
        <v>0</v>
      </c>
      <c r="J63" s="20" t="n">
        <v>0</v>
      </c>
      <c r="K63" s="18" t="n">
        <v>4.7379898</v>
      </c>
      <c r="L63" s="20" t="n">
        <v>0.68389726</v>
      </c>
      <c r="M63" s="18" t="n">
        <v>0</v>
      </c>
      <c r="N63" s="20" t="n">
        <v>0</v>
      </c>
      <c r="O63" s="18" t="n">
        <v>0</v>
      </c>
      <c r="P63" s="20" t="n">
        <v>0</v>
      </c>
      <c r="Q63" s="18" t="n">
        <v>42.84131202</v>
      </c>
      <c r="R63" s="20" t="n">
        <v>1.63130378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50.24021152</v>
      </c>
      <c r="F65" s="20" t="n">
        <v>2.10683382</v>
      </c>
      <c r="G65" s="18" t="n">
        <v>24.58576017</v>
      </c>
      <c r="H65" s="20" t="n">
        <v>1.70722313</v>
      </c>
      <c r="I65" s="18" t="n">
        <v>0</v>
      </c>
      <c r="J65" s="20" t="n">
        <v>0</v>
      </c>
      <c r="K65" s="18" t="n">
        <v>3.84374576</v>
      </c>
      <c r="L65" s="20" t="n">
        <v>0.75734188</v>
      </c>
      <c r="M65" s="18" t="n">
        <v>0</v>
      </c>
      <c r="N65" s="20" t="n">
        <v>0</v>
      </c>
      <c r="O65" s="18" t="n">
        <v>0</v>
      </c>
      <c r="P65" s="20" t="n">
        <v>0</v>
      </c>
      <c r="Q65" s="18" t="n">
        <v>21.33028255</v>
      </c>
      <c r="R65" s="20" t="n">
        <v>1.6616093</v>
      </c>
    </row>
    <row r="66" spans="1:18">
      <c r="A66" s="15" t="s">
        <v>490</v>
      </c>
      <c r="B66" s="17" t="n">
        <v>5325</v>
      </c>
      <c r="C66" s="18">
        <f>(4425.0/B66*100)</f>
        <v/>
      </c>
      <c r="D66" s="19" t="n">
        <v>900</v>
      </c>
      <c r="E66" s="18" t="n">
        <v>41.53003917</v>
      </c>
      <c r="F66" s="20" t="n">
        <v>1.80758138</v>
      </c>
      <c r="G66" s="18" t="n">
        <v>24.63602803</v>
      </c>
      <c r="H66" s="20" t="n">
        <v>1.44742185</v>
      </c>
      <c r="I66" s="18" t="n">
        <v>0</v>
      </c>
      <c r="J66" s="20" t="n">
        <v>0</v>
      </c>
      <c r="K66" s="18" t="n">
        <v>10.62031136</v>
      </c>
      <c r="L66" s="20" t="n">
        <v>0.99992408</v>
      </c>
      <c r="M66" s="18" t="n">
        <v>0</v>
      </c>
      <c r="N66" s="20" t="n">
        <v>0</v>
      </c>
      <c r="O66" s="18" t="n">
        <v>0</v>
      </c>
      <c r="P66" s="20" t="n">
        <v>0</v>
      </c>
      <c r="Q66" s="18" t="n">
        <v>23.21362144</v>
      </c>
      <c r="R66" s="20" t="n">
        <v>1.56177318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44.67645634</v>
      </c>
      <c r="F69" s="20" t="n">
        <v>3.37183123</v>
      </c>
      <c r="G69" s="18" t="n">
        <v>41.51180969</v>
      </c>
      <c r="H69" s="20" t="n">
        <v>3.51725139</v>
      </c>
      <c r="I69" s="18" t="n">
        <v>0</v>
      </c>
      <c r="J69" s="20" t="n">
        <v>0</v>
      </c>
      <c r="K69" s="18" t="n">
        <v>3.94200836</v>
      </c>
      <c r="L69" s="20" t="n">
        <v>1.42559948</v>
      </c>
      <c r="M69" s="18" t="n">
        <v>0</v>
      </c>
      <c r="N69" s="20" t="n">
        <v>0</v>
      </c>
      <c r="O69" s="18" t="n">
        <v>0</v>
      </c>
      <c r="P69" s="20" t="n">
        <v>0</v>
      </c>
      <c r="Q69" s="18" t="n">
        <v>9.869725620000001</v>
      </c>
      <c r="R69" s="20" t="n">
        <v>2.59520396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54.87819921</v>
      </c>
      <c r="F71" s="20" t="n">
        <v>1.89016799</v>
      </c>
      <c r="G71" s="18" t="n">
        <v>43.7675832</v>
      </c>
      <c r="H71" s="20" t="n">
        <v>1.89822127</v>
      </c>
      <c r="I71" s="18" t="n">
        <v>0</v>
      </c>
      <c r="J71" s="20" t="n">
        <v>0</v>
      </c>
      <c r="K71" s="18" t="n">
        <v>0.11842815</v>
      </c>
      <c r="L71" s="20" t="n">
        <v>0.11861787</v>
      </c>
      <c r="M71" s="18" t="n">
        <v>0</v>
      </c>
      <c r="N71" s="20" t="n">
        <v>0</v>
      </c>
      <c r="O71" s="18" t="n">
        <v>0</v>
      </c>
      <c r="P71" s="20" t="n">
        <v>0</v>
      </c>
      <c r="Q71" s="18" t="n">
        <v>1.23578944</v>
      </c>
      <c r="R71" s="20" t="n">
        <v>0.34969869</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44.46396275</v>
      </c>
      <c r="F76" s="20" t="n">
        <v>2.07417967</v>
      </c>
      <c r="G76" s="18" t="n">
        <v>21.80206887</v>
      </c>
      <c r="H76" s="20" t="n">
        <v>1.62875173</v>
      </c>
      <c r="I76" s="18" t="n">
        <v>0</v>
      </c>
      <c r="J76" s="20" t="n">
        <v>0</v>
      </c>
      <c r="K76" s="18" t="n">
        <v>8.50046414</v>
      </c>
      <c r="L76" s="20" t="n">
        <v>0.99243982</v>
      </c>
      <c r="M76" s="18" t="n">
        <v>0</v>
      </c>
      <c r="N76" s="20" t="n">
        <v>0</v>
      </c>
      <c r="O76" s="18" t="n">
        <v>0</v>
      </c>
      <c r="P76" s="20" t="n">
        <v>0</v>
      </c>
      <c r="Q76" s="18" t="n">
        <v>25.23350423</v>
      </c>
      <c r="R76" s="20" t="n">
        <v>1.78068206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45.16034552</v>
      </c>
      <c r="F80" s="20" t="n">
        <v>2.06898434</v>
      </c>
      <c r="G80" s="18" t="n">
        <v>52.50911558</v>
      </c>
      <c r="H80" s="20" t="n">
        <v>2.15247072</v>
      </c>
      <c r="I80" s="18" t="n">
        <v>0</v>
      </c>
      <c r="J80" s="20" t="n">
        <v>0</v>
      </c>
      <c r="K80" s="18" t="n">
        <v>0</v>
      </c>
      <c r="L80" s="20" t="n">
        <v>0</v>
      </c>
      <c r="M80" s="18" t="n">
        <v>0</v>
      </c>
      <c r="N80" s="20" t="n">
        <v>0</v>
      </c>
      <c r="O80" s="18" t="n">
        <v>0</v>
      </c>
      <c r="P80" s="20" t="n">
        <v>0</v>
      </c>
      <c r="Q80" s="18" t="n">
        <v>2.3305389</v>
      </c>
      <c r="R80" s="20" t="n">
        <v>0.5629972600000001</v>
      </c>
    </row>
    <row r="81" spans="1:18">
      <c r="A81" s="15" t="s">
        <v>505</v>
      </c>
      <c r="B81" s="17" t="n">
        <v>1657</v>
      </c>
      <c r="C81" s="18">
        <f>(1384.0/B81*100)</f>
        <v/>
      </c>
      <c r="D81" s="19" t="n">
        <v>273</v>
      </c>
      <c r="E81" s="18" t="n">
        <v>53.52762353</v>
      </c>
      <c r="F81" s="20" t="n">
        <v>2.61934818</v>
      </c>
      <c r="G81" s="18" t="n">
        <v>25.55423271</v>
      </c>
      <c r="H81" s="20" t="n">
        <v>2.4350329</v>
      </c>
      <c r="I81" s="18" t="n">
        <v>0</v>
      </c>
      <c r="J81" s="20" t="n">
        <v>0</v>
      </c>
      <c r="K81" s="18" t="n">
        <v>6.36982215</v>
      </c>
      <c r="L81" s="20" t="n">
        <v>1.47323492</v>
      </c>
      <c r="M81" s="18" t="n">
        <v>0</v>
      </c>
      <c r="N81" s="20" t="n">
        <v>0</v>
      </c>
      <c r="O81" s="18" t="n">
        <v>0</v>
      </c>
      <c r="P81" s="20" t="n">
        <v>0</v>
      </c>
      <c r="Q81" s="18" t="n">
        <v>14.54832161</v>
      </c>
      <c r="R81" s="20" t="n">
        <v>1.54154453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57.62160028</v>
      </c>
      <c r="F44" s="20" t="n">
        <v>2.12888355</v>
      </c>
      <c r="G44" s="18" t="n">
        <v>15.28451107</v>
      </c>
      <c r="H44" s="20" t="n">
        <v>1.63293868</v>
      </c>
      <c r="I44" s="18" t="n">
        <v>0</v>
      </c>
      <c r="J44" s="20" t="n">
        <v>0</v>
      </c>
      <c r="K44" s="18" t="n">
        <v>7.82739025</v>
      </c>
      <c r="L44" s="20" t="n">
        <v>0.91982624</v>
      </c>
      <c r="M44" s="18" t="n">
        <v>0</v>
      </c>
      <c r="N44" s="20" t="n">
        <v>0</v>
      </c>
      <c r="O44" s="18" t="n">
        <v>0</v>
      </c>
      <c r="P44" s="20" t="n">
        <v>0</v>
      </c>
      <c r="Q44" s="18" t="n">
        <v>19.26649841</v>
      </c>
      <c r="R44" s="20" t="n">
        <v>1.6499604</v>
      </c>
    </row>
    <row r="45" spans="1:18">
      <c r="A45" s="15" t="s">
        <v>468</v>
      </c>
      <c r="B45" s="17" t="n">
        <v>5519</v>
      </c>
      <c r="C45" s="18">
        <f>(4594.0/B45*100)</f>
        <v/>
      </c>
      <c r="D45" s="19" t="n">
        <v>925</v>
      </c>
      <c r="E45" s="18" t="n">
        <v>64.71665322</v>
      </c>
      <c r="F45" s="20" t="n">
        <v>1.44879467</v>
      </c>
      <c r="G45" s="18" t="n">
        <v>8.432862910000001</v>
      </c>
      <c r="H45" s="20" t="n">
        <v>0.90767458</v>
      </c>
      <c r="I45" s="18" t="n">
        <v>0</v>
      </c>
      <c r="J45" s="20" t="n">
        <v>0</v>
      </c>
      <c r="K45" s="18" t="n">
        <v>15.13616607</v>
      </c>
      <c r="L45" s="20" t="n">
        <v>1.36903961</v>
      </c>
      <c r="M45" s="18" t="n">
        <v>0.76965648</v>
      </c>
      <c r="N45" s="20" t="n">
        <v>0.32514009</v>
      </c>
      <c r="O45" s="18" t="n">
        <v>0.05321644</v>
      </c>
      <c r="P45" s="20" t="n">
        <v>0.05626815</v>
      </c>
      <c r="Q45" s="18" t="n">
        <v>10.89144489</v>
      </c>
      <c r="R45" s="20" t="n">
        <v>1.0460404</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52.46799721</v>
      </c>
      <c r="F54" s="20" t="n">
        <v>2.02699946</v>
      </c>
      <c r="G54" s="18" t="n">
        <v>11.74016964</v>
      </c>
      <c r="H54" s="20" t="n">
        <v>1.01426449</v>
      </c>
      <c r="I54" s="18" t="n">
        <v>0</v>
      </c>
      <c r="J54" s="20" t="n">
        <v>0</v>
      </c>
      <c r="K54" s="18" t="n">
        <v>6.0867023</v>
      </c>
      <c r="L54" s="20" t="n">
        <v>0.90167777</v>
      </c>
      <c r="M54" s="18" t="n">
        <v>0.10568313</v>
      </c>
      <c r="N54" s="20" t="n">
        <v>0.10509829</v>
      </c>
      <c r="O54" s="18" t="n">
        <v>0</v>
      </c>
      <c r="P54" s="20" t="n">
        <v>0</v>
      </c>
      <c r="Q54" s="18" t="n">
        <v>29.59944772</v>
      </c>
      <c r="R54" s="20" t="n">
        <v>1.87148584</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69.81016030000001</v>
      </c>
      <c r="F56" s="20" t="n">
        <v>1.40107877</v>
      </c>
      <c r="G56" s="18" t="n">
        <v>23.61009675</v>
      </c>
      <c r="H56" s="20" t="n">
        <v>1.20417896</v>
      </c>
      <c r="I56" s="18" t="n">
        <v>0</v>
      </c>
      <c r="J56" s="20" t="n">
        <v>0</v>
      </c>
      <c r="K56" s="18" t="n">
        <v>3.31638314</v>
      </c>
      <c r="L56" s="20" t="n">
        <v>0.64481543</v>
      </c>
      <c r="M56" s="18" t="n">
        <v>0</v>
      </c>
      <c r="N56" s="20" t="n">
        <v>0</v>
      </c>
      <c r="O56" s="18" t="n">
        <v>0</v>
      </c>
      <c r="P56" s="20" t="n">
        <v>0</v>
      </c>
      <c r="Q56" s="18" t="n">
        <v>3.26335981</v>
      </c>
      <c r="R56" s="20" t="n">
        <v>0.55635679</v>
      </c>
    </row>
    <row r="57" spans="1:18">
      <c r="A57" s="15" t="s">
        <v>480</v>
      </c>
      <c r="B57" s="17" t="n">
        <v>7267</v>
      </c>
      <c r="C57" s="18">
        <f>(6063.0/B57*100)</f>
        <v/>
      </c>
      <c r="D57" s="19" t="n">
        <v>1204</v>
      </c>
      <c r="E57" s="18" t="n">
        <v>55.42577471</v>
      </c>
      <c r="F57" s="20" t="n">
        <v>1.59611459</v>
      </c>
      <c r="G57" s="18" t="n">
        <v>27.67005916</v>
      </c>
      <c r="H57" s="20" t="n">
        <v>1.44659033</v>
      </c>
      <c r="I57" s="18" t="n">
        <v>0</v>
      </c>
      <c r="J57" s="20" t="n">
        <v>0</v>
      </c>
      <c r="K57" s="18" t="n">
        <v>4.31531652</v>
      </c>
      <c r="L57" s="20" t="n">
        <v>0.62122619</v>
      </c>
      <c r="M57" s="18" t="n">
        <v>0</v>
      </c>
      <c r="N57" s="20" t="n">
        <v>0</v>
      </c>
      <c r="O57" s="18" t="n">
        <v>0</v>
      </c>
      <c r="P57" s="20" t="n">
        <v>0</v>
      </c>
      <c r="Q57" s="18" t="n">
        <v>12.58884961</v>
      </c>
      <c r="R57" s="20" t="n">
        <v>1.0253951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74.52674021</v>
      </c>
      <c r="F59" s="20" t="n">
        <v>1.56798708</v>
      </c>
      <c r="G59" s="18" t="n">
        <v>5.58880005</v>
      </c>
      <c r="H59" s="20" t="n">
        <v>0.96410151</v>
      </c>
      <c r="I59" s="18" t="n">
        <v>0</v>
      </c>
      <c r="J59" s="20" t="n">
        <v>0</v>
      </c>
      <c r="K59" s="18" t="n">
        <v>1.99490364</v>
      </c>
      <c r="L59" s="20" t="n">
        <v>0.55035516</v>
      </c>
      <c r="M59" s="18" t="n">
        <v>0</v>
      </c>
      <c r="N59" s="20" t="n">
        <v>0</v>
      </c>
      <c r="O59" s="18" t="n">
        <v>0</v>
      </c>
      <c r="P59" s="20" t="n">
        <v>0</v>
      </c>
      <c r="Q59" s="18" t="n">
        <v>17.8895561</v>
      </c>
      <c r="R59" s="20" t="n">
        <v>1.31263601</v>
      </c>
    </row>
    <row r="60" spans="1:18">
      <c r="A60" s="15" t="s">
        <v>484</v>
      </c>
      <c r="B60" s="17" t="n">
        <v>4546</v>
      </c>
      <c r="C60" s="18">
        <f>(3791.0/B60*100)</f>
        <v/>
      </c>
      <c r="D60" s="19" t="n">
        <v>755</v>
      </c>
      <c r="E60" s="18" t="n">
        <v>46.54263271</v>
      </c>
      <c r="F60" s="20" t="n">
        <v>2.04705763</v>
      </c>
      <c r="G60" s="18" t="n">
        <v>20.23634663</v>
      </c>
      <c r="H60" s="20" t="n">
        <v>1.56377631</v>
      </c>
      <c r="I60" s="18" t="n">
        <v>0</v>
      </c>
      <c r="J60" s="20" t="n">
        <v>0</v>
      </c>
      <c r="K60" s="18" t="n">
        <v>8.70529219</v>
      </c>
      <c r="L60" s="20" t="n">
        <v>1.10315673</v>
      </c>
      <c r="M60" s="18" t="n">
        <v>0.09059514</v>
      </c>
      <c r="N60" s="20" t="n">
        <v>0.09137669</v>
      </c>
      <c r="O60" s="18" t="n">
        <v>0.24458161</v>
      </c>
      <c r="P60" s="20" t="n">
        <v>0.17635399</v>
      </c>
      <c r="Q60" s="18" t="n">
        <v>24.18055173</v>
      </c>
      <c r="R60" s="20" t="n">
        <v>1.98764928</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48.5470541</v>
      </c>
      <c r="F63" s="20" t="n">
        <v>1.78129747</v>
      </c>
      <c r="G63" s="18" t="n">
        <v>5.59809871</v>
      </c>
      <c r="H63" s="20" t="n">
        <v>0.89969708</v>
      </c>
      <c r="I63" s="18" t="n">
        <v>0</v>
      </c>
      <c r="J63" s="20" t="n">
        <v>0</v>
      </c>
      <c r="K63" s="18" t="n">
        <v>5.37162216</v>
      </c>
      <c r="L63" s="20" t="n">
        <v>0.73455927</v>
      </c>
      <c r="M63" s="18" t="n">
        <v>0</v>
      </c>
      <c r="N63" s="20" t="n">
        <v>0</v>
      </c>
      <c r="O63" s="18" t="n">
        <v>0</v>
      </c>
      <c r="P63" s="20" t="n">
        <v>0</v>
      </c>
      <c r="Q63" s="18" t="n">
        <v>40.48322502</v>
      </c>
      <c r="R63" s="20" t="n">
        <v>1.75483123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47.40827332</v>
      </c>
      <c r="F65" s="20" t="n">
        <v>1.9340389</v>
      </c>
      <c r="G65" s="18" t="n">
        <v>33.22955906</v>
      </c>
      <c r="H65" s="20" t="n">
        <v>1.74129641</v>
      </c>
      <c r="I65" s="18" t="n">
        <v>0</v>
      </c>
      <c r="J65" s="20" t="n">
        <v>0</v>
      </c>
      <c r="K65" s="18" t="n">
        <v>4.22618052</v>
      </c>
      <c r="L65" s="20" t="n">
        <v>0.80470842</v>
      </c>
      <c r="M65" s="18" t="n">
        <v>0</v>
      </c>
      <c r="N65" s="20" t="n">
        <v>0</v>
      </c>
      <c r="O65" s="18" t="n">
        <v>0</v>
      </c>
      <c r="P65" s="20" t="n">
        <v>0</v>
      </c>
      <c r="Q65" s="18" t="n">
        <v>15.13598709</v>
      </c>
      <c r="R65" s="20" t="n">
        <v>1.56149306</v>
      </c>
    </row>
    <row r="66" spans="1:18">
      <c r="A66" s="15" t="s">
        <v>490</v>
      </c>
      <c r="B66" s="17" t="n">
        <v>5325</v>
      </c>
      <c r="C66" s="18">
        <f>(4425.0/B66*100)</f>
        <v/>
      </c>
      <c r="D66" s="19" t="n">
        <v>900</v>
      </c>
      <c r="E66" s="18" t="n">
        <v>57.45068456</v>
      </c>
      <c r="F66" s="20" t="n">
        <v>1.77992209</v>
      </c>
      <c r="G66" s="18" t="n">
        <v>12.59187681</v>
      </c>
      <c r="H66" s="20" t="n">
        <v>1.33043618</v>
      </c>
      <c r="I66" s="18" t="n">
        <v>0</v>
      </c>
      <c r="J66" s="20" t="n">
        <v>0</v>
      </c>
      <c r="K66" s="18" t="n">
        <v>11.31259031</v>
      </c>
      <c r="L66" s="20" t="n">
        <v>0.99855924</v>
      </c>
      <c r="M66" s="18" t="n">
        <v>0</v>
      </c>
      <c r="N66" s="20" t="n">
        <v>0</v>
      </c>
      <c r="O66" s="18" t="n">
        <v>0</v>
      </c>
      <c r="P66" s="20" t="n">
        <v>0</v>
      </c>
      <c r="Q66" s="18" t="n">
        <v>18.64484833</v>
      </c>
      <c r="R66" s="20" t="n">
        <v>1.39385579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62.21473687</v>
      </c>
      <c r="F69" s="20" t="n">
        <v>3.84066956</v>
      </c>
      <c r="G69" s="18" t="n">
        <v>24.28983505</v>
      </c>
      <c r="H69" s="20" t="n">
        <v>3.32933231</v>
      </c>
      <c r="I69" s="18" t="n">
        <v>0</v>
      </c>
      <c r="J69" s="20" t="n">
        <v>0</v>
      </c>
      <c r="K69" s="18" t="n">
        <v>3.94200836</v>
      </c>
      <c r="L69" s="20" t="n">
        <v>1.42559948</v>
      </c>
      <c r="M69" s="18" t="n">
        <v>0</v>
      </c>
      <c r="N69" s="20" t="n">
        <v>0</v>
      </c>
      <c r="O69" s="18" t="n">
        <v>0</v>
      </c>
      <c r="P69" s="20" t="n">
        <v>0</v>
      </c>
      <c r="Q69" s="18" t="n">
        <v>9.553419720000001</v>
      </c>
      <c r="R69" s="20" t="n">
        <v>2.34419716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65.43239507</v>
      </c>
      <c r="F71" s="20" t="n">
        <v>1.82861055</v>
      </c>
      <c r="G71" s="18" t="n">
        <v>33.18948874</v>
      </c>
      <c r="H71" s="20" t="n">
        <v>1.77421956</v>
      </c>
      <c r="I71" s="18" t="n">
        <v>0</v>
      </c>
      <c r="J71" s="20" t="n">
        <v>0</v>
      </c>
      <c r="K71" s="18" t="n">
        <v>0.11842815</v>
      </c>
      <c r="L71" s="20" t="n">
        <v>0.11861787</v>
      </c>
      <c r="M71" s="18" t="n">
        <v>0</v>
      </c>
      <c r="N71" s="20" t="n">
        <v>0</v>
      </c>
      <c r="O71" s="18" t="n">
        <v>0</v>
      </c>
      <c r="P71" s="20" t="n">
        <v>0</v>
      </c>
      <c r="Q71" s="18" t="n">
        <v>1.25968804</v>
      </c>
      <c r="R71" s="20" t="n">
        <v>0.3626691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48.90260847</v>
      </c>
      <c r="F76" s="20" t="n">
        <v>2.03480542</v>
      </c>
      <c r="G76" s="18" t="n">
        <v>22.42855678</v>
      </c>
      <c r="H76" s="20" t="n">
        <v>1.7910005</v>
      </c>
      <c r="I76" s="18" t="n">
        <v>0</v>
      </c>
      <c r="J76" s="20" t="n">
        <v>0</v>
      </c>
      <c r="K76" s="18" t="n">
        <v>9.316800519999999</v>
      </c>
      <c r="L76" s="20" t="n">
        <v>0.99892778</v>
      </c>
      <c r="M76" s="18" t="n">
        <v>0</v>
      </c>
      <c r="N76" s="20" t="n">
        <v>0</v>
      </c>
      <c r="O76" s="18" t="n">
        <v>0</v>
      </c>
      <c r="P76" s="20" t="n">
        <v>0</v>
      </c>
      <c r="Q76" s="18" t="n">
        <v>19.35203423</v>
      </c>
      <c r="R76" s="20" t="n">
        <v>1.41050836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71.71824112</v>
      </c>
      <c r="F80" s="20" t="n">
        <v>1.3645305</v>
      </c>
      <c r="G80" s="18" t="n">
        <v>25.64605706</v>
      </c>
      <c r="H80" s="20" t="n">
        <v>1.44203723</v>
      </c>
      <c r="I80" s="18" t="n">
        <v>0</v>
      </c>
      <c r="J80" s="20" t="n">
        <v>0</v>
      </c>
      <c r="K80" s="18" t="n">
        <v>0</v>
      </c>
      <c r="L80" s="20" t="n">
        <v>0</v>
      </c>
      <c r="M80" s="18" t="n">
        <v>0</v>
      </c>
      <c r="N80" s="20" t="n">
        <v>0</v>
      </c>
      <c r="O80" s="18" t="n">
        <v>0</v>
      </c>
      <c r="P80" s="20" t="n">
        <v>0</v>
      </c>
      <c r="Q80" s="18" t="n">
        <v>2.63570182</v>
      </c>
      <c r="R80" s="20" t="n">
        <v>0.6746841099999999</v>
      </c>
    </row>
    <row r="81" spans="1:18">
      <c r="A81" s="15" t="s">
        <v>505</v>
      </c>
      <c r="B81" s="17" t="n">
        <v>1657</v>
      </c>
      <c r="C81" s="18">
        <f>(1384.0/B81*100)</f>
        <v/>
      </c>
      <c r="D81" s="19" t="n">
        <v>273</v>
      </c>
      <c r="E81" s="18" t="n">
        <v>45.31220985</v>
      </c>
      <c r="F81" s="20" t="n">
        <v>3.59515337</v>
      </c>
      <c r="G81" s="18" t="n">
        <v>36.7787385</v>
      </c>
      <c r="H81" s="20" t="n">
        <v>3.76593269</v>
      </c>
      <c r="I81" s="18" t="n">
        <v>0</v>
      </c>
      <c r="J81" s="20" t="n">
        <v>0</v>
      </c>
      <c r="K81" s="18" t="n">
        <v>7.21473341</v>
      </c>
      <c r="L81" s="20" t="n">
        <v>1.49942827</v>
      </c>
      <c r="M81" s="18" t="n">
        <v>0</v>
      </c>
      <c r="N81" s="20" t="n">
        <v>0</v>
      </c>
      <c r="O81" s="18" t="n">
        <v>0.31815276</v>
      </c>
      <c r="P81" s="20" t="n">
        <v>0.31742387</v>
      </c>
      <c r="Q81" s="18" t="n">
        <v>10.37616549</v>
      </c>
      <c r="R81" s="20" t="n">
        <v>1.86825109</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15.84099035</v>
      </c>
      <c r="F44" s="20" t="n">
        <v>1.44455436</v>
      </c>
      <c r="G44" s="18" t="n">
        <v>65.83705187</v>
      </c>
      <c r="H44" s="20" t="n">
        <v>1.94498165</v>
      </c>
      <c r="I44" s="18" t="n">
        <v>0</v>
      </c>
      <c r="J44" s="20" t="n">
        <v>0</v>
      </c>
      <c r="K44" s="18" t="n">
        <v>7.98711597</v>
      </c>
      <c r="L44" s="20" t="n">
        <v>0.9294562200000001</v>
      </c>
      <c r="M44" s="18" t="n">
        <v>0</v>
      </c>
      <c r="N44" s="20" t="n">
        <v>0</v>
      </c>
      <c r="O44" s="18" t="n">
        <v>0</v>
      </c>
      <c r="P44" s="20" t="n">
        <v>0</v>
      </c>
      <c r="Q44" s="18" t="n">
        <v>10.3348418</v>
      </c>
      <c r="R44" s="20" t="n">
        <v>1.34646572</v>
      </c>
    </row>
    <row r="45" spans="1:18">
      <c r="A45" s="15" t="s">
        <v>468</v>
      </c>
      <c r="B45" s="17" t="n">
        <v>5519</v>
      </c>
      <c r="C45" s="18">
        <f>(4594.0/B45*100)</f>
        <v/>
      </c>
      <c r="D45" s="19" t="n">
        <v>925</v>
      </c>
      <c r="E45" s="18" t="n">
        <v>11.92177565</v>
      </c>
      <c r="F45" s="20" t="n">
        <v>1.32371631</v>
      </c>
      <c r="G45" s="18" t="n">
        <v>64.44811761</v>
      </c>
      <c r="H45" s="20" t="n">
        <v>2.00119254</v>
      </c>
      <c r="I45" s="18" t="n">
        <v>0</v>
      </c>
      <c r="J45" s="20" t="n">
        <v>0</v>
      </c>
      <c r="K45" s="18" t="n">
        <v>15.49956424</v>
      </c>
      <c r="L45" s="20" t="n">
        <v>1.40093415</v>
      </c>
      <c r="M45" s="18" t="n">
        <v>0.72618887</v>
      </c>
      <c r="N45" s="20" t="n">
        <v>0.29926738</v>
      </c>
      <c r="O45" s="18" t="n">
        <v>0.05884908</v>
      </c>
      <c r="P45" s="20" t="n">
        <v>0.05965264</v>
      </c>
      <c r="Q45" s="18" t="n">
        <v>7.34550455</v>
      </c>
      <c r="R45" s="20" t="n">
        <v>0.91576728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13.67617107</v>
      </c>
      <c r="F54" s="20" t="n">
        <v>1.11647709</v>
      </c>
      <c r="G54" s="18" t="n">
        <v>55.82520178</v>
      </c>
      <c r="H54" s="20" t="n">
        <v>1.81463278</v>
      </c>
      <c r="I54" s="18" t="n">
        <v>0</v>
      </c>
      <c r="J54" s="20" t="n">
        <v>0</v>
      </c>
      <c r="K54" s="18" t="n">
        <v>6.25695172</v>
      </c>
      <c r="L54" s="20" t="n">
        <v>0.89993717</v>
      </c>
      <c r="M54" s="18" t="n">
        <v>0.10568313</v>
      </c>
      <c r="N54" s="20" t="n">
        <v>0.10509829</v>
      </c>
      <c r="O54" s="18" t="n">
        <v>0</v>
      </c>
      <c r="P54" s="20" t="n">
        <v>0</v>
      </c>
      <c r="Q54" s="18" t="n">
        <v>24.1359923</v>
      </c>
      <c r="R54" s="20" t="n">
        <v>1.66440386</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14.99540613</v>
      </c>
      <c r="F56" s="20" t="n">
        <v>1.39539285</v>
      </c>
      <c r="G56" s="18" t="n">
        <v>79.82827826</v>
      </c>
      <c r="H56" s="20" t="n">
        <v>1.36774196</v>
      </c>
      <c r="I56" s="18" t="n">
        <v>0</v>
      </c>
      <c r="J56" s="20" t="n">
        <v>0</v>
      </c>
      <c r="K56" s="18" t="n">
        <v>3.31638314</v>
      </c>
      <c r="L56" s="20" t="n">
        <v>0.64481543</v>
      </c>
      <c r="M56" s="18" t="n">
        <v>0</v>
      </c>
      <c r="N56" s="20" t="n">
        <v>0</v>
      </c>
      <c r="O56" s="18" t="n">
        <v>0</v>
      </c>
      <c r="P56" s="20" t="n">
        <v>0</v>
      </c>
      <c r="Q56" s="18" t="n">
        <v>1.85993247</v>
      </c>
      <c r="R56" s="20" t="n">
        <v>0.46768382</v>
      </c>
    </row>
    <row r="57" spans="1:18">
      <c r="A57" s="15" t="s">
        <v>480</v>
      </c>
      <c r="B57" s="17" t="n">
        <v>7267</v>
      </c>
      <c r="C57" s="18">
        <f>(6063.0/B57*100)</f>
        <v/>
      </c>
      <c r="D57" s="19" t="n">
        <v>1204</v>
      </c>
      <c r="E57" s="18" t="n">
        <v>10.89285618</v>
      </c>
      <c r="F57" s="20" t="n">
        <v>1.00616046</v>
      </c>
      <c r="G57" s="18" t="n">
        <v>73.65287345</v>
      </c>
      <c r="H57" s="20" t="n">
        <v>1.52914012</v>
      </c>
      <c r="I57" s="18" t="n">
        <v>0</v>
      </c>
      <c r="J57" s="20" t="n">
        <v>0</v>
      </c>
      <c r="K57" s="18" t="n">
        <v>4.4474419</v>
      </c>
      <c r="L57" s="20" t="n">
        <v>0.63096772</v>
      </c>
      <c r="M57" s="18" t="n">
        <v>0</v>
      </c>
      <c r="N57" s="20" t="n">
        <v>0</v>
      </c>
      <c r="O57" s="18" t="n">
        <v>0</v>
      </c>
      <c r="P57" s="20" t="n">
        <v>0</v>
      </c>
      <c r="Q57" s="18" t="n">
        <v>11.00682847</v>
      </c>
      <c r="R57" s="20" t="n">
        <v>1.13502372</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27.26981176</v>
      </c>
      <c r="F59" s="20" t="n">
        <v>1.79675415</v>
      </c>
      <c r="G59" s="18" t="n">
        <v>58.84413665</v>
      </c>
      <c r="H59" s="20" t="n">
        <v>2.06844636</v>
      </c>
      <c r="I59" s="18" t="n">
        <v>0</v>
      </c>
      <c r="J59" s="20" t="n">
        <v>0</v>
      </c>
      <c r="K59" s="18" t="n">
        <v>1.99490364</v>
      </c>
      <c r="L59" s="20" t="n">
        <v>0.55035516</v>
      </c>
      <c r="M59" s="18" t="n">
        <v>0</v>
      </c>
      <c r="N59" s="20" t="n">
        <v>0</v>
      </c>
      <c r="O59" s="18" t="n">
        <v>0.06499681</v>
      </c>
      <c r="P59" s="20" t="n">
        <v>0.06562262000000001</v>
      </c>
      <c r="Q59" s="18" t="n">
        <v>11.82615113</v>
      </c>
      <c r="R59" s="20" t="n">
        <v>1.24158767</v>
      </c>
    </row>
    <row r="60" spans="1:18">
      <c r="A60" s="15" t="s">
        <v>484</v>
      </c>
      <c r="B60" s="17" t="n">
        <v>4546</v>
      </c>
      <c r="C60" s="18">
        <f>(3791.0/B60*100)</f>
        <v/>
      </c>
      <c r="D60" s="19" t="n">
        <v>755</v>
      </c>
      <c r="E60" s="18" t="n">
        <v>27.17038501</v>
      </c>
      <c r="F60" s="20" t="n">
        <v>1.63280917</v>
      </c>
      <c r="G60" s="18" t="n">
        <v>41.66959461</v>
      </c>
      <c r="H60" s="20" t="n">
        <v>2.1230536</v>
      </c>
      <c r="I60" s="18" t="n">
        <v>0</v>
      </c>
      <c r="J60" s="20" t="n">
        <v>0</v>
      </c>
      <c r="K60" s="18" t="n">
        <v>9.157578770000001</v>
      </c>
      <c r="L60" s="20" t="n">
        <v>1.06393313</v>
      </c>
      <c r="M60" s="18" t="n">
        <v>0.09059514</v>
      </c>
      <c r="N60" s="20" t="n">
        <v>0.09137669</v>
      </c>
      <c r="O60" s="18" t="n">
        <v>0.09446172999999999</v>
      </c>
      <c r="P60" s="20" t="n">
        <v>0.09517971</v>
      </c>
      <c r="Q60" s="18" t="n">
        <v>21.81738475</v>
      </c>
      <c r="R60" s="20" t="n">
        <v>1.80442551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13.90714412</v>
      </c>
      <c r="F63" s="20" t="n">
        <v>1.39953763</v>
      </c>
      <c r="G63" s="18" t="n">
        <v>50.33407456</v>
      </c>
      <c r="H63" s="20" t="n">
        <v>1.88728525</v>
      </c>
      <c r="I63" s="18" t="n">
        <v>0</v>
      </c>
      <c r="J63" s="20" t="n">
        <v>0</v>
      </c>
      <c r="K63" s="18" t="n">
        <v>5.41868395</v>
      </c>
      <c r="L63" s="20" t="n">
        <v>0.73586717</v>
      </c>
      <c r="M63" s="18" t="n">
        <v>0</v>
      </c>
      <c r="N63" s="20" t="n">
        <v>0</v>
      </c>
      <c r="O63" s="18" t="n">
        <v>0</v>
      </c>
      <c r="P63" s="20" t="n">
        <v>0</v>
      </c>
      <c r="Q63" s="18" t="n">
        <v>30.34009738</v>
      </c>
      <c r="R63" s="20" t="n">
        <v>1.53718369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17.5194135</v>
      </c>
      <c r="F65" s="20" t="n">
        <v>1.37717454</v>
      </c>
      <c r="G65" s="18" t="n">
        <v>61.2729019</v>
      </c>
      <c r="H65" s="20" t="n">
        <v>1.97653394</v>
      </c>
      <c r="I65" s="18" t="n">
        <v>0</v>
      </c>
      <c r="J65" s="20" t="n">
        <v>0</v>
      </c>
      <c r="K65" s="18" t="n">
        <v>4.22618052</v>
      </c>
      <c r="L65" s="20" t="n">
        <v>0.80470842</v>
      </c>
      <c r="M65" s="18" t="n">
        <v>0</v>
      </c>
      <c r="N65" s="20" t="n">
        <v>0</v>
      </c>
      <c r="O65" s="18" t="n">
        <v>0</v>
      </c>
      <c r="P65" s="20" t="n">
        <v>0</v>
      </c>
      <c r="Q65" s="18" t="n">
        <v>16.98150408</v>
      </c>
      <c r="R65" s="20" t="n">
        <v>1.6733</v>
      </c>
    </row>
    <row r="66" spans="1:18">
      <c r="A66" s="15" t="s">
        <v>490</v>
      </c>
      <c r="B66" s="17" t="n">
        <v>5325</v>
      </c>
      <c r="C66" s="18">
        <f>(4425.0/B66*100)</f>
        <v/>
      </c>
      <c r="D66" s="19" t="n">
        <v>900</v>
      </c>
      <c r="E66" s="18" t="n">
        <v>14.55256876</v>
      </c>
      <c r="F66" s="20" t="n">
        <v>1.23868034</v>
      </c>
      <c r="G66" s="18" t="n">
        <v>59.25167619</v>
      </c>
      <c r="H66" s="20" t="n">
        <v>1.59948697</v>
      </c>
      <c r="I66" s="18" t="n">
        <v>0</v>
      </c>
      <c r="J66" s="20" t="n">
        <v>0</v>
      </c>
      <c r="K66" s="18" t="n">
        <v>11.98247659</v>
      </c>
      <c r="L66" s="20" t="n">
        <v>1.02836886</v>
      </c>
      <c r="M66" s="18" t="n">
        <v>0</v>
      </c>
      <c r="N66" s="20" t="n">
        <v>0</v>
      </c>
      <c r="O66" s="18" t="n">
        <v>0</v>
      </c>
      <c r="P66" s="20" t="n">
        <v>0</v>
      </c>
      <c r="Q66" s="18" t="n">
        <v>14.21327845</v>
      </c>
      <c r="R66" s="20" t="n">
        <v>1.20913578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24.81499215</v>
      </c>
      <c r="F69" s="20" t="n">
        <v>3.99626702</v>
      </c>
      <c r="G69" s="18" t="n">
        <v>62.07092223</v>
      </c>
      <c r="H69" s="20" t="n">
        <v>3.63489243</v>
      </c>
      <c r="I69" s="18" t="n">
        <v>0</v>
      </c>
      <c r="J69" s="20" t="n">
        <v>0</v>
      </c>
      <c r="K69" s="18" t="n">
        <v>3.94200836</v>
      </c>
      <c r="L69" s="20" t="n">
        <v>1.42559948</v>
      </c>
      <c r="M69" s="18" t="n">
        <v>0</v>
      </c>
      <c r="N69" s="20" t="n">
        <v>0</v>
      </c>
      <c r="O69" s="18" t="n">
        <v>0</v>
      </c>
      <c r="P69" s="20" t="n">
        <v>0</v>
      </c>
      <c r="Q69" s="18" t="n">
        <v>9.172077270000001</v>
      </c>
      <c r="R69" s="20" t="n">
        <v>2.17725494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34.31782896</v>
      </c>
      <c r="F71" s="20" t="n">
        <v>2.09977952</v>
      </c>
      <c r="G71" s="18" t="n">
        <v>64.56435328000001</v>
      </c>
      <c r="H71" s="20" t="n">
        <v>2.12714656</v>
      </c>
      <c r="I71" s="18" t="n">
        <v>0</v>
      </c>
      <c r="J71" s="20" t="n">
        <v>0</v>
      </c>
      <c r="K71" s="18" t="n">
        <v>0.11842815</v>
      </c>
      <c r="L71" s="20" t="n">
        <v>0.11861787</v>
      </c>
      <c r="M71" s="18" t="n">
        <v>0</v>
      </c>
      <c r="N71" s="20" t="n">
        <v>0</v>
      </c>
      <c r="O71" s="18" t="n">
        <v>0</v>
      </c>
      <c r="P71" s="20" t="n">
        <v>0</v>
      </c>
      <c r="Q71" s="18" t="n">
        <v>0.99938961</v>
      </c>
      <c r="R71" s="20" t="n">
        <v>0.35142645</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15.9224786</v>
      </c>
      <c r="F76" s="20" t="n">
        <v>1.49184201</v>
      </c>
      <c r="G76" s="18" t="n">
        <v>51.81066873</v>
      </c>
      <c r="H76" s="20" t="n">
        <v>2.04740842</v>
      </c>
      <c r="I76" s="18" t="n">
        <v>0</v>
      </c>
      <c r="J76" s="20" t="n">
        <v>0</v>
      </c>
      <c r="K76" s="18" t="n">
        <v>10.3994875</v>
      </c>
      <c r="L76" s="20" t="n">
        <v>1.08302586</v>
      </c>
      <c r="M76" s="18" t="n">
        <v>0</v>
      </c>
      <c r="N76" s="20" t="n">
        <v>0</v>
      </c>
      <c r="O76" s="18" t="n">
        <v>0</v>
      </c>
      <c r="P76" s="20" t="n">
        <v>0</v>
      </c>
      <c r="Q76" s="18" t="n">
        <v>21.86736516</v>
      </c>
      <c r="R76" s="20" t="n">
        <v>1.70653801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11.00946386</v>
      </c>
      <c r="F80" s="20" t="n">
        <v>1.2735867</v>
      </c>
      <c r="G80" s="18" t="n">
        <v>87.56792253</v>
      </c>
      <c r="H80" s="20" t="n">
        <v>1.35759</v>
      </c>
      <c r="I80" s="18" t="n">
        <v>0</v>
      </c>
      <c r="J80" s="20" t="n">
        <v>0</v>
      </c>
      <c r="K80" s="18" t="n">
        <v>0</v>
      </c>
      <c r="L80" s="20" t="n">
        <v>0</v>
      </c>
      <c r="M80" s="18" t="n">
        <v>0</v>
      </c>
      <c r="N80" s="20" t="n">
        <v>0</v>
      </c>
      <c r="O80" s="18" t="n">
        <v>0</v>
      </c>
      <c r="P80" s="20" t="n">
        <v>0</v>
      </c>
      <c r="Q80" s="18" t="n">
        <v>1.42261361</v>
      </c>
      <c r="R80" s="20" t="n">
        <v>0.46767832</v>
      </c>
    </row>
    <row r="81" spans="1:18">
      <c r="A81" s="15" t="s">
        <v>505</v>
      </c>
      <c r="B81" s="17" t="n">
        <v>1657</v>
      </c>
      <c r="C81" s="18">
        <f>(1384.0/B81*100)</f>
        <v/>
      </c>
      <c r="D81" s="19" t="n">
        <v>273</v>
      </c>
      <c r="E81" s="18" t="n">
        <v>10.81336417</v>
      </c>
      <c r="F81" s="20" t="n">
        <v>1.88778963</v>
      </c>
      <c r="G81" s="18" t="n">
        <v>69.66315759</v>
      </c>
      <c r="H81" s="20" t="n">
        <v>2.49393353</v>
      </c>
      <c r="I81" s="18" t="n">
        <v>0</v>
      </c>
      <c r="J81" s="20" t="n">
        <v>0</v>
      </c>
      <c r="K81" s="18" t="n">
        <v>7.21473341</v>
      </c>
      <c r="L81" s="20" t="n">
        <v>1.49942827</v>
      </c>
      <c r="M81" s="18" t="n">
        <v>0</v>
      </c>
      <c r="N81" s="20" t="n">
        <v>0</v>
      </c>
      <c r="O81" s="18" t="n">
        <v>0.31815276</v>
      </c>
      <c r="P81" s="20" t="n">
        <v>0.31742387</v>
      </c>
      <c r="Q81" s="18" t="n">
        <v>11.99059207</v>
      </c>
      <c r="R81" s="20" t="n">
        <v>2.23477422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47.42399642</v>
      </c>
      <c r="F44" s="20" t="n">
        <v>2.54810065</v>
      </c>
      <c r="G44" s="18" t="n">
        <v>36.73041703</v>
      </c>
      <c r="H44" s="20" t="n">
        <v>2.31876369</v>
      </c>
      <c r="I44" s="18" t="n">
        <v>0</v>
      </c>
      <c r="J44" s="20" t="n">
        <v>0</v>
      </c>
      <c r="K44" s="18" t="n">
        <v>9.01254166</v>
      </c>
      <c r="L44" s="20" t="n">
        <v>1.06198678</v>
      </c>
      <c r="M44" s="18" t="n">
        <v>0</v>
      </c>
      <c r="N44" s="20" t="n">
        <v>0</v>
      </c>
      <c r="O44" s="18" t="n">
        <v>2.37675424</v>
      </c>
      <c r="P44" s="20" t="n">
        <v>0.59457066</v>
      </c>
      <c r="Q44" s="18" t="n">
        <v>4.45629066</v>
      </c>
      <c r="R44" s="20" t="n">
        <v>0.91924704</v>
      </c>
    </row>
    <row r="45" spans="1:18">
      <c r="A45" s="15" t="s">
        <v>468</v>
      </c>
      <c r="B45" s="17" t="n">
        <v>5519</v>
      </c>
      <c r="C45" s="18">
        <f>(4594.0/B45*100)</f>
        <v/>
      </c>
      <c r="D45" s="19" t="n">
        <v>925</v>
      </c>
      <c r="E45" s="18" t="n">
        <v>39.99147572</v>
      </c>
      <c r="F45" s="20" t="n">
        <v>1.77917329</v>
      </c>
      <c r="G45" s="18" t="n">
        <v>33.36595811</v>
      </c>
      <c r="H45" s="20" t="n">
        <v>1.83148569</v>
      </c>
      <c r="I45" s="18" t="n">
        <v>0</v>
      </c>
      <c r="J45" s="20" t="n">
        <v>0</v>
      </c>
      <c r="K45" s="18" t="n">
        <v>16.05906563</v>
      </c>
      <c r="L45" s="20" t="n">
        <v>1.42066916</v>
      </c>
      <c r="M45" s="18" t="n">
        <v>0.58657877</v>
      </c>
      <c r="N45" s="20" t="n">
        <v>0.23628297</v>
      </c>
      <c r="O45" s="18" t="n">
        <v>4.6372125</v>
      </c>
      <c r="P45" s="20" t="n">
        <v>0.72411459</v>
      </c>
      <c r="Q45" s="18" t="n">
        <v>5.35970928</v>
      </c>
      <c r="R45" s="20" t="n">
        <v>0.90870199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40.03149408</v>
      </c>
      <c r="F54" s="20" t="n">
        <v>1.68627146</v>
      </c>
      <c r="G54" s="18" t="n">
        <v>49.78286957</v>
      </c>
      <c r="H54" s="20" t="n">
        <v>1.84392025</v>
      </c>
      <c r="I54" s="18" t="n">
        <v>0</v>
      </c>
      <c r="J54" s="20" t="n">
        <v>0</v>
      </c>
      <c r="K54" s="18" t="n">
        <v>6.58091224</v>
      </c>
      <c r="L54" s="20" t="n">
        <v>0.8943834899999999</v>
      </c>
      <c r="M54" s="18" t="n">
        <v>0.10568313</v>
      </c>
      <c r="N54" s="20" t="n">
        <v>0.10509829</v>
      </c>
      <c r="O54" s="18" t="n">
        <v>0.79705149</v>
      </c>
      <c r="P54" s="20" t="n">
        <v>0.28047224</v>
      </c>
      <c r="Q54" s="18" t="n">
        <v>2.70198949</v>
      </c>
      <c r="R54" s="20" t="n">
        <v>0.55040518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54.25975238</v>
      </c>
      <c r="F56" s="20" t="n">
        <v>1.85586253</v>
      </c>
      <c r="G56" s="18" t="n">
        <v>40.14059473</v>
      </c>
      <c r="H56" s="20" t="n">
        <v>1.75979905</v>
      </c>
      <c r="I56" s="18" t="n">
        <v>0</v>
      </c>
      <c r="J56" s="20" t="n">
        <v>0</v>
      </c>
      <c r="K56" s="18" t="n">
        <v>3.95301861</v>
      </c>
      <c r="L56" s="20" t="n">
        <v>0.6958622</v>
      </c>
      <c r="M56" s="18" t="n">
        <v>0.05989779</v>
      </c>
      <c r="N56" s="20" t="n">
        <v>0.05419171</v>
      </c>
      <c r="O56" s="18" t="n">
        <v>0</v>
      </c>
      <c r="P56" s="20" t="n">
        <v>0</v>
      </c>
      <c r="Q56" s="18" t="n">
        <v>1.58673649</v>
      </c>
      <c r="R56" s="20" t="n">
        <v>0.45001982</v>
      </c>
    </row>
    <row r="57" spans="1:18">
      <c r="A57" s="15" t="s">
        <v>480</v>
      </c>
      <c r="B57" s="17" t="n">
        <v>7267</v>
      </c>
      <c r="C57" s="18">
        <f>(6063.0/B57*100)</f>
        <v/>
      </c>
      <c r="D57" s="19" t="n">
        <v>1204</v>
      </c>
      <c r="E57" s="18" t="n">
        <v>68.67416745</v>
      </c>
      <c r="F57" s="20" t="n">
        <v>1.52535404</v>
      </c>
      <c r="G57" s="18" t="n">
        <v>21.93040115</v>
      </c>
      <c r="H57" s="20" t="n">
        <v>1.4257804</v>
      </c>
      <c r="I57" s="18" t="n">
        <v>0</v>
      </c>
      <c r="J57" s="20" t="n">
        <v>0</v>
      </c>
      <c r="K57" s="18" t="n">
        <v>4.6779074</v>
      </c>
      <c r="L57" s="20" t="n">
        <v>0.6531956</v>
      </c>
      <c r="M57" s="18" t="n">
        <v>0</v>
      </c>
      <c r="N57" s="20" t="n">
        <v>0</v>
      </c>
      <c r="O57" s="18" t="n">
        <v>0.40734199</v>
      </c>
      <c r="P57" s="20" t="n">
        <v>0.22087606</v>
      </c>
      <c r="Q57" s="18" t="n">
        <v>4.310182</v>
      </c>
      <c r="R57" s="20" t="n">
        <v>0.73305111</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64.51560164999999</v>
      </c>
      <c r="F59" s="20" t="n">
        <v>2.17310605</v>
      </c>
      <c r="G59" s="18" t="n">
        <v>26.95732379</v>
      </c>
      <c r="H59" s="20" t="n">
        <v>2.08194901</v>
      </c>
      <c r="I59" s="18" t="n">
        <v>0</v>
      </c>
      <c r="J59" s="20" t="n">
        <v>0</v>
      </c>
      <c r="K59" s="18" t="n">
        <v>2.07442924</v>
      </c>
      <c r="L59" s="20" t="n">
        <v>0.55259117</v>
      </c>
      <c r="M59" s="18" t="n">
        <v>0</v>
      </c>
      <c r="N59" s="20" t="n">
        <v>0</v>
      </c>
      <c r="O59" s="18" t="n">
        <v>4.48022187</v>
      </c>
      <c r="P59" s="20" t="n">
        <v>0.81913201</v>
      </c>
      <c r="Q59" s="18" t="n">
        <v>1.97242344</v>
      </c>
      <c r="R59" s="20" t="n">
        <v>0.48469448</v>
      </c>
    </row>
    <row r="60" spans="1:18">
      <c r="A60" s="15" t="s">
        <v>484</v>
      </c>
      <c r="B60" s="17" t="n">
        <v>4546</v>
      </c>
      <c r="C60" s="18">
        <f>(3791.0/B60*100)</f>
        <v/>
      </c>
      <c r="D60" s="19" t="n">
        <v>755</v>
      </c>
      <c r="E60" s="18" t="n">
        <v>45.45279977</v>
      </c>
      <c r="F60" s="20" t="n">
        <v>2.0726926</v>
      </c>
      <c r="G60" s="18" t="n">
        <v>30.71834528</v>
      </c>
      <c r="H60" s="20" t="n">
        <v>1.79974124</v>
      </c>
      <c r="I60" s="18" t="n">
        <v>0</v>
      </c>
      <c r="J60" s="20" t="n">
        <v>0</v>
      </c>
      <c r="K60" s="18" t="n">
        <v>9.588266580000001</v>
      </c>
      <c r="L60" s="20" t="n">
        <v>1.10019934</v>
      </c>
      <c r="M60" s="18" t="n">
        <v>0</v>
      </c>
      <c r="N60" s="20" t="n">
        <v>0</v>
      </c>
      <c r="O60" s="18" t="n">
        <v>4.74162815</v>
      </c>
      <c r="P60" s="20" t="n">
        <v>0.92028068</v>
      </c>
      <c r="Q60" s="18" t="n">
        <v>9.49896021</v>
      </c>
      <c r="R60" s="20" t="n">
        <v>1.26595706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44.70188986</v>
      </c>
      <c r="F63" s="20" t="n">
        <v>1.756543</v>
      </c>
      <c r="G63" s="18" t="n">
        <v>41.90520175</v>
      </c>
      <c r="H63" s="20" t="n">
        <v>1.72331971</v>
      </c>
      <c r="I63" s="18" t="n">
        <v>0</v>
      </c>
      <c r="J63" s="20" t="n">
        <v>0</v>
      </c>
      <c r="K63" s="18" t="n">
        <v>5.50587359</v>
      </c>
      <c r="L63" s="20" t="n">
        <v>0.7403414</v>
      </c>
      <c r="M63" s="18" t="n">
        <v>0</v>
      </c>
      <c r="N63" s="20" t="n">
        <v>0</v>
      </c>
      <c r="O63" s="18" t="n">
        <v>1.9495226</v>
      </c>
      <c r="P63" s="20" t="n">
        <v>0.55691756</v>
      </c>
      <c r="Q63" s="18" t="n">
        <v>5.93751219</v>
      </c>
      <c r="R63" s="20" t="n">
        <v>0.884078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46.23193526</v>
      </c>
      <c r="F65" s="20" t="n">
        <v>1.83416519</v>
      </c>
      <c r="G65" s="18" t="n">
        <v>46.27205422</v>
      </c>
      <c r="H65" s="20" t="n">
        <v>1.98124191</v>
      </c>
      <c r="I65" s="18" t="n">
        <v>0</v>
      </c>
      <c r="J65" s="20" t="n">
        <v>0</v>
      </c>
      <c r="K65" s="18" t="n">
        <v>4.22618052</v>
      </c>
      <c r="L65" s="20" t="n">
        <v>0.80470842</v>
      </c>
      <c r="M65" s="18" t="n">
        <v>0</v>
      </c>
      <c r="N65" s="20" t="n">
        <v>0</v>
      </c>
      <c r="O65" s="18" t="n">
        <v>0.1558158</v>
      </c>
      <c r="P65" s="20" t="n">
        <v>0.15546295</v>
      </c>
      <c r="Q65" s="18" t="n">
        <v>3.1140142</v>
      </c>
      <c r="R65" s="20" t="n">
        <v>0.79632204</v>
      </c>
    </row>
    <row r="66" spans="1:18">
      <c r="A66" s="15" t="s">
        <v>490</v>
      </c>
      <c r="B66" s="17" t="n">
        <v>5325</v>
      </c>
      <c r="C66" s="18">
        <f>(4425.0/B66*100)</f>
        <v/>
      </c>
      <c r="D66" s="19" t="n">
        <v>900</v>
      </c>
      <c r="E66" s="18" t="n">
        <v>37.20797308</v>
      </c>
      <c r="F66" s="20" t="n">
        <v>1.89538581</v>
      </c>
      <c r="G66" s="18" t="n">
        <v>43.73145409</v>
      </c>
      <c r="H66" s="20" t="n">
        <v>1.85798287</v>
      </c>
      <c r="I66" s="18" t="n">
        <v>0</v>
      </c>
      <c r="J66" s="20" t="n">
        <v>0</v>
      </c>
      <c r="K66" s="18" t="n">
        <v>12.28066425</v>
      </c>
      <c r="L66" s="20" t="n">
        <v>1.07923397</v>
      </c>
      <c r="M66" s="18" t="n">
        <v>2.72051422</v>
      </c>
      <c r="N66" s="20" t="n">
        <v>0.45949095</v>
      </c>
      <c r="O66" s="18" t="n">
        <v>0</v>
      </c>
      <c r="P66" s="20" t="n">
        <v>0</v>
      </c>
      <c r="Q66" s="18" t="n">
        <v>4.05939436</v>
      </c>
      <c r="R66" s="20" t="n">
        <v>0.7235094399999999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50.87027498</v>
      </c>
      <c r="F69" s="20" t="n">
        <v>4.30218292</v>
      </c>
      <c r="G69" s="18" t="n">
        <v>44.8450926</v>
      </c>
      <c r="H69" s="20" t="n">
        <v>3.70235214</v>
      </c>
      <c r="I69" s="18" t="n">
        <v>0</v>
      </c>
      <c r="J69" s="20" t="n">
        <v>0</v>
      </c>
      <c r="K69" s="18" t="n">
        <v>3.94200836</v>
      </c>
      <c r="L69" s="20" t="n">
        <v>1.42559948</v>
      </c>
      <c r="M69" s="18" t="n">
        <v>0</v>
      </c>
      <c r="N69" s="20" t="n">
        <v>0</v>
      </c>
      <c r="O69" s="18" t="n">
        <v>0</v>
      </c>
      <c r="P69" s="20" t="n">
        <v>0</v>
      </c>
      <c r="Q69" s="18" t="n">
        <v>0.34262406</v>
      </c>
      <c r="R69" s="20" t="n">
        <v>0.35111045</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53.54443513</v>
      </c>
      <c r="F71" s="20" t="n">
        <v>1.84180765</v>
      </c>
      <c r="G71" s="18" t="n">
        <v>45.53278517</v>
      </c>
      <c r="H71" s="20" t="n">
        <v>1.82609595</v>
      </c>
      <c r="I71" s="18" t="n">
        <v>0</v>
      </c>
      <c r="J71" s="20" t="n">
        <v>0</v>
      </c>
      <c r="K71" s="18" t="n">
        <v>0.23851792</v>
      </c>
      <c r="L71" s="20" t="n">
        <v>0.17109861</v>
      </c>
      <c r="M71" s="18" t="n">
        <v>0</v>
      </c>
      <c r="N71" s="20" t="n">
        <v>0</v>
      </c>
      <c r="O71" s="18" t="n">
        <v>0</v>
      </c>
      <c r="P71" s="20" t="n">
        <v>0</v>
      </c>
      <c r="Q71" s="18" t="n">
        <v>0.68426178</v>
      </c>
      <c r="R71" s="20" t="n">
        <v>0.32818086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43.07491562</v>
      </c>
      <c r="F76" s="20" t="n">
        <v>1.85574782</v>
      </c>
      <c r="G76" s="18" t="n">
        <v>42.66683647</v>
      </c>
      <c r="H76" s="20" t="n">
        <v>1.72781077</v>
      </c>
      <c r="I76" s="18" t="n">
        <v>0</v>
      </c>
      <c r="J76" s="20" t="n">
        <v>0</v>
      </c>
      <c r="K76" s="18" t="n">
        <v>10.61707989</v>
      </c>
      <c r="L76" s="20" t="n">
        <v>1.08730523</v>
      </c>
      <c r="M76" s="18" t="n">
        <v>0</v>
      </c>
      <c r="N76" s="20" t="n">
        <v>0</v>
      </c>
      <c r="O76" s="18" t="n">
        <v>0</v>
      </c>
      <c r="P76" s="20" t="n">
        <v>0</v>
      </c>
      <c r="Q76" s="18" t="n">
        <v>3.64116802</v>
      </c>
      <c r="R76" s="20" t="n">
        <v>0.77373893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49.59615596</v>
      </c>
      <c r="F80" s="20" t="n">
        <v>1.36141365</v>
      </c>
      <c r="G80" s="18" t="n">
        <v>50.40384404</v>
      </c>
      <c r="H80" s="20" t="n">
        <v>1.36141365</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(1384.0/B81*100)</f>
        <v/>
      </c>
      <c r="D81" s="19" t="n">
        <v>273</v>
      </c>
      <c r="E81" s="18" t="n">
        <v>39.86572732</v>
      </c>
      <c r="F81" s="20" t="n">
        <v>3.11154095</v>
      </c>
      <c r="G81" s="18" t="n">
        <v>50.47891336</v>
      </c>
      <c r="H81" s="20" t="n">
        <v>3.56700197</v>
      </c>
      <c r="I81" s="18" t="n">
        <v>0</v>
      </c>
      <c r="J81" s="20" t="n">
        <v>0</v>
      </c>
      <c r="K81" s="18" t="n">
        <v>7.9100367</v>
      </c>
      <c r="L81" s="20" t="n">
        <v>1.61961665</v>
      </c>
      <c r="M81" s="18" t="n">
        <v>0</v>
      </c>
      <c r="N81" s="20" t="n">
        <v>0</v>
      </c>
      <c r="O81" s="18" t="n">
        <v>0</v>
      </c>
      <c r="P81" s="20" t="n">
        <v>0</v>
      </c>
      <c r="Q81" s="18" t="n">
        <v>1.74532263</v>
      </c>
      <c r="R81" s="20" t="n">
        <v>0.8073885200000001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(4340.0/B44*100)</f>
        <v/>
      </c>
      <c r="D44" s="19" t="n">
        <v>875</v>
      </c>
      <c r="E44" s="18" t="n">
        <v>81.25121145</v>
      </c>
      <c r="F44" s="20" t="n">
        <v>1.43511199</v>
      </c>
      <c r="G44" s="18" t="n">
        <v>8.831711930000001</v>
      </c>
      <c r="H44" s="20" t="n">
        <v>1.22780649</v>
      </c>
      <c r="I44" s="18" t="n">
        <v>0</v>
      </c>
      <c r="J44" s="20" t="n">
        <v>0</v>
      </c>
      <c r="K44" s="18" t="n">
        <v>9.82735212</v>
      </c>
      <c r="L44" s="20" t="n">
        <v>1.13016684</v>
      </c>
      <c r="M44" s="18" t="n">
        <v>0</v>
      </c>
      <c r="N44" s="20" t="n">
        <v>0</v>
      </c>
      <c r="O44" s="18" t="n">
        <v>0.08972450999999999</v>
      </c>
      <c r="P44" s="20" t="n">
        <v>0.09336641</v>
      </c>
      <c r="Q44" s="18" t="n">
        <v>0</v>
      </c>
      <c r="R44" s="20" t="n">
        <v>0</v>
      </c>
    </row>
    <row r="45" spans="1:18">
      <c r="A45" s="15" t="s">
        <v>468</v>
      </c>
      <c r="B45" s="17" t="n">
        <v>5519</v>
      </c>
      <c r="C45" s="18">
        <f>(4594.0/B45*100)</f>
        <v/>
      </c>
      <c r="D45" s="19" t="n">
        <v>925</v>
      </c>
      <c r="E45" s="18" t="n">
        <v>79.83527682</v>
      </c>
      <c r="F45" s="20" t="n">
        <v>1.50042811</v>
      </c>
      <c r="G45" s="18" t="n">
        <v>3.18119461</v>
      </c>
      <c r="H45" s="20" t="n">
        <v>0.71992551</v>
      </c>
      <c r="I45" s="18" t="n">
        <v>0</v>
      </c>
      <c r="J45" s="20" t="n">
        <v>0</v>
      </c>
      <c r="K45" s="18" t="n">
        <v>16.32305303</v>
      </c>
      <c r="L45" s="20" t="n">
        <v>1.42181402</v>
      </c>
      <c r="M45" s="18" t="n">
        <v>0.31095503</v>
      </c>
      <c r="N45" s="20" t="n">
        <v>0.18504822</v>
      </c>
      <c r="O45" s="18" t="n">
        <v>0.34952051</v>
      </c>
      <c r="P45" s="20" t="n">
        <v>0.19180907</v>
      </c>
      <c r="Q45" s="18" t="n">
        <v>0</v>
      </c>
      <c r="R45" s="20" t="n">
        <v>0</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81.26402903</v>
      </c>
      <c r="F54" s="20" t="n">
        <v>1.47500576</v>
      </c>
      <c r="G54" s="18" t="n">
        <v>10.01859797</v>
      </c>
      <c r="H54" s="20" t="n">
        <v>1.17913916</v>
      </c>
      <c r="I54" s="18" t="n">
        <v>0</v>
      </c>
      <c r="J54" s="20" t="n">
        <v>0</v>
      </c>
      <c r="K54" s="18" t="n">
        <v>8.611689869999999</v>
      </c>
      <c r="L54" s="20" t="n">
        <v>1.09179097</v>
      </c>
      <c r="M54" s="18" t="n">
        <v>0.10568313</v>
      </c>
      <c r="N54" s="20" t="n">
        <v>0.10509829</v>
      </c>
      <c r="O54" s="18" t="n">
        <v>0</v>
      </c>
      <c r="P54" s="20" t="n">
        <v>0</v>
      </c>
      <c r="Q54" s="18" t="n">
        <v>0</v>
      </c>
      <c r="R54" s="20" t="n">
        <v>0</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(5428.0/B56*100)</f>
        <v/>
      </c>
      <c r="D56" s="19" t="n">
        <v>1085</v>
      </c>
      <c r="E56" s="18" t="n">
        <v>93.15354196</v>
      </c>
      <c r="F56" s="20" t="n">
        <v>0.8157884399999999</v>
      </c>
      <c r="G56" s="18" t="n">
        <v>2.80065699</v>
      </c>
      <c r="H56" s="20" t="n">
        <v>0.51546155</v>
      </c>
      <c r="I56" s="18" t="n">
        <v>0</v>
      </c>
      <c r="J56" s="20" t="n">
        <v>0</v>
      </c>
      <c r="K56" s="18" t="n">
        <v>4.04580105</v>
      </c>
      <c r="L56" s="20" t="n">
        <v>0.70400957</v>
      </c>
      <c r="M56" s="18" t="n">
        <v>0</v>
      </c>
      <c r="N56" s="20" t="n">
        <v>0</v>
      </c>
      <c r="O56" s="18" t="n">
        <v>0</v>
      </c>
      <c r="P56" s="20" t="n">
        <v>0</v>
      </c>
      <c r="Q56" s="18" t="n">
        <v>0</v>
      </c>
      <c r="R56" s="20" t="n">
        <v>0</v>
      </c>
    </row>
    <row r="57" spans="1:18">
      <c r="A57" s="15" t="s">
        <v>480</v>
      </c>
      <c r="B57" s="17" t="n">
        <v>7267</v>
      </c>
      <c r="C57" s="18">
        <f>(6063.0/B57*100)</f>
        <v/>
      </c>
      <c r="D57" s="19" t="n">
        <v>1204</v>
      </c>
      <c r="E57" s="18" t="n">
        <v>92.04884392</v>
      </c>
      <c r="F57" s="20" t="n">
        <v>0.75416936</v>
      </c>
      <c r="G57" s="18" t="n">
        <v>2.61461275</v>
      </c>
      <c r="H57" s="20" t="n">
        <v>0.53374042</v>
      </c>
      <c r="I57" s="18" t="n">
        <v>0</v>
      </c>
      <c r="J57" s="20" t="n">
        <v>0</v>
      </c>
      <c r="K57" s="18" t="n">
        <v>5.33654333</v>
      </c>
      <c r="L57" s="20" t="n">
        <v>0.6852610099999999</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(4021.0/B59*100)</f>
        <v/>
      </c>
      <c r="D59" s="19" t="n">
        <v>805</v>
      </c>
      <c r="E59" s="18" t="n">
        <v>93.19588286</v>
      </c>
      <c r="F59" s="20" t="n">
        <v>1.19547159</v>
      </c>
      <c r="G59" s="18" t="n">
        <v>2.51508959</v>
      </c>
      <c r="H59" s="20" t="n">
        <v>0.71488091</v>
      </c>
      <c r="I59" s="18" t="n">
        <v>0</v>
      </c>
      <c r="J59" s="20" t="n">
        <v>0</v>
      </c>
      <c r="K59" s="18" t="n">
        <v>4.17509197</v>
      </c>
      <c r="L59" s="20" t="n">
        <v>0.82092075</v>
      </c>
      <c r="M59" s="18" t="n">
        <v>0</v>
      </c>
      <c r="N59" s="20" t="n">
        <v>0</v>
      </c>
      <c r="O59" s="18" t="n">
        <v>0.11393558</v>
      </c>
      <c r="P59" s="20" t="n">
        <v>0.11444923</v>
      </c>
      <c r="Q59" s="18" t="n">
        <v>0</v>
      </c>
      <c r="R59" s="20" t="n">
        <v>0</v>
      </c>
    </row>
    <row r="60" spans="1:18">
      <c r="A60" s="15" t="s">
        <v>484</v>
      </c>
      <c r="B60" s="17" t="n">
        <v>4546</v>
      </c>
      <c r="C60" s="18">
        <f>(3791.0/B60*100)</f>
        <v/>
      </c>
      <c r="D60" s="19" t="n">
        <v>755</v>
      </c>
      <c r="E60" s="18" t="n">
        <v>84.01830517</v>
      </c>
      <c r="F60" s="20" t="n">
        <v>1.39528165</v>
      </c>
      <c r="G60" s="18" t="n">
        <v>5.73332269</v>
      </c>
      <c r="H60" s="20" t="n">
        <v>0.83412396</v>
      </c>
      <c r="I60" s="18" t="n">
        <v>0</v>
      </c>
      <c r="J60" s="20" t="n">
        <v>0</v>
      </c>
      <c r="K60" s="18" t="n">
        <v>10.24837214</v>
      </c>
      <c r="L60" s="20" t="n">
        <v>1.14812331</v>
      </c>
      <c r="M60" s="18" t="n">
        <v>0</v>
      </c>
      <c r="N60" s="20" t="n">
        <v>0</v>
      </c>
      <c r="O60" s="18" t="n">
        <v>0</v>
      </c>
      <c r="P60" s="20" t="n">
        <v>0</v>
      </c>
      <c r="Q60" s="18" t="n">
        <v>0</v>
      </c>
      <c r="R60" s="20" t="n">
        <v>0</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(4440.0/B63*100)</f>
        <v/>
      </c>
      <c r="D63" s="19" t="n">
        <v>884</v>
      </c>
      <c r="E63" s="18" t="n">
        <v>78.62558254</v>
      </c>
      <c r="F63" s="20" t="n">
        <v>1.28052275</v>
      </c>
      <c r="G63" s="18" t="n">
        <v>14.32849486</v>
      </c>
      <c r="H63" s="20" t="n">
        <v>1.18568227</v>
      </c>
      <c r="I63" s="18" t="n">
        <v>0</v>
      </c>
      <c r="J63" s="20" t="n">
        <v>0</v>
      </c>
      <c r="K63" s="18" t="n">
        <v>7.0459226</v>
      </c>
      <c r="L63" s="20" t="n">
        <v>0.78460036</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(3009.0/B65*100)</f>
        <v/>
      </c>
      <c r="D65" s="19" t="n">
        <v>625</v>
      </c>
      <c r="E65" s="18" t="n">
        <v>79.62953607</v>
      </c>
      <c r="F65" s="20" t="n">
        <v>1.56209434</v>
      </c>
      <c r="G65" s="18" t="n">
        <v>16.14428341</v>
      </c>
      <c r="H65" s="20" t="n">
        <v>1.31972379</v>
      </c>
      <c r="I65" s="18" t="n">
        <v>0</v>
      </c>
      <c r="J65" s="20" t="n">
        <v>0</v>
      </c>
      <c r="K65" s="18" t="n">
        <v>4.22618052</v>
      </c>
      <c r="L65" s="20" t="n">
        <v>0.80470842</v>
      </c>
      <c r="M65" s="18" t="n">
        <v>0</v>
      </c>
      <c r="N65" s="20" t="n">
        <v>0</v>
      </c>
      <c r="O65" s="18" t="n">
        <v>0</v>
      </c>
      <c r="P65" s="20" t="n">
        <v>0</v>
      </c>
      <c r="Q65" s="18" t="n">
        <v>0</v>
      </c>
      <c r="R65" s="20" t="n">
        <v>0</v>
      </c>
    </row>
    <row r="66" spans="1:18">
      <c r="A66" s="15" t="s">
        <v>490</v>
      </c>
      <c r="B66" s="17" t="n">
        <v>5325</v>
      </c>
      <c r="C66" s="18">
        <f>(4425.0/B66*100)</f>
        <v/>
      </c>
      <c r="D66" s="19" t="n">
        <v>900</v>
      </c>
      <c r="E66" s="18" t="n">
        <v>80.42414189</v>
      </c>
      <c r="F66" s="20" t="n">
        <v>1.34798126</v>
      </c>
      <c r="G66" s="18" t="n">
        <v>6.94049628</v>
      </c>
      <c r="H66" s="20" t="n">
        <v>0.88091351</v>
      </c>
      <c r="I66" s="18" t="n">
        <v>0</v>
      </c>
      <c r="J66" s="20" t="n">
        <v>0</v>
      </c>
      <c r="K66" s="18" t="n">
        <v>12.63536183</v>
      </c>
      <c r="L66" s="20" t="n">
        <v>1.08940705</v>
      </c>
      <c r="M66" s="18" t="n">
        <v>0</v>
      </c>
      <c r="N66" s="20" t="n">
        <v>0</v>
      </c>
      <c r="O66" s="18" t="n">
        <v>0</v>
      </c>
      <c r="P66" s="20" t="n">
        <v>0</v>
      </c>
      <c r="Q66" s="18" t="n">
        <v>0</v>
      </c>
      <c r="R66" s="20" t="n">
        <v>0</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84.27329662</v>
      </c>
      <c r="F69" s="20" t="n">
        <v>3.26772313</v>
      </c>
      <c r="G69" s="18" t="n">
        <v>10.94151713</v>
      </c>
      <c r="H69" s="20" t="n">
        <v>2.41617433</v>
      </c>
      <c r="I69" s="18" t="n">
        <v>0</v>
      </c>
      <c r="J69" s="20" t="n">
        <v>0</v>
      </c>
      <c r="K69" s="18" t="n">
        <v>4.78518625</v>
      </c>
      <c r="L69" s="20" t="n">
        <v>1.49116556</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(4079.0/B71*100)</f>
        <v/>
      </c>
      <c r="D71" s="19" t="n">
        <v>797</v>
      </c>
      <c r="E71" s="18" t="n">
        <v>90.23236957</v>
      </c>
      <c r="F71" s="20" t="n">
        <v>0.9802661499999999</v>
      </c>
      <c r="G71" s="18" t="n">
        <v>9.52911252</v>
      </c>
      <c r="H71" s="20" t="n">
        <v>1.01726007</v>
      </c>
      <c r="I71" s="18" t="n">
        <v>0</v>
      </c>
      <c r="J71" s="20" t="n">
        <v>0</v>
      </c>
      <c r="K71" s="18" t="n">
        <v>0.23851792</v>
      </c>
      <c r="L71" s="20" t="n">
        <v>0.17109861</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(3901.0/B76*100)</f>
        <v/>
      </c>
      <c r="D76" s="19" t="n">
        <v>791</v>
      </c>
      <c r="E76" s="18" t="n">
        <v>76.38489785</v>
      </c>
      <c r="F76" s="20" t="n">
        <v>1.38440295</v>
      </c>
      <c r="G76" s="18" t="n">
        <v>12.07017286</v>
      </c>
      <c r="H76" s="20" t="n">
        <v>1.1140821</v>
      </c>
      <c r="I76" s="18" t="n">
        <v>0</v>
      </c>
      <c r="J76" s="20" t="n">
        <v>0</v>
      </c>
      <c r="K76" s="18" t="n">
        <v>11.54492929</v>
      </c>
      <c r="L76" s="20" t="n">
        <v>1.03059165</v>
      </c>
      <c r="M76" s="18" t="n">
        <v>0</v>
      </c>
      <c r="N76" s="20" t="n">
        <v>0</v>
      </c>
      <c r="O76" s="18" t="n">
        <v>0</v>
      </c>
      <c r="P76" s="20" t="n">
        <v>0</v>
      </c>
      <c r="Q76" s="18" t="n">
        <v>0</v>
      </c>
      <c r="R76" s="20" t="n">
        <v>0</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(4846.0/B80*100)</f>
        <v/>
      </c>
      <c r="D80" s="19" t="n">
        <v>980</v>
      </c>
      <c r="E80" s="18" t="n">
        <v>53.18923844</v>
      </c>
      <c r="F80" s="20" t="n">
        <v>1.67919375</v>
      </c>
      <c r="G80" s="18" t="n">
        <v>46.81076156</v>
      </c>
      <c r="H80" s="20" t="n">
        <v>1.67919375</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(1384.0/B81*100)</f>
        <v/>
      </c>
      <c r="D81" s="19" t="n">
        <v>273</v>
      </c>
      <c r="E81" s="18" t="n">
        <v>75.44058022</v>
      </c>
      <c r="F81" s="20" t="n">
        <v>2.85083175</v>
      </c>
      <c r="G81" s="18" t="n">
        <v>16.29663432</v>
      </c>
      <c r="H81" s="20" t="n">
        <v>2.55012131</v>
      </c>
      <c r="I81" s="18" t="n">
        <v>0</v>
      </c>
      <c r="J81" s="20" t="n">
        <v>0</v>
      </c>
      <c r="K81" s="18" t="n">
        <v>8.262785470000001</v>
      </c>
      <c r="L81" s="20" t="n">
        <v>1.66294279</v>
      </c>
      <c r="M81" s="18" t="n">
        <v>0</v>
      </c>
      <c r="N81" s="20" t="n">
        <v>0</v>
      </c>
      <c r="O81" s="18" t="n">
        <v>0</v>
      </c>
      <c r="P81" s="20" t="n">
        <v>0</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698</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38.86663174</v>
      </c>
      <c r="F54" s="20" t="n">
        <v>1.56122251</v>
      </c>
      <c r="G54" s="18" t="n">
        <v>52.71325313</v>
      </c>
      <c r="H54" s="20" t="n">
        <v>1.61746835</v>
      </c>
      <c r="I54" s="18" t="n">
        <v>0</v>
      </c>
      <c r="J54" s="20" t="n">
        <v>0</v>
      </c>
      <c r="K54" s="18" t="n">
        <v>0.93482458</v>
      </c>
      <c r="L54" s="20" t="n">
        <v>0.3484784</v>
      </c>
      <c r="M54" s="18" t="n">
        <v>0</v>
      </c>
      <c r="N54" s="20" t="n">
        <v>0</v>
      </c>
      <c r="O54" s="18" t="n">
        <v>0.5321867</v>
      </c>
      <c r="P54" s="20" t="n">
        <v>0.28248183</v>
      </c>
      <c r="Q54" s="18" t="n">
        <v>6.95310384</v>
      </c>
      <c r="R54" s="20" t="n">
        <v>0.92828903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83.61935481</v>
      </c>
      <c r="F56" s="20" t="n">
        <v>1.176115</v>
      </c>
      <c r="G56" s="18" t="n">
        <v>13.99750589</v>
      </c>
      <c r="H56" s="20" t="n">
        <v>1.06215156</v>
      </c>
      <c r="I56" s="18" t="n">
        <v>0</v>
      </c>
      <c r="J56" s="20" t="n">
        <v>0</v>
      </c>
      <c r="K56" s="18" t="n">
        <v>0.28022486</v>
      </c>
      <c r="L56" s="20" t="n">
        <v>0.20156431</v>
      </c>
      <c r="M56" s="18" t="n">
        <v>0</v>
      </c>
      <c r="N56" s="20" t="n">
        <v>0</v>
      </c>
      <c r="O56" s="18" t="n">
        <v>0</v>
      </c>
      <c r="P56" s="20" t="n">
        <v>0</v>
      </c>
      <c r="Q56" s="18" t="n">
        <v>2.10291444</v>
      </c>
      <c r="R56" s="20" t="n">
        <v>0.44954241</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41.74285952</v>
      </c>
      <c r="F65" s="20" t="n">
        <v>1.85361751</v>
      </c>
      <c r="G65" s="18" t="n">
        <v>52.56610155</v>
      </c>
      <c r="H65" s="20" t="n">
        <v>1.83828827</v>
      </c>
      <c r="I65" s="18" t="n">
        <v>0</v>
      </c>
      <c r="J65" s="20" t="n">
        <v>0</v>
      </c>
      <c r="K65" s="18" t="n">
        <v>3.22639193</v>
      </c>
      <c r="L65" s="20" t="n">
        <v>0.80483773</v>
      </c>
      <c r="M65" s="18" t="n">
        <v>0</v>
      </c>
      <c r="N65" s="20" t="n">
        <v>0</v>
      </c>
      <c r="O65" s="18" t="n">
        <v>0.13585146</v>
      </c>
      <c r="P65" s="20" t="n">
        <v>0.13589478</v>
      </c>
      <c r="Q65" s="18" t="n">
        <v>2.32879555</v>
      </c>
      <c r="R65" s="20" t="n">
        <v>0.49709445</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699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23.75324988</v>
      </c>
      <c r="F54" s="20" t="n">
        <v>1.5960304</v>
      </c>
      <c r="G54" s="18" t="n">
        <v>64.09141941999999</v>
      </c>
      <c r="H54" s="20" t="n">
        <v>1.6500529</v>
      </c>
      <c r="I54" s="18" t="n">
        <v>0</v>
      </c>
      <c r="J54" s="20" t="n">
        <v>0</v>
      </c>
      <c r="K54" s="18" t="n">
        <v>0.93482458</v>
      </c>
      <c r="L54" s="20" t="n">
        <v>0.3484784</v>
      </c>
      <c r="M54" s="18" t="n">
        <v>0</v>
      </c>
      <c r="N54" s="20" t="n">
        <v>0</v>
      </c>
      <c r="O54" s="18" t="n">
        <v>0.31745737</v>
      </c>
      <c r="P54" s="20" t="n">
        <v>0.18682048</v>
      </c>
      <c r="Q54" s="18" t="n">
        <v>10.90304875</v>
      </c>
      <c r="R54" s="20" t="n">
        <v>1.16892042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27.65715199</v>
      </c>
      <c r="F56" s="20" t="n">
        <v>1.64422924</v>
      </c>
      <c r="G56" s="18" t="n">
        <v>70.00464426000001</v>
      </c>
      <c r="H56" s="20" t="n">
        <v>1.77291082</v>
      </c>
      <c r="I56" s="18" t="n">
        <v>0</v>
      </c>
      <c r="J56" s="20" t="n">
        <v>0</v>
      </c>
      <c r="K56" s="18" t="n">
        <v>0.40838542</v>
      </c>
      <c r="L56" s="20" t="n">
        <v>0.1765469</v>
      </c>
      <c r="M56" s="18" t="n">
        <v>0</v>
      </c>
      <c r="N56" s="20" t="n">
        <v>0</v>
      </c>
      <c r="O56" s="18" t="n">
        <v>0</v>
      </c>
      <c r="P56" s="20" t="n">
        <v>0</v>
      </c>
      <c r="Q56" s="18" t="n">
        <v>1.92981833</v>
      </c>
      <c r="R56" s="20" t="n">
        <v>0.54959241</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18.8809383</v>
      </c>
      <c r="F65" s="20" t="n">
        <v>1.91728137</v>
      </c>
      <c r="G65" s="18" t="n">
        <v>69.72271264</v>
      </c>
      <c r="H65" s="20" t="n">
        <v>2.00463573</v>
      </c>
      <c r="I65" s="18" t="n">
        <v>0</v>
      </c>
      <c r="J65" s="20" t="n">
        <v>0</v>
      </c>
      <c r="K65" s="18" t="n">
        <v>3.22639193</v>
      </c>
      <c r="L65" s="20" t="n">
        <v>0.80483773</v>
      </c>
      <c r="M65" s="18" t="n">
        <v>0</v>
      </c>
      <c r="N65" s="20" t="n">
        <v>0</v>
      </c>
      <c r="O65" s="18" t="n">
        <v>0</v>
      </c>
      <c r="P65" s="20" t="n">
        <v>0</v>
      </c>
      <c r="Q65" s="18" t="n">
        <v>8.16995713</v>
      </c>
      <c r="R65" s="20" t="n">
        <v>1.05716061</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700</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29.61688096</v>
      </c>
      <c r="F54" s="20" t="n">
        <v>1.53350105</v>
      </c>
      <c r="G54" s="18" t="n">
        <v>57.71110274</v>
      </c>
      <c r="H54" s="20" t="n">
        <v>1.66414122</v>
      </c>
      <c r="I54" s="18" t="n">
        <v>0</v>
      </c>
      <c r="J54" s="20" t="n">
        <v>0</v>
      </c>
      <c r="K54" s="18" t="n">
        <v>0.93482458</v>
      </c>
      <c r="L54" s="20" t="n">
        <v>0.3484784</v>
      </c>
      <c r="M54" s="18" t="n">
        <v>0</v>
      </c>
      <c r="N54" s="20" t="n">
        <v>0</v>
      </c>
      <c r="O54" s="18" t="n">
        <v>0.09406904000000001</v>
      </c>
      <c r="P54" s="20" t="n">
        <v>0.09178569</v>
      </c>
      <c r="Q54" s="18" t="n">
        <v>11.64312267</v>
      </c>
      <c r="R54" s="20" t="n">
        <v>1.04828359</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33.56320398</v>
      </c>
      <c r="F56" s="20" t="n">
        <v>1.54847674</v>
      </c>
      <c r="G56" s="18" t="n">
        <v>63.91112319</v>
      </c>
      <c r="H56" s="20" t="n">
        <v>1.64186845</v>
      </c>
      <c r="I56" s="18" t="n">
        <v>0</v>
      </c>
      <c r="J56" s="20" t="n">
        <v>0</v>
      </c>
      <c r="K56" s="18" t="n">
        <v>0.40838542</v>
      </c>
      <c r="L56" s="20" t="n">
        <v>0.1765469</v>
      </c>
      <c r="M56" s="18" t="n">
        <v>0</v>
      </c>
      <c r="N56" s="20" t="n">
        <v>0</v>
      </c>
      <c r="O56" s="18" t="n">
        <v>0</v>
      </c>
      <c r="P56" s="20" t="n">
        <v>0</v>
      </c>
      <c r="Q56" s="18" t="n">
        <v>2.11728741</v>
      </c>
      <c r="R56" s="20" t="n">
        <v>0.53803959</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23.53846826</v>
      </c>
      <c r="F65" s="20" t="n">
        <v>1.49626151</v>
      </c>
      <c r="G65" s="18" t="n">
        <v>63.39165577</v>
      </c>
      <c r="H65" s="20" t="n">
        <v>1.68741585</v>
      </c>
      <c r="I65" s="18" t="n">
        <v>0</v>
      </c>
      <c r="J65" s="20" t="n">
        <v>0</v>
      </c>
      <c r="K65" s="18" t="n">
        <v>3.22639193</v>
      </c>
      <c r="L65" s="20" t="n">
        <v>0.80483773</v>
      </c>
      <c r="M65" s="18" t="n">
        <v>0</v>
      </c>
      <c r="N65" s="20" t="n">
        <v>0</v>
      </c>
      <c r="O65" s="18" t="n">
        <v>0</v>
      </c>
      <c r="P65" s="20" t="n">
        <v>0</v>
      </c>
      <c r="Q65" s="18" t="n">
        <v>9.84348404</v>
      </c>
      <c r="R65" s="20" t="n">
        <v>1.29337091</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30.32262252</v>
      </c>
      <c r="F54" s="20" t="n">
        <v>1.51663842</v>
      </c>
      <c r="G54" s="18" t="n">
        <v>65.91134354</v>
      </c>
      <c r="H54" s="20" t="n">
        <v>1.67281355</v>
      </c>
      <c r="I54" s="18" t="n">
        <v>0</v>
      </c>
      <c r="J54" s="20" t="n">
        <v>0</v>
      </c>
      <c r="K54" s="18" t="n">
        <v>0.93482458</v>
      </c>
      <c r="L54" s="20" t="n">
        <v>0.3484784</v>
      </c>
      <c r="M54" s="18" t="n">
        <v>0</v>
      </c>
      <c r="N54" s="20" t="n">
        <v>0</v>
      </c>
      <c r="O54" s="18" t="n">
        <v>0.10361849</v>
      </c>
      <c r="P54" s="20" t="n">
        <v>0.10363185</v>
      </c>
      <c r="Q54" s="18" t="n">
        <v>2.72759086</v>
      </c>
      <c r="R54" s="20" t="n">
        <v>0.62329843</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35.48078226</v>
      </c>
      <c r="F56" s="20" t="n">
        <v>1.50122149</v>
      </c>
      <c r="G56" s="18" t="n">
        <v>62.35053575</v>
      </c>
      <c r="H56" s="20" t="n">
        <v>1.49470322</v>
      </c>
      <c r="I56" s="18" t="n">
        <v>0</v>
      </c>
      <c r="J56" s="20" t="n">
        <v>0</v>
      </c>
      <c r="K56" s="18" t="n">
        <v>0.45081988</v>
      </c>
      <c r="L56" s="20" t="n">
        <v>0.18141059</v>
      </c>
      <c r="M56" s="18" t="n">
        <v>0</v>
      </c>
      <c r="N56" s="20" t="n">
        <v>0</v>
      </c>
      <c r="O56" s="18" t="n">
        <v>0</v>
      </c>
      <c r="P56" s="20" t="n">
        <v>0</v>
      </c>
      <c r="Q56" s="18" t="n">
        <v>1.71786211</v>
      </c>
      <c r="R56" s="20" t="n">
        <v>0.43468533</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38.0363767</v>
      </c>
      <c r="F65" s="20" t="n">
        <v>1.99280618</v>
      </c>
      <c r="G65" s="18" t="n">
        <v>55.49916301</v>
      </c>
      <c r="H65" s="20" t="n">
        <v>2.16529696</v>
      </c>
      <c r="I65" s="18" t="n">
        <v>0</v>
      </c>
      <c r="J65" s="20" t="n">
        <v>0</v>
      </c>
      <c r="K65" s="18" t="n">
        <v>3.22639193</v>
      </c>
      <c r="L65" s="20" t="n">
        <v>0.80483773</v>
      </c>
      <c r="M65" s="18" t="n">
        <v>0</v>
      </c>
      <c r="N65" s="20" t="n">
        <v>0</v>
      </c>
      <c r="O65" s="18" t="n">
        <v>0</v>
      </c>
      <c r="P65" s="20" t="n">
        <v>0</v>
      </c>
      <c r="Q65" s="18" t="n">
        <v>3.23806836</v>
      </c>
      <c r="R65" s="20" t="n">
        <v>0.6824303900000001</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702</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12.36324688</v>
      </c>
      <c r="F54" s="20" t="n">
        <v>1.21794156</v>
      </c>
      <c r="G54" s="18" t="n">
        <v>66.4215318</v>
      </c>
      <c r="H54" s="20" t="n">
        <v>1.55178383</v>
      </c>
      <c r="I54" s="18" t="n">
        <v>0</v>
      </c>
      <c r="J54" s="20" t="n">
        <v>0</v>
      </c>
      <c r="K54" s="18" t="n">
        <v>1.64245224</v>
      </c>
      <c r="L54" s="20" t="n">
        <v>0.46116131</v>
      </c>
      <c r="M54" s="18" t="n">
        <v>0</v>
      </c>
      <c r="N54" s="20" t="n">
        <v>0</v>
      </c>
      <c r="O54" s="18" t="n">
        <v>0.29635434</v>
      </c>
      <c r="P54" s="20" t="n">
        <v>0.17084148</v>
      </c>
      <c r="Q54" s="18" t="n">
        <v>19.27641474</v>
      </c>
      <c r="R54" s="20" t="n">
        <v>1.5175229</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23.12160563</v>
      </c>
      <c r="F56" s="20" t="n">
        <v>1.46084638</v>
      </c>
      <c r="G56" s="18" t="n">
        <v>71.16254978000001</v>
      </c>
      <c r="H56" s="20" t="n">
        <v>1.6296934</v>
      </c>
      <c r="I56" s="18" t="n">
        <v>0</v>
      </c>
      <c r="J56" s="20" t="n">
        <v>0</v>
      </c>
      <c r="K56" s="18" t="n">
        <v>0.7331592</v>
      </c>
      <c r="L56" s="20" t="n">
        <v>0.36298086</v>
      </c>
      <c r="M56" s="18" t="n">
        <v>0</v>
      </c>
      <c r="N56" s="20" t="n">
        <v>0</v>
      </c>
      <c r="O56" s="18" t="n">
        <v>0</v>
      </c>
      <c r="P56" s="20" t="n">
        <v>0</v>
      </c>
      <c r="Q56" s="18" t="n">
        <v>4.98268538</v>
      </c>
      <c r="R56" s="20" t="n">
        <v>0.76887586</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17.53450094</v>
      </c>
      <c r="F65" s="20" t="n">
        <v>1.5362076</v>
      </c>
      <c r="G65" s="18" t="n">
        <v>60.92976247</v>
      </c>
      <c r="H65" s="20" t="n">
        <v>1.90049306</v>
      </c>
      <c r="I65" s="18" t="n">
        <v>0</v>
      </c>
      <c r="J65" s="20" t="n">
        <v>0</v>
      </c>
      <c r="K65" s="18" t="n">
        <v>4.20568666</v>
      </c>
      <c r="L65" s="20" t="n">
        <v>0.91518259</v>
      </c>
      <c r="M65" s="18" t="n">
        <v>0</v>
      </c>
      <c r="N65" s="20" t="n">
        <v>0</v>
      </c>
      <c r="O65" s="18" t="n">
        <v>0</v>
      </c>
      <c r="P65" s="20" t="n">
        <v>0</v>
      </c>
      <c r="Q65" s="18" t="n">
        <v>17.33004993</v>
      </c>
      <c r="R65" s="20" t="n">
        <v>1.3539287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13.1409438</v>
      </c>
      <c r="F54" s="20" t="n">
        <v>1.1545139</v>
      </c>
      <c r="G54" s="18" t="n">
        <v>54.65896349</v>
      </c>
      <c r="H54" s="20" t="n">
        <v>1.73499709</v>
      </c>
      <c r="I54" s="18" t="n">
        <v>0</v>
      </c>
      <c r="J54" s="20" t="n">
        <v>0</v>
      </c>
      <c r="K54" s="18" t="n">
        <v>1.64245224</v>
      </c>
      <c r="L54" s="20" t="n">
        <v>0.46116131</v>
      </c>
      <c r="M54" s="18" t="n">
        <v>0</v>
      </c>
      <c r="N54" s="20" t="n">
        <v>0</v>
      </c>
      <c r="O54" s="18" t="n">
        <v>0.20006572</v>
      </c>
      <c r="P54" s="20" t="n">
        <v>0.14279227</v>
      </c>
      <c r="Q54" s="18" t="n">
        <v>30.35757475</v>
      </c>
      <c r="R54" s="20" t="n">
        <v>1.50268542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48.19555053</v>
      </c>
      <c r="F56" s="20" t="n">
        <v>1.75846598</v>
      </c>
      <c r="G56" s="18" t="n">
        <v>42.07591974</v>
      </c>
      <c r="H56" s="20" t="n">
        <v>1.8165494</v>
      </c>
      <c r="I56" s="18" t="n">
        <v>0</v>
      </c>
      <c r="J56" s="20" t="n">
        <v>0</v>
      </c>
      <c r="K56" s="18" t="n">
        <v>0.94035384</v>
      </c>
      <c r="L56" s="20" t="n">
        <v>0.42188941</v>
      </c>
      <c r="M56" s="18" t="n">
        <v>0</v>
      </c>
      <c r="N56" s="20" t="n">
        <v>0</v>
      </c>
      <c r="O56" s="18" t="n">
        <v>0</v>
      </c>
      <c r="P56" s="20" t="n">
        <v>0</v>
      </c>
      <c r="Q56" s="18" t="n">
        <v>8.78817589</v>
      </c>
      <c r="R56" s="20" t="n">
        <v>1.17313594</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14.64181996</v>
      </c>
      <c r="F65" s="20" t="n">
        <v>1.44893567</v>
      </c>
      <c r="G65" s="18" t="n">
        <v>56.29390218</v>
      </c>
      <c r="H65" s="20" t="n">
        <v>2.12160913</v>
      </c>
      <c r="I65" s="18" t="n">
        <v>0</v>
      </c>
      <c r="J65" s="20" t="n">
        <v>0</v>
      </c>
      <c r="K65" s="18" t="n">
        <v>4.38184524</v>
      </c>
      <c r="L65" s="20" t="n">
        <v>0.96159145</v>
      </c>
      <c r="M65" s="18" t="n">
        <v>0</v>
      </c>
      <c r="N65" s="20" t="n">
        <v>0</v>
      </c>
      <c r="O65" s="18" t="n">
        <v>0</v>
      </c>
      <c r="P65" s="20" t="n">
        <v>0</v>
      </c>
      <c r="Q65" s="18" t="n">
        <v>24.68243262</v>
      </c>
      <c r="R65" s="20" t="n">
        <v>1.80801136</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704</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40.59414585</v>
      </c>
      <c r="F54" s="20" t="n">
        <v>1.82897697</v>
      </c>
      <c r="G54" s="18" t="n">
        <v>18.8145177</v>
      </c>
      <c r="H54" s="20" t="n">
        <v>1.48953646</v>
      </c>
      <c r="I54" s="18" t="n">
        <v>0</v>
      </c>
      <c r="J54" s="20" t="n">
        <v>0</v>
      </c>
      <c r="K54" s="18" t="n">
        <v>2.02093002</v>
      </c>
      <c r="L54" s="20" t="n">
        <v>0.53194002</v>
      </c>
      <c r="M54" s="18" t="n">
        <v>0</v>
      </c>
      <c r="N54" s="20" t="n">
        <v>0</v>
      </c>
      <c r="O54" s="18" t="n">
        <v>0.45690306</v>
      </c>
      <c r="P54" s="20" t="n">
        <v>0.24389646</v>
      </c>
      <c r="Q54" s="18" t="n">
        <v>38.11350336</v>
      </c>
      <c r="R54" s="20" t="n">
        <v>1.95625822</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67.13362097</v>
      </c>
      <c r="F56" s="20" t="n">
        <v>1.55808552</v>
      </c>
      <c r="G56" s="18" t="n">
        <v>21.00493504</v>
      </c>
      <c r="H56" s="20" t="n">
        <v>1.27506059</v>
      </c>
      <c r="I56" s="18" t="n">
        <v>0</v>
      </c>
      <c r="J56" s="20" t="n">
        <v>0</v>
      </c>
      <c r="K56" s="18" t="n">
        <v>0.94035384</v>
      </c>
      <c r="L56" s="20" t="n">
        <v>0.42188941</v>
      </c>
      <c r="M56" s="18" t="n">
        <v>0</v>
      </c>
      <c r="N56" s="20" t="n">
        <v>0</v>
      </c>
      <c r="O56" s="18" t="n">
        <v>0</v>
      </c>
      <c r="P56" s="20" t="n">
        <v>0</v>
      </c>
      <c r="Q56" s="18" t="n">
        <v>10.92109015</v>
      </c>
      <c r="R56" s="20" t="n">
        <v>1.26665898</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49.95259667</v>
      </c>
      <c r="F65" s="20" t="n">
        <v>2.08034913</v>
      </c>
      <c r="G65" s="18" t="n">
        <v>22.92461667</v>
      </c>
      <c r="H65" s="20" t="n">
        <v>1.53491858</v>
      </c>
      <c r="I65" s="18" t="n">
        <v>0</v>
      </c>
      <c r="J65" s="20" t="n">
        <v>0</v>
      </c>
      <c r="K65" s="18" t="n">
        <v>4.38184524</v>
      </c>
      <c r="L65" s="20" t="n">
        <v>0.96159145</v>
      </c>
      <c r="M65" s="18" t="n">
        <v>0</v>
      </c>
      <c r="N65" s="20" t="n">
        <v>0</v>
      </c>
      <c r="O65" s="18" t="n">
        <v>0</v>
      </c>
      <c r="P65" s="20" t="n">
        <v>0</v>
      </c>
      <c r="Q65" s="18" t="n">
        <v>22.74094142</v>
      </c>
      <c r="R65" s="20" t="n">
        <v>1.64865649</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31.10334832</v>
      </c>
      <c r="F54" s="20" t="n">
        <v>1.67831019</v>
      </c>
      <c r="G54" s="18" t="n">
        <v>11.17947646</v>
      </c>
      <c r="H54" s="20" t="n">
        <v>1.24477747</v>
      </c>
      <c r="I54" s="18" t="n">
        <v>0</v>
      </c>
      <c r="J54" s="20" t="n">
        <v>0</v>
      </c>
      <c r="K54" s="18" t="n">
        <v>2.12766135</v>
      </c>
      <c r="L54" s="20" t="n">
        <v>0.54230847</v>
      </c>
      <c r="M54" s="18" t="n">
        <v>0.10887346</v>
      </c>
      <c r="N54" s="20" t="n">
        <v>0.10911622</v>
      </c>
      <c r="O54" s="18" t="n">
        <v>0.14510229</v>
      </c>
      <c r="P54" s="20" t="n">
        <v>0.17307957</v>
      </c>
      <c r="Q54" s="18" t="n">
        <v>55.33553813</v>
      </c>
      <c r="R54" s="20" t="n">
        <v>2.23591415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49.56691292</v>
      </c>
      <c r="F56" s="20" t="n">
        <v>1.99713455</v>
      </c>
      <c r="G56" s="18" t="n">
        <v>31.97941898</v>
      </c>
      <c r="H56" s="20" t="n">
        <v>1.52979452</v>
      </c>
      <c r="I56" s="18" t="n">
        <v>0</v>
      </c>
      <c r="J56" s="20" t="n">
        <v>0</v>
      </c>
      <c r="K56" s="18" t="n">
        <v>0.94035384</v>
      </c>
      <c r="L56" s="20" t="n">
        <v>0.42188941</v>
      </c>
      <c r="M56" s="18" t="n">
        <v>0</v>
      </c>
      <c r="N56" s="20" t="n">
        <v>0</v>
      </c>
      <c r="O56" s="18" t="n">
        <v>0</v>
      </c>
      <c r="P56" s="20" t="n">
        <v>0</v>
      </c>
      <c r="Q56" s="18" t="n">
        <v>17.51331425</v>
      </c>
      <c r="R56" s="20" t="n">
        <v>1.62257797</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30.10914401</v>
      </c>
      <c r="F65" s="20" t="n">
        <v>1.76943053</v>
      </c>
      <c r="G65" s="18" t="n">
        <v>18.55897715</v>
      </c>
      <c r="H65" s="20" t="n">
        <v>1.67603288</v>
      </c>
      <c r="I65" s="18" t="n">
        <v>0</v>
      </c>
      <c r="J65" s="20" t="n">
        <v>0</v>
      </c>
      <c r="K65" s="18" t="n">
        <v>4.38184524</v>
      </c>
      <c r="L65" s="20" t="n">
        <v>0.96159145</v>
      </c>
      <c r="M65" s="18" t="n">
        <v>0</v>
      </c>
      <c r="N65" s="20" t="n">
        <v>0</v>
      </c>
      <c r="O65" s="18" t="n">
        <v>0</v>
      </c>
      <c r="P65" s="20" t="n">
        <v>0</v>
      </c>
      <c r="Q65" s="18" t="n">
        <v>46.9500336</v>
      </c>
      <c r="R65" s="20" t="n">
        <v>2.11953462</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57.07665346</v>
      </c>
      <c r="F54" s="20" t="n">
        <v>1.76660486</v>
      </c>
      <c r="G54" s="18" t="n">
        <v>32.87252342</v>
      </c>
      <c r="H54" s="20" t="n">
        <v>1.6857471</v>
      </c>
      <c r="I54" s="18" t="n">
        <v>0</v>
      </c>
      <c r="J54" s="20" t="n">
        <v>0</v>
      </c>
      <c r="K54" s="18" t="n">
        <v>2.22427849</v>
      </c>
      <c r="L54" s="20" t="n">
        <v>0.55113735</v>
      </c>
      <c r="M54" s="18" t="n">
        <v>0.10887346</v>
      </c>
      <c r="N54" s="20" t="n">
        <v>0.10911622</v>
      </c>
      <c r="O54" s="18" t="n">
        <v>1.17787561</v>
      </c>
      <c r="P54" s="20" t="n">
        <v>0.37685554</v>
      </c>
      <c r="Q54" s="18" t="n">
        <v>6.53979557</v>
      </c>
      <c r="R54" s="20" t="n">
        <v>0.74675479</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90.51142059999999</v>
      </c>
      <c r="F56" s="20" t="n">
        <v>0.84674057</v>
      </c>
      <c r="G56" s="18" t="n">
        <v>5.59885786</v>
      </c>
      <c r="H56" s="20" t="n">
        <v>0.72958871</v>
      </c>
      <c r="I56" s="18" t="n">
        <v>0</v>
      </c>
      <c r="J56" s="20" t="n">
        <v>0</v>
      </c>
      <c r="K56" s="18" t="n">
        <v>0.94035384</v>
      </c>
      <c r="L56" s="20" t="n">
        <v>0.42188941</v>
      </c>
      <c r="M56" s="18" t="n">
        <v>0</v>
      </c>
      <c r="N56" s="20" t="n">
        <v>0</v>
      </c>
      <c r="O56" s="18" t="n">
        <v>0</v>
      </c>
      <c r="P56" s="20" t="n">
        <v>0</v>
      </c>
      <c r="Q56" s="18" t="n">
        <v>2.9493677</v>
      </c>
      <c r="R56" s="20" t="n">
        <v>0.62374522</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67.33294153</v>
      </c>
      <c r="F65" s="20" t="n">
        <v>1.94239836</v>
      </c>
      <c r="G65" s="18" t="n">
        <v>21.19556454</v>
      </c>
      <c r="H65" s="20" t="n">
        <v>1.49478357</v>
      </c>
      <c r="I65" s="18" t="n">
        <v>0</v>
      </c>
      <c r="J65" s="20" t="n">
        <v>0</v>
      </c>
      <c r="K65" s="18" t="n">
        <v>4.38184524</v>
      </c>
      <c r="L65" s="20" t="n">
        <v>0.96159145</v>
      </c>
      <c r="M65" s="18" t="n">
        <v>0</v>
      </c>
      <c r="N65" s="20" t="n">
        <v>0</v>
      </c>
      <c r="O65" s="18" t="n">
        <v>0.2166953</v>
      </c>
      <c r="P65" s="20" t="n">
        <v>0.21571067</v>
      </c>
      <c r="Q65" s="18" t="n">
        <v>6.87295339</v>
      </c>
      <c r="R65" s="20" t="n">
        <v>1.10710409</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38.52414473</v>
      </c>
      <c r="F54" s="20" t="n">
        <v>2.0683123</v>
      </c>
      <c r="G54" s="18" t="n">
        <v>43.97419215</v>
      </c>
      <c r="H54" s="20" t="n">
        <v>1.87138011</v>
      </c>
      <c r="I54" s="18" t="n">
        <v>0</v>
      </c>
      <c r="J54" s="20" t="n">
        <v>0</v>
      </c>
      <c r="K54" s="18" t="n">
        <v>3.3508343</v>
      </c>
      <c r="L54" s="20" t="n">
        <v>0.61727129</v>
      </c>
      <c r="M54" s="18" t="n">
        <v>0.10887346</v>
      </c>
      <c r="N54" s="20" t="n">
        <v>0.10911622</v>
      </c>
      <c r="O54" s="18" t="n">
        <v>0.32512149</v>
      </c>
      <c r="P54" s="20" t="n">
        <v>0.1854543</v>
      </c>
      <c r="Q54" s="18" t="n">
        <v>13.71683388</v>
      </c>
      <c r="R54" s="20" t="n">
        <v>1.31275538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32.67440016</v>
      </c>
      <c r="F56" s="20" t="n">
        <v>1.68323898</v>
      </c>
      <c r="G56" s="18" t="n">
        <v>63.553065</v>
      </c>
      <c r="H56" s="20" t="n">
        <v>1.81387416</v>
      </c>
      <c r="I56" s="18" t="n">
        <v>0</v>
      </c>
      <c r="J56" s="20" t="n">
        <v>0</v>
      </c>
      <c r="K56" s="18" t="n">
        <v>1.3631532</v>
      </c>
      <c r="L56" s="20" t="n">
        <v>0.46017004</v>
      </c>
      <c r="M56" s="18" t="n">
        <v>0</v>
      </c>
      <c r="N56" s="20" t="n">
        <v>0</v>
      </c>
      <c r="O56" s="18" t="n">
        <v>0</v>
      </c>
      <c r="P56" s="20" t="n">
        <v>0</v>
      </c>
      <c r="Q56" s="18" t="n">
        <v>2.40938164</v>
      </c>
      <c r="R56" s="20" t="n">
        <v>0.56535849</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38.68376051</v>
      </c>
      <c r="F65" s="20" t="n">
        <v>1.95948574</v>
      </c>
      <c r="G65" s="18" t="n">
        <v>47.840923</v>
      </c>
      <c r="H65" s="20" t="n">
        <v>1.73212872</v>
      </c>
      <c r="I65" s="18" t="n">
        <v>0</v>
      </c>
      <c r="J65" s="20" t="n">
        <v>0</v>
      </c>
      <c r="K65" s="18" t="n">
        <v>4.53557203</v>
      </c>
      <c r="L65" s="20" t="n">
        <v>0.97809148</v>
      </c>
      <c r="M65" s="18" t="n">
        <v>0</v>
      </c>
      <c r="N65" s="20" t="n">
        <v>0</v>
      </c>
      <c r="O65" s="18" t="n">
        <v>0</v>
      </c>
      <c r="P65" s="20" t="n">
        <v>0</v>
      </c>
      <c r="Q65" s="18" t="n">
        <v>8.93974446</v>
      </c>
      <c r="R65" s="20" t="n">
        <v>1.11830824</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31.63968392</v>
      </c>
      <c r="F54" s="20" t="n">
        <v>1.47706385</v>
      </c>
      <c r="G54" s="18" t="n">
        <v>49.42965995</v>
      </c>
      <c r="H54" s="20" t="n">
        <v>1.49943647</v>
      </c>
      <c r="I54" s="18" t="n">
        <v>0</v>
      </c>
      <c r="J54" s="20" t="n">
        <v>0</v>
      </c>
      <c r="K54" s="18" t="n">
        <v>3.65388842</v>
      </c>
      <c r="L54" s="20" t="n">
        <v>0.69145949</v>
      </c>
      <c r="M54" s="18" t="n">
        <v>0.10887346</v>
      </c>
      <c r="N54" s="20" t="n">
        <v>0.10911622</v>
      </c>
      <c r="O54" s="18" t="n">
        <v>0.20321015</v>
      </c>
      <c r="P54" s="20" t="n">
        <v>0.14232853</v>
      </c>
      <c r="Q54" s="18" t="n">
        <v>14.9646841</v>
      </c>
      <c r="R54" s="20" t="n">
        <v>1.25414078</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36.33110235</v>
      </c>
      <c r="F56" s="20" t="n">
        <v>1.5068839</v>
      </c>
      <c r="G56" s="18" t="n">
        <v>59.51827521</v>
      </c>
      <c r="H56" s="20" t="n">
        <v>1.68654802</v>
      </c>
      <c r="I56" s="18" t="n">
        <v>0</v>
      </c>
      <c r="J56" s="20" t="n">
        <v>0</v>
      </c>
      <c r="K56" s="18" t="n">
        <v>1.45431953</v>
      </c>
      <c r="L56" s="20" t="n">
        <v>0.46744353</v>
      </c>
      <c r="M56" s="18" t="n">
        <v>0</v>
      </c>
      <c r="N56" s="20" t="n">
        <v>0</v>
      </c>
      <c r="O56" s="18" t="n">
        <v>0</v>
      </c>
      <c r="P56" s="20" t="n">
        <v>0</v>
      </c>
      <c r="Q56" s="18" t="n">
        <v>2.69630291</v>
      </c>
      <c r="R56" s="20" t="n">
        <v>0.52103966</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31.56749445</v>
      </c>
      <c r="F65" s="20" t="n">
        <v>2.13167767</v>
      </c>
      <c r="G65" s="18" t="n">
        <v>51.40821785</v>
      </c>
      <c r="H65" s="20" t="n">
        <v>2.09618263</v>
      </c>
      <c r="I65" s="18" t="n">
        <v>0</v>
      </c>
      <c r="J65" s="20" t="n">
        <v>0</v>
      </c>
      <c r="K65" s="18" t="n">
        <v>5.08719551</v>
      </c>
      <c r="L65" s="20" t="n">
        <v>1.0054604</v>
      </c>
      <c r="M65" s="18" t="n">
        <v>0</v>
      </c>
      <c r="N65" s="20" t="n">
        <v>0</v>
      </c>
      <c r="O65" s="18" t="n">
        <v>0</v>
      </c>
      <c r="P65" s="20" t="n">
        <v>0</v>
      </c>
      <c r="Q65" s="18" t="n">
        <v>11.93709219</v>
      </c>
      <c r="R65" s="20" t="n">
        <v>1.34028309</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709</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64.20286297</v>
      </c>
      <c r="F54" s="20" t="n">
        <v>1.8901429</v>
      </c>
      <c r="G54" s="18" t="n">
        <v>26.83605137</v>
      </c>
      <c r="H54" s="20" t="n">
        <v>1.68054842</v>
      </c>
      <c r="I54" s="18" t="n">
        <v>0</v>
      </c>
      <c r="J54" s="20" t="n">
        <v>0</v>
      </c>
      <c r="K54" s="18" t="n">
        <v>4.80675111</v>
      </c>
      <c r="L54" s="20" t="n">
        <v>0.73901978</v>
      </c>
      <c r="M54" s="18" t="n">
        <v>0</v>
      </c>
      <c r="N54" s="20" t="n">
        <v>0</v>
      </c>
      <c r="O54" s="18" t="n">
        <v>0.46572035</v>
      </c>
      <c r="P54" s="20" t="n">
        <v>0.23740084</v>
      </c>
      <c r="Q54" s="18" t="n">
        <v>3.6886142</v>
      </c>
      <c r="R54" s="20" t="n">
        <v>0.54418525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69.31752907000001</v>
      </c>
      <c r="F56" s="20" t="n">
        <v>1.58660646</v>
      </c>
      <c r="G56" s="18" t="n">
        <v>28.25455124</v>
      </c>
      <c r="H56" s="20" t="n">
        <v>1.63903638</v>
      </c>
      <c r="I56" s="18" t="n">
        <v>0</v>
      </c>
      <c r="J56" s="20" t="n">
        <v>0</v>
      </c>
      <c r="K56" s="18" t="n">
        <v>1.88280546</v>
      </c>
      <c r="L56" s="20" t="n">
        <v>0.56664353</v>
      </c>
      <c r="M56" s="18" t="n">
        <v>0</v>
      </c>
      <c r="N56" s="20" t="n">
        <v>0</v>
      </c>
      <c r="O56" s="18" t="n">
        <v>0</v>
      </c>
      <c r="P56" s="20" t="n">
        <v>0</v>
      </c>
      <c r="Q56" s="18" t="n">
        <v>0.54511423</v>
      </c>
      <c r="R56" s="20" t="n">
        <v>0.21329704</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62.07404744</v>
      </c>
      <c r="F65" s="20" t="n">
        <v>2.06790681</v>
      </c>
      <c r="G65" s="18" t="n">
        <v>31.04794278</v>
      </c>
      <c r="H65" s="20" t="n">
        <v>1.79389939</v>
      </c>
      <c r="I65" s="18" t="n">
        <v>0</v>
      </c>
      <c r="J65" s="20" t="n">
        <v>0</v>
      </c>
      <c r="K65" s="18" t="n">
        <v>6.06154389</v>
      </c>
      <c r="L65" s="20" t="n">
        <v>1.12379523</v>
      </c>
      <c r="M65" s="18" t="n">
        <v>0</v>
      </c>
      <c r="N65" s="20" t="n">
        <v>0</v>
      </c>
      <c r="O65" s="18" t="n">
        <v>0.15539776</v>
      </c>
      <c r="P65" s="20" t="n">
        <v>0.15475242</v>
      </c>
      <c r="Q65" s="18" t="n">
        <v>0.66106813</v>
      </c>
      <c r="R65" s="20" t="n">
        <v>0.32727622</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21.24717286</v>
      </c>
      <c r="F54" s="20" t="n">
        <v>1.57291911</v>
      </c>
      <c r="G54" s="18" t="n">
        <v>72.06433783999999</v>
      </c>
      <c r="H54" s="20" t="n">
        <v>1.79511809</v>
      </c>
      <c r="I54" s="18" t="n">
        <v>0</v>
      </c>
      <c r="J54" s="20" t="n">
        <v>0</v>
      </c>
      <c r="K54" s="18" t="n">
        <v>5.0330619</v>
      </c>
      <c r="L54" s="20" t="n">
        <v>0.77691303</v>
      </c>
      <c r="M54" s="18" t="n">
        <v>0</v>
      </c>
      <c r="N54" s="20" t="n">
        <v>0</v>
      </c>
      <c r="O54" s="18" t="n">
        <v>0</v>
      </c>
      <c r="P54" s="20" t="n">
        <v>0</v>
      </c>
      <c r="Q54" s="18" t="n">
        <v>1.6554274</v>
      </c>
      <c r="R54" s="20" t="n">
        <v>0.35707794</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24.60211095</v>
      </c>
      <c r="F56" s="20" t="n">
        <v>1.74499808</v>
      </c>
      <c r="G56" s="18" t="n">
        <v>73.10399396</v>
      </c>
      <c r="H56" s="20" t="n">
        <v>1.85854255</v>
      </c>
      <c r="I56" s="18" t="n">
        <v>0</v>
      </c>
      <c r="J56" s="20" t="n">
        <v>0</v>
      </c>
      <c r="K56" s="18" t="n">
        <v>2.01080836</v>
      </c>
      <c r="L56" s="20" t="n">
        <v>0.57645638</v>
      </c>
      <c r="M56" s="18" t="n">
        <v>0</v>
      </c>
      <c r="N56" s="20" t="n">
        <v>0</v>
      </c>
      <c r="O56" s="18" t="n">
        <v>0</v>
      </c>
      <c r="P56" s="20" t="n">
        <v>0</v>
      </c>
      <c r="Q56" s="18" t="n">
        <v>0.28308674</v>
      </c>
      <c r="R56" s="20" t="n">
        <v>0.14622708</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23.1911939</v>
      </c>
      <c r="F65" s="20" t="n">
        <v>1.58939976</v>
      </c>
      <c r="G65" s="18" t="n">
        <v>70.17683961</v>
      </c>
      <c r="H65" s="20" t="n">
        <v>1.66272899</v>
      </c>
      <c r="I65" s="18" t="n">
        <v>0</v>
      </c>
      <c r="J65" s="20" t="n">
        <v>0</v>
      </c>
      <c r="K65" s="18" t="n">
        <v>6.06154389</v>
      </c>
      <c r="L65" s="20" t="n">
        <v>1.12379523</v>
      </c>
      <c r="M65" s="18" t="n">
        <v>0</v>
      </c>
      <c r="N65" s="20" t="n">
        <v>0</v>
      </c>
      <c r="O65" s="18" t="n">
        <v>0</v>
      </c>
      <c r="P65" s="20" t="n">
        <v>0</v>
      </c>
      <c r="Q65" s="18" t="n">
        <v>0.5704226</v>
      </c>
      <c r="R65" s="20" t="n">
        <v>0.32207506</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711</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44.08153745</v>
      </c>
      <c r="F54" s="20" t="n">
        <v>2.06592445</v>
      </c>
      <c r="G54" s="18" t="n">
        <v>47.92795913</v>
      </c>
      <c r="H54" s="20" t="n">
        <v>2.00561269</v>
      </c>
      <c r="I54" s="18" t="n">
        <v>0</v>
      </c>
      <c r="J54" s="20" t="n">
        <v>0</v>
      </c>
      <c r="K54" s="18" t="n">
        <v>5.93322638</v>
      </c>
      <c r="L54" s="20" t="n">
        <v>0.78049695</v>
      </c>
      <c r="M54" s="18" t="n">
        <v>0</v>
      </c>
      <c r="N54" s="20" t="n">
        <v>0</v>
      </c>
      <c r="O54" s="18" t="n">
        <v>0</v>
      </c>
      <c r="P54" s="20" t="n">
        <v>0</v>
      </c>
      <c r="Q54" s="18" t="n">
        <v>2.05727704</v>
      </c>
      <c r="R54" s="20" t="n">
        <v>0.52493531</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70.54561864999999</v>
      </c>
      <c r="F56" s="20" t="n">
        <v>1.42888248</v>
      </c>
      <c r="G56" s="18" t="n">
        <v>25.85802021</v>
      </c>
      <c r="H56" s="20" t="n">
        <v>1.46475817</v>
      </c>
      <c r="I56" s="18" t="n">
        <v>0</v>
      </c>
      <c r="J56" s="20" t="n">
        <v>0</v>
      </c>
      <c r="K56" s="18" t="n">
        <v>2.19314099</v>
      </c>
      <c r="L56" s="20" t="n">
        <v>0.58261439</v>
      </c>
      <c r="M56" s="18" t="n">
        <v>0.07901080000000001</v>
      </c>
      <c r="N56" s="20" t="n">
        <v>0.07968952999999999</v>
      </c>
      <c r="O56" s="18" t="n">
        <v>0</v>
      </c>
      <c r="P56" s="20" t="n">
        <v>0</v>
      </c>
      <c r="Q56" s="18" t="n">
        <v>1.32420935</v>
      </c>
      <c r="R56" s="20" t="n">
        <v>0.37735282</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39.45293244</v>
      </c>
      <c r="F65" s="20" t="n">
        <v>2.08934302</v>
      </c>
      <c r="G65" s="18" t="n">
        <v>53.02901674</v>
      </c>
      <c r="H65" s="20" t="n">
        <v>1.96021744</v>
      </c>
      <c r="I65" s="18" t="n">
        <v>0</v>
      </c>
      <c r="J65" s="20" t="n">
        <v>0</v>
      </c>
      <c r="K65" s="18" t="n">
        <v>6.71278452</v>
      </c>
      <c r="L65" s="20" t="n">
        <v>1.15523319</v>
      </c>
      <c r="M65" s="18" t="n">
        <v>0</v>
      </c>
      <c r="N65" s="20" t="n">
        <v>0</v>
      </c>
      <c r="O65" s="18" t="n">
        <v>0</v>
      </c>
      <c r="P65" s="20" t="n">
        <v>0</v>
      </c>
      <c r="Q65" s="18" t="n">
        <v>0.8052663</v>
      </c>
      <c r="R65" s="20" t="n">
        <v>0.36536035</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31.33548439</v>
      </c>
      <c r="F54" s="20" t="n">
        <v>1.85043548</v>
      </c>
      <c r="G54" s="18" t="n">
        <v>62.05101892</v>
      </c>
      <c r="H54" s="20" t="n">
        <v>1.88821261</v>
      </c>
      <c r="I54" s="18" t="n">
        <v>0</v>
      </c>
      <c r="J54" s="20" t="n">
        <v>0</v>
      </c>
      <c r="K54" s="18" t="n">
        <v>5.93322638</v>
      </c>
      <c r="L54" s="20" t="n">
        <v>0.78049695</v>
      </c>
      <c r="M54" s="18" t="n">
        <v>0</v>
      </c>
      <c r="N54" s="20" t="n">
        <v>0</v>
      </c>
      <c r="O54" s="18" t="n">
        <v>0.28324892</v>
      </c>
      <c r="P54" s="20" t="n">
        <v>0.17246253</v>
      </c>
      <c r="Q54" s="18" t="n">
        <v>0.3970214</v>
      </c>
      <c r="R54" s="20" t="n">
        <v>0.18313525</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29.2433678</v>
      </c>
      <c r="F56" s="20" t="n">
        <v>1.52789477</v>
      </c>
      <c r="G56" s="18" t="n">
        <v>67.97047357</v>
      </c>
      <c r="H56" s="20" t="n">
        <v>1.71025575</v>
      </c>
      <c r="I56" s="18" t="n">
        <v>0</v>
      </c>
      <c r="J56" s="20" t="n">
        <v>0</v>
      </c>
      <c r="K56" s="18" t="n">
        <v>2.19314099</v>
      </c>
      <c r="L56" s="20" t="n">
        <v>0.58261439</v>
      </c>
      <c r="M56" s="18" t="n">
        <v>0.07901080000000001</v>
      </c>
      <c r="N56" s="20" t="n">
        <v>0.07968952999999999</v>
      </c>
      <c r="O56" s="18" t="n">
        <v>0</v>
      </c>
      <c r="P56" s="20" t="n">
        <v>0</v>
      </c>
      <c r="Q56" s="18" t="n">
        <v>0.51400684</v>
      </c>
      <c r="R56" s="20" t="n">
        <v>0.21545468</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25.95004761</v>
      </c>
      <c r="F65" s="20" t="n">
        <v>1.75870342</v>
      </c>
      <c r="G65" s="18" t="n">
        <v>67.17067104</v>
      </c>
      <c r="H65" s="20" t="n">
        <v>1.79066496</v>
      </c>
      <c r="I65" s="18" t="n">
        <v>0</v>
      </c>
      <c r="J65" s="20" t="n">
        <v>0</v>
      </c>
      <c r="K65" s="18" t="n">
        <v>6.71278452</v>
      </c>
      <c r="L65" s="20" t="n">
        <v>1.15523319</v>
      </c>
      <c r="M65" s="18" t="n">
        <v>0</v>
      </c>
      <c r="N65" s="20" t="n">
        <v>0</v>
      </c>
      <c r="O65" s="18" t="n">
        <v>0</v>
      </c>
      <c r="P65" s="20" t="n">
        <v>0</v>
      </c>
      <c r="Q65" s="18" t="n">
        <v>0.16649683</v>
      </c>
      <c r="R65" s="20" t="n">
        <v>0.16774237</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713</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(5215.0/B44*100)</f>
        <v/>
      </c>
      <c r="D44" s="19" t="n">
        <v>0</v>
      </c>
      <c r="E44" s="18" t="s">
        <v>467</v>
      </c>
      <c r="F44" s="20" t="s">
        <v>467</v>
      </c>
      <c r="G44" s="18" t="s">
        <v>467</v>
      </c>
      <c r="H44" s="20" t="s">
        <v>467</v>
      </c>
      <c r="I44" s="18" t="s">
        <v>467</v>
      </c>
      <c r="J44" s="20" t="s">
        <v>467</v>
      </c>
      <c r="K44" s="18" t="s">
        <v>467</v>
      </c>
      <c r="L44" s="20" t="s">
        <v>467</v>
      </c>
      <c r="M44" s="18" t="s">
        <v>467</v>
      </c>
      <c r="N44" s="20" t="s">
        <v>467</v>
      </c>
      <c r="O44" s="18" t="s">
        <v>467</v>
      </c>
      <c r="P44" s="20" t="s">
        <v>467</v>
      </c>
      <c r="Q44" s="18" t="s">
        <v>467</v>
      </c>
      <c r="R44" s="20" t="s">
        <v>467</v>
      </c>
    </row>
    <row r="45" spans="1:18">
      <c r="A45" s="15" t="s">
        <v>468</v>
      </c>
      <c r="B45" s="17" t="n">
        <v>5519</v>
      </c>
      <c r="C45" s="18">
        <f>(5519.0/B45*100)</f>
        <v/>
      </c>
      <c r="D45" s="19" t="n">
        <v>0</v>
      </c>
      <c r="E45" s="18" t="s">
        <v>467</v>
      </c>
      <c r="F45" s="20" t="s">
        <v>467</v>
      </c>
      <c r="G45" s="18" t="s">
        <v>467</v>
      </c>
      <c r="H45" s="20" t="s">
        <v>467</v>
      </c>
      <c r="I45" s="18" t="s">
        <v>467</v>
      </c>
      <c r="J45" s="20" t="s">
        <v>467</v>
      </c>
      <c r="K45" s="18" t="s">
        <v>467</v>
      </c>
      <c r="L45" s="20" t="s">
        <v>467</v>
      </c>
      <c r="M45" s="18" t="s">
        <v>467</v>
      </c>
      <c r="N45" s="20" t="s">
        <v>467</v>
      </c>
      <c r="O45" s="18" t="s">
        <v>467</v>
      </c>
      <c r="P45" s="20" t="s">
        <v>467</v>
      </c>
      <c r="Q45" s="18" t="s">
        <v>467</v>
      </c>
      <c r="R45" s="20" t="s">
        <v>467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(4433.0/B54*100)</f>
        <v/>
      </c>
      <c r="D54" s="19" t="n">
        <v>883</v>
      </c>
      <c r="E54" s="18" t="n">
        <v>58.31317516</v>
      </c>
      <c r="F54" s="20" t="n">
        <v>1.8405641</v>
      </c>
      <c r="G54" s="18" t="n">
        <v>33.71951778</v>
      </c>
      <c r="H54" s="20" t="n">
        <v>1.49330532</v>
      </c>
      <c r="I54" s="18" t="n">
        <v>0</v>
      </c>
      <c r="J54" s="20" t="n">
        <v>0</v>
      </c>
      <c r="K54" s="18" t="n">
        <v>7.58489072</v>
      </c>
      <c r="L54" s="20" t="n">
        <v>1.00947731</v>
      </c>
      <c r="M54" s="18" t="n">
        <v>0</v>
      </c>
      <c r="N54" s="20" t="n">
        <v>0</v>
      </c>
      <c r="O54" s="18" t="n">
        <v>0.38241633</v>
      </c>
      <c r="P54" s="20" t="n">
        <v>0.22919363</v>
      </c>
      <c r="Q54" s="18" t="n">
        <v>0</v>
      </c>
      <c r="R54" s="20" t="n">
        <v>0</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(5414.0/B56*100)</f>
        <v/>
      </c>
      <c r="D56" s="19" t="n">
        <v>1099</v>
      </c>
      <c r="E56" s="18" t="n">
        <v>68.42640011</v>
      </c>
      <c r="F56" s="20" t="n">
        <v>1.66914743</v>
      </c>
      <c r="G56" s="18" t="n">
        <v>26.52004791</v>
      </c>
      <c r="H56" s="20" t="n">
        <v>1.64139285</v>
      </c>
      <c r="I56" s="18" t="n">
        <v>0</v>
      </c>
      <c r="J56" s="20" t="n">
        <v>0</v>
      </c>
      <c r="K56" s="18" t="n">
        <v>5.05355198</v>
      </c>
      <c r="L56" s="20" t="n">
        <v>0.82048716</v>
      </c>
      <c r="M56" s="18" t="n">
        <v>0</v>
      </c>
      <c r="N56" s="20" t="n">
        <v>0</v>
      </c>
      <c r="O56" s="18" t="n">
        <v>0</v>
      </c>
      <c r="P56" s="20" t="n">
        <v>0</v>
      </c>
      <c r="Q56" s="18" t="n">
        <v>0</v>
      </c>
      <c r="R56" s="20" t="n">
        <v>0</v>
      </c>
    </row>
    <row r="57" spans="1:18">
      <c r="A57" s="15" t="s">
        <v>480</v>
      </c>
      <c r="B57" s="17" t="n">
        <v>7267</v>
      </c>
      <c r="C57" s="18">
        <f>(7267.0/B57*100)</f>
        <v/>
      </c>
      <c r="D57" s="19" t="n">
        <v>0</v>
      </c>
      <c r="E57" s="18" t="s">
        <v>467</v>
      </c>
      <c r="F57" s="20" t="s">
        <v>467</v>
      </c>
      <c r="G57" s="18" t="s">
        <v>467</v>
      </c>
      <c r="H57" s="20" t="s">
        <v>467</v>
      </c>
      <c r="I57" s="18" t="s">
        <v>467</v>
      </c>
      <c r="J57" s="20" t="s">
        <v>467</v>
      </c>
      <c r="K57" s="18" t="s">
        <v>467</v>
      </c>
      <c r="L57" s="20" t="s">
        <v>467</v>
      </c>
      <c r="M57" s="18" t="s">
        <v>467</v>
      </c>
      <c r="N57" s="20" t="s">
        <v>467</v>
      </c>
      <c r="O57" s="18" t="s">
        <v>467</v>
      </c>
      <c r="P57" s="20" t="s">
        <v>467</v>
      </c>
      <c r="Q57" s="18" t="s">
        <v>467</v>
      </c>
      <c r="R57" s="20" t="s">
        <v>467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(4826.0/B59*100)</f>
        <v/>
      </c>
      <c r="D59" s="19" t="n">
        <v>0</v>
      </c>
      <c r="E59" s="18" t="s">
        <v>467</v>
      </c>
      <c r="F59" s="20" t="s">
        <v>467</v>
      </c>
      <c r="G59" s="18" t="s">
        <v>467</v>
      </c>
      <c r="H59" s="20" t="s">
        <v>467</v>
      </c>
      <c r="I59" s="18" t="s">
        <v>467</v>
      </c>
      <c r="J59" s="20" t="s">
        <v>467</v>
      </c>
      <c r="K59" s="18" t="s">
        <v>467</v>
      </c>
      <c r="L59" s="20" t="s">
        <v>467</v>
      </c>
      <c r="M59" s="18" t="s">
        <v>467</v>
      </c>
      <c r="N59" s="20" t="s">
        <v>467</v>
      </c>
      <c r="O59" s="18" t="s">
        <v>467</v>
      </c>
      <c r="P59" s="20" t="s">
        <v>467</v>
      </c>
      <c r="Q59" s="18" t="s">
        <v>467</v>
      </c>
      <c r="R59" s="20" t="s">
        <v>467</v>
      </c>
    </row>
    <row r="60" spans="1:18">
      <c r="A60" s="15" t="s">
        <v>484</v>
      </c>
      <c r="B60" s="17" t="n">
        <v>4546</v>
      </c>
      <c r="C60" s="18">
        <f>(4546.0/B60*100)</f>
        <v/>
      </c>
      <c r="D60" s="19" t="n">
        <v>0</v>
      </c>
      <c r="E60" s="18" t="s">
        <v>467</v>
      </c>
      <c r="F60" s="20" t="s">
        <v>467</v>
      </c>
      <c r="G60" s="18" t="s">
        <v>467</v>
      </c>
      <c r="H60" s="20" t="s">
        <v>467</v>
      </c>
      <c r="I60" s="18" t="s">
        <v>467</v>
      </c>
      <c r="J60" s="20" t="s">
        <v>467</v>
      </c>
      <c r="K60" s="18" t="s">
        <v>467</v>
      </c>
      <c r="L60" s="20" t="s">
        <v>467</v>
      </c>
      <c r="M60" s="18" t="s">
        <v>467</v>
      </c>
      <c r="N60" s="20" t="s">
        <v>467</v>
      </c>
      <c r="O60" s="18" t="s">
        <v>467</v>
      </c>
      <c r="P60" s="20" t="s">
        <v>467</v>
      </c>
      <c r="Q60" s="18" t="s">
        <v>467</v>
      </c>
      <c r="R60" s="20" t="s">
        <v>467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(5324.0/B63*100)</f>
        <v/>
      </c>
      <c r="D63" s="19" t="n">
        <v>0</v>
      </c>
      <c r="E63" s="18" t="s">
        <v>467</v>
      </c>
      <c r="F63" s="20" t="s">
        <v>467</v>
      </c>
      <c r="G63" s="18" t="s">
        <v>467</v>
      </c>
      <c r="H63" s="20" t="s">
        <v>467</v>
      </c>
      <c r="I63" s="18" t="s">
        <v>467</v>
      </c>
      <c r="J63" s="20" t="s">
        <v>467</v>
      </c>
      <c r="K63" s="18" t="s">
        <v>467</v>
      </c>
      <c r="L63" s="20" t="s">
        <v>467</v>
      </c>
      <c r="M63" s="18" t="s">
        <v>467</v>
      </c>
      <c r="N63" s="20" t="s">
        <v>467</v>
      </c>
      <c r="O63" s="18" t="s">
        <v>467</v>
      </c>
      <c r="P63" s="20" t="s">
        <v>467</v>
      </c>
      <c r="Q63" s="18" t="s">
        <v>467</v>
      </c>
      <c r="R63" s="20" t="s">
        <v>467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(3013.0/B65*100)</f>
        <v/>
      </c>
      <c r="D65" s="19" t="n">
        <v>621</v>
      </c>
      <c r="E65" s="18" t="n">
        <v>57.7660266</v>
      </c>
      <c r="F65" s="20" t="n">
        <v>2.0853699</v>
      </c>
      <c r="G65" s="18" t="n">
        <v>35.04513685</v>
      </c>
      <c r="H65" s="20" t="n">
        <v>1.89348899</v>
      </c>
      <c r="I65" s="18" t="n">
        <v>0</v>
      </c>
      <c r="J65" s="20" t="n">
        <v>0</v>
      </c>
      <c r="K65" s="18" t="n">
        <v>7.03868537</v>
      </c>
      <c r="L65" s="20" t="n">
        <v>1.18608474</v>
      </c>
      <c r="M65" s="18" t="n">
        <v>0</v>
      </c>
      <c r="N65" s="20" t="n">
        <v>0</v>
      </c>
      <c r="O65" s="18" t="n">
        <v>0.15015118</v>
      </c>
      <c r="P65" s="20" t="n">
        <v>0.15123166</v>
      </c>
      <c r="Q65" s="18" t="n">
        <v>0</v>
      </c>
      <c r="R65" s="20" t="n">
        <v>0</v>
      </c>
    </row>
    <row r="66" spans="1:18">
      <c r="A66" s="15" t="s">
        <v>490</v>
      </c>
      <c r="B66" s="17" t="n">
        <v>5325</v>
      </c>
      <c r="C66" s="18">
        <f>(5325.0/B66*100)</f>
        <v/>
      </c>
      <c r="D66" s="19" t="n">
        <v>0</v>
      </c>
      <c r="E66" s="18" t="s">
        <v>467</v>
      </c>
      <c r="F66" s="20" t="s">
        <v>467</v>
      </c>
      <c r="G66" s="18" t="s">
        <v>467</v>
      </c>
      <c r="H66" s="20" t="s">
        <v>467</v>
      </c>
      <c r="I66" s="18" t="s">
        <v>467</v>
      </c>
      <c r="J66" s="20" t="s">
        <v>467</v>
      </c>
      <c r="K66" s="18" t="s">
        <v>467</v>
      </c>
      <c r="L66" s="20" t="s">
        <v>467</v>
      </c>
      <c r="M66" s="18" t="s">
        <v>467</v>
      </c>
      <c r="N66" s="20" t="s">
        <v>467</v>
      </c>
      <c r="O66" s="18" t="s">
        <v>467</v>
      </c>
      <c r="P66" s="20" t="s">
        <v>467</v>
      </c>
      <c r="Q66" s="18" t="s">
        <v>467</v>
      </c>
      <c r="R66" s="20" t="s">
        <v>467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(1398.0/B69*100)</f>
        <v/>
      </c>
      <c r="D69" s="19" t="n">
        <v>0</v>
      </c>
      <c r="E69" s="18" t="s">
        <v>467</v>
      </c>
      <c r="F69" s="20" t="s">
        <v>467</v>
      </c>
      <c r="G69" s="18" t="s">
        <v>467</v>
      </c>
      <c r="H69" s="20" t="s">
        <v>467</v>
      </c>
      <c r="I69" s="18" t="s">
        <v>467</v>
      </c>
      <c r="J69" s="20" t="s">
        <v>467</v>
      </c>
      <c r="K69" s="18" t="s">
        <v>467</v>
      </c>
      <c r="L69" s="20" t="s">
        <v>467</v>
      </c>
      <c r="M69" s="18" t="s">
        <v>467</v>
      </c>
      <c r="N69" s="20" t="s">
        <v>467</v>
      </c>
      <c r="O69" s="18" t="s">
        <v>467</v>
      </c>
      <c r="P69" s="20" t="s">
        <v>467</v>
      </c>
      <c r="Q69" s="18" t="s">
        <v>467</v>
      </c>
      <c r="R69" s="20" t="s">
        <v>467</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(4876.0/B71*100)</f>
        <v/>
      </c>
      <c r="D71" s="19" t="n">
        <v>0</v>
      </c>
      <c r="E71" s="18" t="s">
        <v>467</v>
      </c>
      <c r="F71" s="20" t="s">
        <v>467</v>
      </c>
      <c r="G71" s="18" t="s">
        <v>467</v>
      </c>
      <c r="H71" s="20" t="s">
        <v>467</v>
      </c>
      <c r="I71" s="18" t="s">
        <v>467</v>
      </c>
      <c r="J71" s="20" t="s">
        <v>467</v>
      </c>
      <c r="K71" s="18" t="s">
        <v>467</v>
      </c>
      <c r="L71" s="20" t="s">
        <v>467</v>
      </c>
      <c r="M71" s="18" t="s">
        <v>467</v>
      </c>
      <c r="N71" s="20" t="s">
        <v>467</v>
      </c>
      <c r="O71" s="18" t="s">
        <v>467</v>
      </c>
      <c r="P71" s="20" t="s">
        <v>467</v>
      </c>
      <c r="Q71" s="18" t="s">
        <v>467</v>
      </c>
      <c r="R71" s="20" t="s">
        <v>467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(4692.0/B76*100)</f>
        <v/>
      </c>
      <c r="D76" s="19" t="n">
        <v>0</v>
      </c>
      <c r="E76" s="18" t="s">
        <v>467</v>
      </c>
      <c r="F76" s="20" t="s">
        <v>467</v>
      </c>
      <c r="G76" s="18" t="s">
        <v>467</v>
      </c>
      <c r="H76" s="20" t="s">
        <v>467</v>
      </c>
      <c r="I76" s="18" t="s">
        <v>467</v>
      </c>
      <c r="J76" s="20" t="s">
        <v>467</v>
      </c>
      <c r="K76" s="18" t="s">
        <v>467</v>
      </c>
      <c r="L76" s="20" t="s">
        <v>467</v>
      </c>
      <c r="M76" s="18" t="s">
        <v>467</v>
      </c>
      <c r="N76" s="20" t="s">
        <v>467</v>
      </c>
      <c r="O76" s="18" t="s">
        <v>467</v>
      </c>
      <c r="P76" s="20" t="s">
        <v>467</v>
      </c>
      <c r="Q76" s="18" t="s">
        <v>467</v>
      </c>
      <c r="R76" s="20" t="s">
        <v>467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(5826.0/B80*100)</f>
        <v/>
      </c>
      <c r="D80" s="19" t="n">
        <v>0</v>
      </c>
      <c r="E80" s="18" t="s">
        <v>467</v>
      </c>
      <c r="F80" s="20" t="s">
        <v>467</v>
      </c>
      <c r="G80" s="18" t="s">
        <v>467</v>
      </c>
      <c r="H80" s="20" t="s">
        <v>467</v>
      </c>
      <c r="I80" s="18" t="s">
        <v>467</v>
      </c>
      <c r="J80" s="20" t="s">
        <v>467</v>
      </c>
      <c r="K80" s="18" t="s">
        <v>467</v>
      </c>
      <c r="L80" s="20" t="s">
        <v>467</v>
      </c>
      <c r="M80" s="18" t="s">
        <v>467</v>
      </c>
      <c r="N80" s="20" t="s">
        <v>467</v>
      </c>
      <c r="O80" s="18" t="s">
        <v>467</v>
      </c>
      <c r="P80" s="20" t="s">
        <v>467</v>
      </c>
      <c r="Q80" s="18" t="s">
        <v>467</v>
      </c>
      <c r="R80" s="20" t="s">
        <v>467</v>
      </c>
    </row>
    <row r="81" spans="1:18">
      <c r="A81" s="15" t="s">
        <v>505</v>
      </c>
      <c r="B81" s="17" t="n">
        <v>1657</v>
      </c>
      <c r="C81" s="18">
        <f>(1657.0/B81*100)</f>
        <v/>
      </c>
      <c r="D81" s="19" t="n">
        <v>0</v>
      </c>
      <c r="E81" s="18" t="s">
        <v>467</v>
      </c>
      <c r="F81" s="20" t="s">
        <v>467</v>
      </c>
      <c r="G81" s="18" t="s">
        <v>467</v>
      </c>
      <c r="H81" s="20" t="s">
        <v>467</v>
      </c>
      <c r="I81" s="18" t="s">
        <v>467</v>
      </c>
      <c r="J81" s="20" t="s">
        <v>467</v>
      </c>
      <c r="K81" s="18" t="s">
        <v>467</v>
      </c>
      <c r="L81" s="20" t="s">
        <v>467</v>
      </c>
      <c r="M81" s="18" t="s">
        <v>467</v>
      </c>
      <c r="N81" s="20" t="s">
        <v>467</v>
      </c>
      <c r="O81" s="18" t="s">
        <v>467</v>
      </c>
      <c r="P81" s="20" t="s">
        <v>467</v>
      </c>
      <c r="Q81" s="18" t="s">
        <v>467</v>
      </c>
      <c r="R81" s="20" t="s">
        <v>467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16.43058878</v>
      </c>
      <c r="F44" s="20" t="n">
        <v>1.71839941</v>
      </c>
      <c r="G44" s="18" t="n">
        <v>79.30225276</v>
      </c>
      <c r="H44" s="20" t="n">
        <v>1.59433255</v>
      </c>
      <c r="I44" s="18" t="n">
        <v>0</v>
      </c>
      <c r="J44" s="20" t="n">
        <v>0</v>
      </c>
      <c r="K44" s="18" t="n">
        <v>1.04602649</v>
      </c>
      <c r="L44" s="20" t="n">
        <v>0.41085539</v>
      </c>
      <c r="M44" s="18" t="n">
        <v>0</v>
      </c>
      <c r="N44" s="20" t="n">
        <v>0</v>
      </c>
      <c r="O44" s="18" t="n">
        <v>1.58619863</v>
      </c>
      <c r="P44" s="20" t="n">
        <v>0.57100249</v>
      </c>
      <c r="Q44" s="18" t="n">
        <v>1.63493335</v>
      </c>
      <c r="R44" s="20" t="n">
        <v>0.45710905</v>
      </c>
    </row>
    <row r="45" spans="1:18">
      <c r="A45" s="15" t="s">
        <v>468</v>
      </c>
      <c r="B45" s="17" t="n">
        <v>5519</v>
      </c>
      <c r="C45" s="18">
        <f>(4593.0/B45*100)</f>
        <v/>
      </c>
      <c r="D45" s="19" t="n">
        <v>926</v>
      </c>
      <c r="E45" s="18" t="n">
        <v>24.35854205</v>
      </c>
      <c r="F45" s="20" t="n">
        <v>1.74421752</v>
      </c>
      <c r="G45" s="18" t="n">
        <v>65.72141636000001</v>
      </c>
      <c r="H45" s="20" t="n">
        <v>2.15462803</v>
      </c>
      <c r="I45" s="18" t="n">
        <v>0</v>
      </c>
      <c r="J45" s="20" t="n">
        <v>0</v>
      </c>
      <c r="K45" s="18" t="n">
        <v>2.29471388</v>
      </c>
      <c r="L45" s="20" t="n">
        <v>0.61160411</v>
      </c>
      <c r="M45" s="18" t="n">
        <v>0.44202896</v>
      </c>
      <c r="N45" s="20" t="n">
        <v>0.2559694</v>
      </c>
      <c r="O45" s="18" t="n">
        <v>3.09510104</v>
      </c>
      <c r="P45" s="20" t="n">
        <v>0.7106565500000001</v>
      </c>
      <c r="Q45" s="18" t="n">
        <v>4.0881977</v>
      </c>
      <c r="R45" s="20" t="n">
        <v>0.7194452099999999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22.33764671</v>
      </c>
      <c r="F57" s="20" t="n">
        <v>1.43378925</v>
      </c>
      <c r="G57" s="18" t="n">
        <v>73.3985084</v>
      </c>
      <c r="H57" s="20" t="n">
        <v>1.52318306</v>
      </c>
      <c r="I57" s="18" t="n">
        <v>0</v>
      </c>
      <c r="J57" s="20" t="n">
        <v>0</v>
      </c>
      <c r="K57" s="18" t="n">
        <v>0.93313813</v>
      </c>
      <c r="L57" s="20" t="n">
        <v>0.38083087</v>
      </c>
      <c r="M57" s="18" t="n">
        <v>0</v>
      </c>
      <c r="N57" s="20" t="n">
        <v>0</v>
      </c>
      <c r="O57" s="18" t="n">
        <v>0.49560262</v>
      </c>
      <c r="P57" s="20" t="n">
        <v>0.23674426</v>
      </c>
      <c r="Q57" s="18" t="n">
        <v>2.83510414</v>
      </c>
      <c r="R57" s="20" t="n">
        <v>0.54560599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18.37393665</v>
      </c>
      <c r="F59" s="20" t="n">
        <v>1.61551885</v>
      </c>
      <c r="G59" s="18" t="n">
        <v>78.87438481</v>
      </c>
      <c r="H59" s="20" t="n">
        <v>1.56656706</v>
      </c>
      <c r="I59" s="18" t="n">
        <v>0</v>
      </c>
      <c r="J59" s="20" t="n">
        <v>0</v>
      </c>
      <c r="K59" s="18" t="n">
        <v>0.12765501</v>
      </c>
      <c r="L59" s="20" t="n">
        <v>0.09485407</v>
      </c>
      <c r="M59" s="18" t="n">
        <v>0</v>
      </c>
      <c r="N59" s="20" t="n">
        <v>0</v>
      </c>
      <c r="O59" s="18" t="n">
        <v>1.95593681</v>
      </c>
      <c r="P59" s="20" t="n">
        <v>0.48453332</v>
      </c>
      <c r="Q59" s="18" t="n">
        <v>0.66808672</v>
      </c>
      <c r="R59" s="20" t="n">
        <v>0.33263743</v>
      </c>
    </row>
    <row r="60" spans="1:18">
      <c r="A60" s="15" t="s">
        <v>484</v>
      </c>
      <c r="B60" s="17" t="n">
        <v>4546</v>
      </c>
      <c r="C60" s="18">
        <f>(3782.0/B60*100)</f>
        <v/>
      </c>
      <c r="D60" s="19" t="n">
        <v>764</v>
      </c>
      <c r="E60" s="18" t="n">
        <v>36.74107969</v>
      </c>
      <c r="F60" s="20" t="n">
        <v>2.34192752</v>
      </c>
      <c r="G60" s="18" t="n">
        <v>53.06422784</v>
      </c>
      <c r="H60" s="20" t="n">
        <v>2.26258043</v>
      </c>
      <c r="I60" s="18" t="n">
        <v>0</v>
      </c>
      <c r="J60" s="20" t="n">
        <v>0</v>
      </c>
      <c r="K60" s="18" t="n">
        <v>2.28931504</v>
      </c>
      <c r="L60" s="20" t="n">
        <v>0.68816218</v>
      </c>
      <c r="M60" s="18" t="n">
        <v>0</v>
      </c>
      <c r="N60" s="20" t="n">
        <v>0</v>
      </c>
      <c r="O60" s="18" t="n">
        <v>3.26649577</v>
      </c>
      <c r="P60" s="20" t="n">
        <v>0.74254656</v>
      </c>
      <c r="Q60" s="18" t="n">
        <v>4.63888165</v>
      </c>
      <c r="R60" s="20" t="n">
        <v>0.72553944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19.84170458</v>
      </c>
      <c r="F63" s="20" t="n">
        <v>1.63738702</v>
      </c>
      <c r="G63" s="18" t="n">
        <v>75.53538919</v>
      </c>
      <c r="H63" s="20" t="n">
        <v>1.58433261</v>
      </c>
      <c r="I63" s="18" t="n">
        <v>0</v>
      </c>
      <c r="J63" s="20" t="n">
        <v>0</v>
      </c>
      <c r="K63" s="18" t="n">
        <v>1.5453053</v>
      </c>
      <c r="L63" s="20" t="n">
        <v>0.42717377</v>
      </c>
      <c r="M63" s="18" t="n">
        <v>0</v>
      </c>
      <c r="N63" s="20" t="n">
        <v>0</v>
      </c>
      <c r="O63" s="18" t="n">
        <v>0.9319585500000001</v>
      </c>
      <c r="P63" s="20" t="n">
        <v>0.35822474</v>
      </c>
      <c r="Q63" s="18" t="n">
        <v>2.14564238</v>
      </c>
      <c r="R63" s="20" t="n">
        <v>0.5152884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32.79057706</v>
      </c>
      <c r="F66" s="20" t="n">
        <v>1.54929067</v>
      </c>
      <c r="G66" s="18" t="n">
        <v>62.00284301</v>
      </c>
      <c r="H66" s="20" t="n">
        <v>1.56511056</v>
      </c>
      <c r="I66" s="18" t="n">
        <v>0</v>
      </c>
      <c r="J66" s="20" t="n">
        <v>0</v>
      </c>
      <c r="K66" s="18" t="n">
        <v>1.81574002</v>
      </c>
      <c r="L66" s="20" t="n">
        <v>0.45998747</v>
      </c>
      <c r="M66" s="18" t="n">
        <v>1.91520556</v>
      </c>
      <c r="N66" s="20" t="n">
        <v>0.54316045</v>
      </c>
      <c r="O66" s="18" t="n">
        <v>0</v>
      </c>
      <c r="P66" s="20" t="n">
        <v>0</v>
      </c>
      <c r="Q66" s="18" t="n">
        <v>1.47563435</v>
      </c>
      <c r="R66" s="20" t="n">
        <v>0.40623277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15.13504545</v>
      </c>
      <c r="F69" s="20" t="n">
        <v>2.34223354</v>
      </c>
      <c r="G69" s="18" t="n">
        <v>84.43188033</v>
      </c>
      <c r="H69" s="20" t="n">
        <v>2.36850676</v>
      </c>
      <c r="I69" s="18" t="n">
        <v>0</v>
      </c>
      <c r="J69" s="20" t="n">
        <v>0</v>
      </c>
      <c r="K69" s="18" t="n">
        <v>0</v>
      </c>
      <c r="L69" s="20" t="n">
        <v>0</v>
      </c>
      <c r="M69" s="18" t="n">
        <v>0</v>
      </c>
      <c r="N69" s="20" t="n">
        <v>0</v>
      </c>
      <c r="O69" s="18" t="n">
        <v>0</v>
      </c>
      <c r="P69" s="20" t="n">
        <v>0</v>
      </c>
      <c r="Q69" s="18" t="n">
        <v>0.43307422</v>
      </c>
      <c r="R69" s="20" t="n">
        <v>0.33849836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27.03894023</v>
      </c>
      <c r="F71" s="20" t="n">
        <v>2.07964557</v>
      </c>
      <c r="G71" s="18" t="n">
        <v>72.73509975</v>
      </c>
      <c r="H71" s="20" t="n">
        <v>2.04768165</v>
      </c>
      <c r="I71" s="18" t="n">
        <v>0</v>
      </c>
      <c r="J71" s="20" t="n">
        <v>0</v>
      </c>
      <c r="K71" s="18" t="n">
        <v>0.12114329</v>
      </c>
      <c r="L71" s="20" t="n">
        <v>0.12077856</v>
      </c>
      <c r="M71" s="18" t="n">
        <v>0</v>
      </c>
      <c r="N71" s="20" t="n">
        <v>0</v>
      </c>
      <c r="O71" s="18" t="n">
        <v>0</v>
      </c>
      <c r="P71" s="20" t="n">
        <v>0</v>
      </c>
      <c r="Q71" s="18" t="n">
        <v>0.10481673</v>
      </c>
      <c r="R71" s="20" t="n">
        <v>0.1084018</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6.48538449</v>
      </c>
      <c r="F76" s="20" t="n">
        <v>0.8497939799999999</v>
      </c>
      <c r="G76" s="18" t="n">
        <v>90.91264391</v>
      </c>
      <c r="H76" s="20" t="n">
        <v>1.00183749</v>
      </c>
      <c r="I76" s="18" t="n">
        <v>0</v>
      </c>
      <c r="J76" s="20" t="n">
        <v>0</v>
      </c>
      <c r="K76" s="18" t="n">
        <v>1.59857921</v>
      </c>
      <c r="L76" s="20" t="n">
        <v>0.50224198</v>
      </c>
      <c r="M76" s="18" t="n">
        <v>0</v>
      </c>
      <c r="N76" s="20" t="n">
        <v>0</v>
      </c>
      <c r="O76" s="18" t="n">
        <v>0</v>
      </c>
      <c r="P76" s="20" t="n">
        <v>0</v>
      </c>
      <c r="Q76" s="18" t="n">
        <v>1.00339239</v>
      </c>
      <c r="R76" s="20" t="n">
        <v>0.3821425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4.93244586</v>
      </c>
      <c r="F80" s="20" t="n">
        <v>0.9790043</v>
      </c>
      <c r="G80" s="18" t="n">
        <v>95.06755414</v>
      </c>
      <c r="H80" s="20" t="n">
        <v>0.9790043</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(1373.0/B81*100)</f>
        <v/>
      </c>
      <c r="D81" s="19" t="n">
        <v>284</v>
      </c>
      <c r="E81" s="18" t="n">
        <v>3.61775562</v>
      </c>
      <c r="F81" s="20" t="n">
        <v>1.04957793</v>
      </c>
      <c r="G81" s="18" t="n">
        <v>93.89596706</v>
      </c>
      <c r="H81" s="20" t="n">
        <v>1.56115541</v>
      </c>
      <c r="I81" s="18" t="n">
        <v>0</v>
      </c>
      <c r="J81" s="20" t="n">
        <v>0</v>
      </c>
      <c r="K81" s="18" t="n">
        <v>0.87707814</v>
      </c>
      <c r="L81" s="20" t="n">
        <v>0.69951249</v>
      </c>
      <c r="M81" s="18" t="n">
        <v>0</v>
      </c>
      <c r="N81" s="20" t="n">
        <v>0</v>
      </c>
      <c r="O81" s="18" t="n">
        <v>0.34630107</v>
      </c>
      <c r="P81" s="20" t="n">
        <v>0.34248065</v>
      </c>
      <c r="Q81" s="18" t="n">
        <v>1.2628981</v>
      </c>
      <c r="R81" s="20" t="n">
        <v>0.75993206</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31.47472333</v>
      </c>
      <c r="F44" s="20" t="n">
        <v>1.66753473</v>
      </c>
      <c r="G44" s="18" t="n">
        <v>56.93528755</v>
      </c>
      <c r="H44" s="20" t="n">
        <v>1.79168056</v>
      </c>
      <c r="I44" s="18" t="n">
        <v>0</v>
      </c>
      <c r="J44" s="20" t="n">
        <v>0</v>
      </c>
      <c r="K44" s="18" t="n">
        <v>1.2517362</v>
      </c>
      <c r="L44" s="20" t="n">
        <v>0.40716569</v>
      </c>
      <c r="M44" s="18" t="n">
        <v>0</v>
      </c>
      <c r="N44" s="20" t="n">
        <v>0</v>
      </c>
      <c r="O44" s="18" t="n">
        <v>0.09525483</v>
      </c>
      <c r="P44" s="20" t="n">
        <v>0.09529783999999999</v>
      </c>
      <c r="Q44" s="18" t="n">
        <v>10.24299809</v>
      </c>
      <c r="R44" s="20" t="n">
        <v>1.09601196</v>
      </c>
    </row>
    <row r="45" spans="1:18">
      <c r="A45" s="15" t="s">
        <v>468</v>
      </c>
      <c r="B45" s="17" t="n">
        <v>5519</v>
      </c>
      <c r="C45" s="18">
        <f>(4593.0/B45*100)</f>
        <v/>
      </c>
      <c r="D45" s="19" t="n">
        <v>926</v>
      </c>
      <c r="E45" s="18" t="n">
        <v>39.39669074</v>
      </c>
      <c r="F45" s="20" t="n">
        <v>1.67650734</v>
      </c>
      <c r="G45" s="18" t="n">
        <v>45.80238951</v>
      </c>
      <c r="H45" s="20" t="n">
        <v>1.79778886</v>
      </c>
      <c r="I45" s="18" t="n">
        <v>0</v>
      </c>
      <c r="J45" s="20" t="n">
        <v>0</v>
      </c>
      <c r="K45" s="18" t="n">
        <v>2.29471388</v>
      </c>
      <c r="L45" s="20" t="n">
        <v>0.61160411</v>
      </c>
      <c r="M45" s="18" t="n">
        <v>3.28285483</v>
      </c>
      <c r="N45" s="20" t="n">
        <v>0.69851529</v>
      </c>
      <c r="O45" s="18" t="n">
        <v>0</v>
      </c>
      <c r="P45" s="20" t="n">
        <v>0</v>
      </c>
      <c r="Q45" s="18" t="n">
        <v>9.223351040000001</v>
      </c>
      <c r="R45" s="20" t="n">
        <v>0.95058326</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14.65058427</v>
      </c>
      <c r="F57" s="20" t="n">
        <v>1.28862801</v>
      </c>
      <c r="G57" s="18" t="n">
        <v>78.36316832999999</v>
      </c>
      <c r="H57" s="20" t="n">
        <v>1.42826833</v>
      </c>
      <c r="I57" s="18" t="n">
        <v>0</v>
      </c>
      <c r="J57" s="20" t="n">
        <v>0</v>
      </c>
      <c r="K57" s="18" t="n">
        <v>1.09243018</v>
      </c>
      <c r="L57" s="20" t="n">
        <v>0.36428516</v>
      </c>
      <c r="M57" s="18" t="n">
        <v>0</v>
      </c>
      <c r="N57" s="20" t="n">
        <v>0</v>
      </c>
      <c r="O57" s="18" t="n">
        <v>0</v>
      </c>
      <c r="P57" s="20" t="n">
        <v>0</v>
      </c>
      <c r="Q57" s="18" t="n">
        <v>5.89381723</v>
      </c>
      <c r="R57" s="20" t="n">
        <v>0.74990097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46.71131395</v>
      </c>
      <c r="F59" s="20" t="n">
        <v>2.11781276</v>
      </c>
      <c r="G59" s="18" t="n">
        <v>45.77132048</v>
      </c>
      <c r="H59" s="20" t="n">
        <v>2.27635981</v>
      </c>
      <c r="I59" s="18" t="n">
        <v>0</v>
      </c>
      <c r="J59" s="20" t="n">
        <v>0</v>
      </c>
      <c r="K59" s="18" t="n">
        <v>0.12765501</v>
      </c>
      <c r="L59" s="20" t="n">
        <v>0.09485407</v>
      </c>
      <c r="M59" s="18" t="n">
        <v>0</v>
      </c>
      <c r="N59" s="20" t="n">
        <v>0</v>
      </c>
      <c r="O59" s="18" t="n">
        <v>0</v>
      </c>
      <c r="P59" s="20" t="n">
        <v>0</v>
      </c>
      <c r="Q59" s="18" t="n">
        <v>7.38971057</v>
      </c>
      <c r="R59" s="20" t="n">
        <v>1.10029966</v>
      </c>
    </row>
    <row r="60" spans="1:18">
      <c r="A60" s="15" t="s">
        <v>484</v>
      </c>
      <c r="B60" s="17" t="n">
        <v>4546</v>
      </c>
      <c r="C60" s="18">
        <f>(3782.0/B60*100)</f>
        <v/>
      </c>
      <c r="D60" s="19" t="n">
        <v>764</v>
      </c>
      <c r="E60" s="18" t="n">
        <v>39.14019683</v>
      </c>
      <c r="F60" s="20" t="n">
        <v>2.16851241</v>
      </c>
      <c r="G60" s="18" t="n">
        <v>38.78325864</v>
      </c>
      <c r="H60" s="20" t="n">
        <v>1.91823726</v>
      </c>
      <c r="I60" s="18" t="n">
        <v>0</v>
      </c>
      <c r="J60" s="20" t="n">
        <v>0</v>
      </c>
      <c r="K60" s="18" t="n">
        <v>2.28931504</v>
      </c>
      <c r="L60" s="20" t="n">
        <v>0.68816218</v>
      </c>
      <c r="M60" s="18" t="n">
        <v>0.33213651</v>
      </c>
      <c r="N60" s="20" t="n">
        <v>0.18835745</v>
      </c>
      <c r="O60" s="18" t="n">
        <v>0</v>
      </c>
      <c r="P60" s="20" t="n">
        <v>0</v>
      </c>
      <c r="Q60" s="18" t="n">
        <v>19.45509297</v>
      </c>
      <c r="R60" s="20" t="n">
        <v>2.17255959</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38.51018622</v>
      </c>
      <c r="F63" s="20" t="n">
        <v>1.8430138</v>
      </c>
      <c r="G63" s="18" t="n">
        <v>38.4534666</v>
      </c>
      <c r="H63" s="20" t="n">
        <v>2.06603733</v>
      </c>
      <c r="I63" s="18" t="n">
        <v>0</v>
      </c>
      <c r="J63" s="20" t="n">
        <v>0</v>
      </c>
      <c r="K63" s="18" t="n">
        <v>1.72953241</v>
      </c>
      <c r="L63" s="20" t="n">
        <v>0.47875519</v>
      </c>
      <c r="M63" s="18" t="n">
        <v>0</v>
      </c>
      <c r="N63" s="20" t="n">
        <v>0</v>
      </c>
      <c r="O63" s="18" t="n">
        <v>0</v>
      </c>
      <c r="P63" s="20" t="n">
        <v>0</v>
      </c>
      <c r="Q63" s="18" t="n">
        <v>21.30681478</v>
      </c>
      <c r="R63" s="20" t="n">
        <v>1.71049073</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30.18536799</v>
      </c>
      <c r="F66" s="20" t="n">
        <v>1.51395946</v>
      </c>
      <c r="G66" s="18" t="n">
        <v>58.35551671</v>
      </c>
      <c r="H66" s="20" t="n">
        <v>1.59229185</v>
      </c>
      <c r="I66" s="18" t="n">
        <v>0</v>
      </c>
      <c r="J66" s="20" t="n">
        <v>0</v>
      </c>
      <c r="K66" s="18" t="n">
        <v>1.81574002</v>
      </c>
      <c r="L66" s="20" t="n">
        <v>0.45998747</v>
      </c>
      <c r="M66" s="18" t="n">
        <v>0.09700464</v>
      </c>
      <c r="N66" s="20" t="n">
        <v>0.09368392</v>
      </c>
      <c r="O66" s="18" t="n">
        <v>0</v>
      </c>
      <c r="P66" s="20" t="n">
        <v>0</v>
      </c>
      <c r="Q66" s="18" t="n">
        <v>9.546370639999999</v>
      </c>
      <c r="R66" s="20" t="n">
        <v>1.16104234</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38.1718602</v>
      </c>
      <c r="F69" s="20" t="n">
        <v>3.30278341</v>
      </c>
      <c r="G69" s="18" t="n">
        <v>55.67289537</v>
      </c>
      <c r="H69" s="20" t="n">
        <v>2.83353565</v>
      </c>
      <c r="I69" s="18" t="n">
        <v>0</v>
      </c>
      <c r="J69" s="20" t="n">
        <v>0</v>
      </c>
      <c r="K69" s="18" t="n">
        <v>0</v>
      </c>
      <c r="L69" s="20" t="n">
        <v>0</v>
      </c>
      <c r="M69" s="18" t="n">
        <v>0</v>
      </c>
      <c r="N69" s="20" t="n">
        <v>0</v>
      </c>
      <c r="O69" s="18" t="n">
        <v>0</v>
      </c>
      <c r="P69" s="20" t="n">
        <v>0</v>
      </c>
      <c r="Q69" s="18" t="n">
        <v>6.15524442</v>
      </c>
      <c r="R69" s="20" t="n">
        <v>2.03272518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21.31955857</v>
      </c>
      <c r="F71" s="20" t="n">
        <v>1.68034114</v>
      </c>
      <c r="G71" s="18" t="n">
        <v>77.84440304</v>
      </c>
      <c r="H71" s="20" t="n">
        <v>1.70075369</v>
      </c>
      <c r="I71" s="18" t="n">
        <v>0</v>
      </c>
      <c r="J71" s="20" t="n">
        <v>0</v>
      </c>
      <c r="K71" s="18" t="n">
        <v>0.12114329</v>
      </c>
      <c r="L71" s="20" t="n">
        <v>0.12077856</v>
      </c>
      <c r="M71" s="18" t="n">
        <v>0</v>
      </c>
      <c r="N71" s="20" t="n">
        <v>0</v>
      </c>
      <c r="O71" s="18" t="n">
        <v>0</v>
      </c>
      <c r="P71" s="20" t="n">
        <v>0</v>
      </c>
      <c r="Q71" s="18" t="n">
        <v>0.7148951099999999</v>
      </c>
      <c r="R71" s="20" t="n">
        <v>0.33002886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31.18978766</v>
      </c>
      <c r="F76" s="20" t="n">
        <v>1.68934787</v>
      </c>
      <c r="G76" s="18" t="n">
        <v>60.29867448</v>
      </c>
      <c r="H76" s="20" t="n">
        <v>1.80557974</v>
      </c>
      <c r="I76" s="18" t="n">
        <v>0</v>
      </c>
      <c r="J76" s="20" t="n">
        <v>0</v>
      </c>
      <c r="K76" s="18" t="n">
        <v>1.80030238</v>
      </c>
      <c r="L76" s="20" t="n">
        <v>0.52162215</v>
      </c>
      <c r="M76" s="18" t="n">
        <v>0</v>
      </c>
      <c r="N76" s="20" t="n">
        <v>0</v>
      </c>
      <c r="O76" s="18" t="n">
        <v>0</v>
      </c>
      <c r="P76" s="20" t="n">
        <v>0</v>
      </c>
      <c r="Q76" s="18" t="n">
        <v>6.71123548</v>
      </c>
      <c r="R76" s="20" t="n">
        <v>1.03302561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32.9751818</v>
      </c>
      <c r="F80" s="20" t="n">
        <v>1.68409613</v>
      </c>
      <c r="G80" s="18" t="n">
        <v>66.58250321</v>
      </c>
      <c r="H80" s="20" t="n">
        <v>1.75958385</v>
      </c>
      <c r="I80" s="18" t="n">
        <v>0</v>
      </c>
      <c r="J80" s="20" t="n">
        <v>0</v>
      </c>
      <c r="K80" s="18" t="n">
        <v>0</v>
      </c>
      <c r="L80" s="20" t="n">
        <v>0</v>
      </c>
      <c r="M80" s="18" t="n">
        <v>0</v>
      </c>
      <c r="N80" s="20" t="n">
        <v>0</v>
      </c>
      <c r="O80" s="18" t="n">
        <v>0</v>
      </c>
      <c r="P80" s="20" t="n">
        <v>0</v>
      </c>
      <c r="Q80" s="18" t="n">
        <v>0.44231499</v>
      </c>
      <c r="R80" s="20" t="n">
        <v>0.27762726</v>
      </c>
    </row>
    <row r="81" spans="1:18">
      <c r="A81" s="15" t="s">
        <v>505</v>
      </c>
      <c r="B81" s="17" t="n">
        <v>1657</v>
      </c>
      <c r="C81" s="18">
        <f>(1373.0/B81*100)</f>
        <v/>
      </c>
      <c r="D81" s="19" t="n">
        <v>284</v>
      </c>
      <c r="E81" s="18" t="n">
        <v>14.46379941</v>
      </c>
      <c r="F81" s="20" t="n">
        <v>2.61167714</v>
      </c>
      <c r="G81" s="18" t="n">
        <v>79.92473019000001</v>
      </c>
      <c r="H81" s="20" t="n">
        <v>3.28833315</v>
      </c>
      <c r="I81" s="18" t="n">
        <v>0</v>
      </c>
      <c r="J81" s="20" t="n">
        <v>0</v>
      </c>
      <c r="K81" s="18" t="n">
        <v>0.87707814</v>
      </c>
      <c r="L81" s="20" t="n">
        <v>0.69951249</v>
      </c>
      <c r="M81" s="18" t="n">
        <v>0</v>
      </c>
      <c r="N81" s="20" t="n">
        <v>0</v>
      </c>
      <c r="O81" s="18" t="n">
        <v>0</v>
      </c>
      <c r="P81" s="20" t="n">
        <v>0</v>
      </c>
      <c r="Q81" s="18" t="n">
        <v>4.73439225</v>
      </c>
      <c r="R81" s="20" t="n">
        <v>1.61661805</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716</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17.09440254</v>
      </c>
      <c r="F44" s="20" t="n">
        <v>1.55589925</v>
      </c>
      <c r="G44" s="18" t="n">
        <v>77.60550265000001</v>
      </c>
      <c r="H44" s="20" t="n">
        <v>1.65258597</v>
      </c>
      <c r="I44" s="18" t="n">
        <v>0</v>
      </c>
      <c r="J44" s="20" t="n">
        <v>0</v>
      </c>
      <c r="K44" s="18" t="n">
        <v>1.2517362</v>
      </c>
      <c r="L44" s="20" t="n">
        <v>0.40716569</v>
      </c>
      <c r="M44" s="18" t="n">
        <v>0</v>
      </c>
      <c r="N44" s="20" t="n">
        <v>0</v>
      </c>
      <c r="O44" s="18" t="n">
        <v>2.03152769</v>
      </c>
      <c r="P44" s="20" t="n">
        <v>0.5162181</v>
      </c>
      <c r="Q44" s="18" t="n">
        <v>2.01683093</v>
      </c>
      <c r="R44" s="20" t="n">
        <v>0.48676803</v>
      </c>
    </row>
    <row r="45" spans="1:18">
      <c r="A45" s="15" t="s">
        <v>468</v>
      </c>
      <c r="B45" s="17" t="n">
        <v>5519</v>
      </c>
      <c r="C45" s="18">
        <f>(4593.0/B45*100)</f>
        <v/>
      </c>
      <c r="D45" s="19" t="n">
        <v>926</v>
      </c>
      <c r="E45" s="18" t="n">
        <v>27.18654494</v>
      </c>
      <c r="F45" s="20" t="n">
        <v>1.43788496</v>
      </c>
      <c r="G45" s="18" t="n">
        <v>62.97763747</v>
      </c>
      <c r="H45" s="20" t="n">
        <v>1.48162831</v>
      </c>
      <c r="I45" s="18" t="n">
        <v>0</v>
      </c>
      <c r="J45" s="20" t="n">
        <v>0</v>
      </c>
      <c r="K45" s="18" t="n">
        <v>2.51983219</v>
      </c>
      <c r="L45" s="20" t="n">
        <v>0.85089861</v>
      </c>
      <c r="M45" s="18" t="n">
        <v>0.28842474</v>
      </c>
      <c r="N45" s="20" t="n">
        <v>0.21253228</v>
      </c>
      <c r="O45" s="18" t="n">
        <v>3.77736536</v>
      </c>
      <c r="P45" s="20" t="n">
        <v>0.79756946</v>
      </c>
      <c r="Q45" s="18" t="n">
        <v>3.25019531</v>
      </c>
      <c r="R45" s="20" t="n">
        <v>0.50550353</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17.35922439</v>
      </c>
      <c r="F57" s="20" t="n">
        <v>1.34577972</v>
      </c>
      <c r="G57" s="18" t="n">
        <v>77.76806306</v>
      </c>
      <c r="H57" s="20" t="n">
        <v>1.47038743</v>
      </c>
      <c r="I57" s="18" t="n">
        <v>0</v>
      </c>
      <c r="J57" s="20" t="n">
        <v>0</v>
      </c>
      <c r="K57" s="18" t="n">
        <v>1.09243018</v>
      </c>
      <c r="L57" s="20" t="n">
        <v>0.36428516</v>
      </c>
      <c r="M57" s="18" t="n">
        <v>0</v>
      </c>
      <c r="N57" s="20" t="n">
        <v>0</v>
      </c>
      <c r="O57" s="18" t="n">
        <v>0.23842963</v>
      </c>
      <c r="P57" s="20" t="n">
        <v>0.16804584</v>
      </c>
      <c r="Q57" s="18" t="n">
        <v>3.54185274</v>
      </c>
      <c r="R57" s="20" t="n">
        <v>0.64354773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25.67897209</v>
      </c>
      <c r="F59" s="20" t="n">
        <v>1.78705683</v>
      </c>
      <c r="G59" s="18" t="n">
        <v>71.960314</v>
      </c>
      <c r="H59" s="20" t="n">
        <v>1.92664782</v>
      </c>
      <c r="I59" s="18" t="n">
        <v>0</v>
      </c>
      <c r="J59" s="20" t="n">
        <v>0</v>
      </c>
      <c r="K59" s="18" t="n">
        <v>0.12765501</v>
      </c>
      <c r="L59" s="20" t="n">
        <v>0.09485407</v>
      </c>
      <c r="M59" s="18" t="n">
        <v>0</v>
      </c>
      <c r="N59" s="20" t="n">
        <v>0</v>
      </c>
      <c r="O59" s="18" t="n">
        <v>1.03739458</v>
      </c>
      <c r="P59" s="20" t="n">
        <v>0.40067886</v>
      </c>
      <c r="Q59" s="18" t="n">
        <v>1.19566433</v>
      </c>
      <c r="R59" s="20" t="n">
        <v>0.45857974</v>
      </c>
    </row>
    <row r="60" spans="1:18">
      <c r="A60" s="15" t="s">
        <v>484</v>
      </c>
      <c r="B60" s="17" t="n">
        <v>4546</v>
      </c>
      <c r="C60" s="18">
        <f>(3782.0/B60*100)</f>
        <v/>
      </c>
      <c r="D60" s="19" t="n">
        <v>764</v>
      </c>
      <c r="E60" s="18" t="n">
        <v>37.85275292</v>
      </c>
      <c r="F60" s="20" t="n">
        <v>2.1308104</v>
      </c>
      <c r="G60" s="18" t="n">
        <v>51.51629214</v>
      </c>
      <c r="H60" s="20" t="n">
        <v>2.02218579</v>
      </c>
      <c r="I60" s="18" t="n">
        <v>0</v>
      </c>
      <c r="J60" s="20" t="n">
        <v>0</v>
      </c>
      <c r="K60" s="18" t="n">
        <v>2.28931504</v>
      </c>
      <c r="L60" s="20" t="n">
        <v>0.68816218</v>
      </c>
      <c r="M60" s="18" t="n">
        <v>0</v>
      </c>
      <c r="N60" s="20" t="n">
        <v>0</v>
      </c>
      <c r="O60" s="18" t="n">
        <v>3.4997538</v>
      </c>
      <c r="P60" s="20" t="n">
        <v>0.6329326</v>
      </c>
      <c r="Q60" s="18" t="n">
        <v>4.8418861</v>
      </c>
      <c r="R60" s="20" t="n">
        <v>0.98738171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29.92146273</v>
      </c>
      <c r="F63" s="20" t="n">
        <v>1.48775042</v>
      </c>
      <c r="G63" s="18" t="n">
        <v>64.59976623</v>
      </c>
      <c r="H63" s="20" t="n">
        <v>1.34156428</v>
      </c>
      <c r="I63" s="18" t="n">
        <v>0</v>
      </c>
      <c r="J63" s="20" t="n">
        <v>0</v>
      </c>
      <c r="K63" s="18" t="n">
        <v>1.72953241</v>
      </c>
      <c r="L63" s="20" t="n">
        <v>0.47875519</v>
      </c>
      <c r="M63" s="18" t="n">
        <v>0</v>
      </c>
      <c r="N63" s="20" t="n">
        <v>0</v>
      </c>
      <c r="O63" s="18" t="n">
        <v>1.80099051</v>
      </c>
      <c r="P63" s="20" t="n">
        <v>0.58081817</v>
      </c>
      <c r="Q63" s="18" t="n">
        <v>1.94824813</v>
      </c>
      <c r="R63" s="20" t="n">
        <v>0.45129697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19.74932685</v>
      </c>
      <c r="F66" s="20" t="n">
        <v>1.44815899</v>
      </c>
      <c r="G66" s="18" t="n">
        <v>73.74792841</v>
      </c>
      <c r="H66" s="20" t="n">
        <v>1.47914952</v>
      </c>
      <c r="I66" s="18" t="n">
        <v>0</v>
      </c>
      <c r="J66" s="20" t="n">
        <v>0</v>
      </c>
      <c r="K66" s="18" t="n">
        <v>2.30029839</v>
      </c>
      <c r="L66" s="20" t="n">
        <v>0.53465069</v>
      </c>
      <c r="M66" s="18" t="n">
        <v>2.96636148</v>
      </c>
      <c r="N66" s="20" t="n">
        <v>0.57900526</v>
      </c>
      <c r="O66" s="18" t="n">
        <v>0</v>
      </c>
      <c r="P66" s="20" t="n">
        <v>0</v>
      </c>
      <c r="Q66" s="18" t="n">
        <v>1.23608486</v>
      </c>
      <c r="R66" s="20" t="n">
        <v>0.36389073</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10.94441323</v>
      </c>
      <c r="F69" s="20" t="n">
        <v>2.96758573</v>
      </c>
      <c r="G69" s="18" t="n">
        <v>88.5797656</v>
      </c>
      <c r="H69" s="20" t="n">
        <v>3.04432608</v>
      </c>
      <c r="I69" s="18" t="n">
        <v>0</v>
      </c>
      <c r="J69" s="20" t="n">
        <v>0</v>
      </c>
      <c r="K69" s="18" t="n">
        <v>0</v>
      </c>
      <c r="L69" s="20" t="n">
        <v>0</v>
      </c>
      <c r="M69" s="18" t="n">
        <v>0</v>
      </c>
      <c r="N69" s="20" t="n">
        <v>0</v>
      </c>
      <c r="O69" s="18" t="n">
        <v>0</v>
      </c>
      <c r="P69" s="20" t="n">
        <v>0</v>
      </c>
      <c r="Q69" s="18" t="n">
        <v>0.47582117</v>
      </c>
      <c r="R69" s="20" t="n">
        <v>0.52992542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19.75011284</v>
      </c>
      <c r="F71" s="20" t="n">
        <v>1.75595845</v>
      </c>
      <c r="G71" s="18" t="n">
        <v>79.90598383</v>
      </c>
      <c r="H71" s="20" t="n">
        <v>1.75818224</v>
      </c>
      <c r="I71" s="18" t="n">
        <v>0</v>
      </c>
      <c r="J71" s="20" t="n">
        <v>0</v>
      </c>
      <c r="K71" s="18" t="n">
        <v>0.12114329</v>
      </c>
      <c r="L71" s="20" t="n">
        <v>0.12077856</v>
      </c>
      <c r="M71" s="18" t="n">
        <v>0</v>
      </c>
      <c r="N71" s="20" t="n">
        <v>0</v>
      </c>
      <c r="O71" s="18" t="n">
        <v>0</v>
      </c>
      <c r="P71" s="20" t="n">
        <v>0</v>
      </c>
      <c r="Q71" s="18" t="n">
        <v>0.22276004</v>
      </c>
      <c r="R71" s="20" t="n">
        <v>0.16119766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6.76931419</v>
      </c>
      <c r="F76" s="20" t="n">
        <v>0.95440202</v>
      </c>
      <c r="G76" s="18" t="n">
        <v>90.48221650000001</v>
      </c>
      <c r="H76" s="20" t="n">
        <v>1.09374035</v>
      </c>
      <c r="I76" s="18" t="n">
        <v>0</v>
      </c>
      <c r="J76" s="20" t="n">
        <v>0</v>
      </c>
      <c r="K76" s="18" t="n">
        <v>1.80030238</v>
      </c>
      <c r="L76" s="20" t="n">
        <v>0.52162215</v>
      </c>
      <c r="M76" s="18" t="n">
        <v>0</v>
      </c>
      <c r="N76" s="20" t="n">
        <v>0</v>
      </c>
      <c r="O76" s="18" t="n">
        <v>0</v>
      </c>
      <c r="P76" s="20" t="n">
        <v>0</v>
      </c>
      <c r="Q76" s="18" t="n">
        <v>0.94816693</v>
      </c>
      <c r="R76" s="20" t="n">
        <v>0.36752115</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6.12620936</v>
      </c>
      <c r="F80" s="20" t="n">
        <v>1.10634119</v>
      </c>
      <c r="G80" s="18" t="n">
        <v>93.87379064</v>
      </c>
      <c r="H80" s="20" t="n">
        <v>1.10634119</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(1373.0/B81*100)</f>
        <v/>
      </c>
      <c r="D81" s="19" t="n">
        <v>284</v>
      </c>
      <c r="E81" s="18" t="n">
        <v>5.84255083</v>
      </c>
      <c r="F81" s="20" t="n">
        <v>1.36626311</v>
      </c>
      <c r="G81" s="18" t="n">
        <v>91.13835628</v>
      </c>
      <c r="H81" s="20" t="n">
        <v>1.72202875</v>
      </c>
      <c r="I81" s="18" t="n">
        <v>0</v>
      </c>
      <c r="J81" s="20" t="n">
        <v>0</v>
      </c>
      <c r="K81" s="18" t="n">
        <v>0.87707814</v>
      </c>
      <c r="L81" s="20" t="n">
        <v>0.69951249</v>
      </c>
      <c r="M81" s="18" t="n">
        <v>0</v>
      </c>
      <c r="N81" s="20" t="n">
        <v>0</v>
      </c>
      <c r="O81" s="18" t="n">
        <v>0</v>
      </c>
      <c r="P81" s="20" t="n">
        <v>0</v>
      </c>
      <c r="Q81" s="18" t="n">
        <v>2.14201475</v>
      </c>
      <c r="R81" s="20" t="n">
        <v>1.11928217</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717</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34.13230305</v>
      </c>
      <c r="F44" s="20" t="n">
        <v>2.26554349</v>
      </c>
      <c r="G44" s="18" t="n">
        <v>60.37759678</v>
      </c>
      <c r="H44" s="20" t="n">
        <v>2.33970607</v>
      </c>
      <c r="I44" s="18" t="n">
        <v>0</v>
      </c>
      <c r="J44" s="20" t="n">
        <v>0</v>
      </c>
      <c r="K44" s="18" t="n">
        <v>1.35499716</v>
      </c>
      <c r="L44" s="20" t="n">
        <v>0.4228857</v>
      </c>
      <c r="M44" s="18" t="n">
        <v>0</v>
      </c>
      <c r="N44" s="20" t="n">
        <v>0</v>
      </c>
      <c r="O44" s="18" t="n">
        <v>1.7969179</v>
      </c>
      <c r="P44" s="20" t="n">
        <v>0.39455384</v>
      </c>
      <c r="Q44" s="18" t="n">
        <v>2.33818511</v>
      </c>
      <c r="R44" s="20" t="n">
        <v>0.57918858</v>
      </c>
    </row>
    <row r="45" spans="1:18">
      <c r="A45" s="15" t="s">
        <v>468</v>
      </c>
      <c r="B45" s="17" t="n">
        <v>5519</v>
      </c>
      <c r="C45" s="18">
        <f>(4593.0/B45*100)</f>
        <v/>
      </c>
      <c r="D45" s="19" t="n">
        <v>926</v>
      </c>
      <c r="E45" s="18" t="n">
        <v>56.14194314</v>
      </c>
      <c r="F45" s="20" t="n">
        <v>1.86026412</v>
      </c>
      <c r="G45" s="18" t="n">
        <v>33.91302085</v>
      </c>
      <c r="H45" s="20" t="n">
        <v>1.7866448</v>
      </c>
      <c r="I45" s="18" t="n">
        <v>0</v>
      </c>
      <c r="J45" s="20" t="n">
        <v>0</v>
      </c>
      <c r="K45" s="18" t="n">
        <v>2.61601927</v>
      </c>
      <c r="L45" s="20" t="n">
        <v>0.86878987</v>
      </c>
      <c r="M45" s="18" t="n">
        <v>0.28842474</v>
      </c>
      <c r="N45" s="20" t="n">
        <v>0.21253228</v>
      </c>
      <c r="O45" s="18" t="n">
        <v>2.99684183</v>
      </c>
      <c r="P45" s="20" t="n">
        <v>0.59484979</v>
      </c>
      <c r="Q45" s="18" t="n">
        <v>4.04375017</v>
      </c>
      <c r="R45" s="20" t="n">
        <v>0.66495351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59.45147989</v>
      </c>
      <c r="F57" s="20" t="n">
        <v>1.61569539</v>
      </c>
      <c r="G57" s="18" t="n">
        <v>35.42837145</v>
      </c>
      <c r="H57" s="20" t="n">
        <v>1.49386602</v>
      </c>
      <c r="I57" s="18" t="n">
        <v>0</v>
      </c>
      <c r="J57" s="20" t="n">
        <v>0</v>
      </c>
      <c r="K57" s="18" t="n">
        <v>1.09243018</v>
      </c>
      <c r="L57" s="20" t="n">
        <v>0.36428516</v>
      </c>
      <c r="M57" s="18" t="n">
        <v>0</v>
      </c>
      <c r="N57" s="20" t="n">
        <v>0</v>
      </c>
      <c r="O57" s="18" t="n">
        <v>0.46815909</v>
      </c>
      <c r="P57" s="20" t="n">
        <v>0.2129412</v>
      </c>
      <c r="Q57" s="18" t="n">
        <v>3.55955939</v>
      </c>
      <c r="R57" s="20" t="n">
        <v>0.65885956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55.02685338</v>
      </c>
      <c r="F59" s="20" t="n">
        <v>2.18433074</v>
      </c>
      <c r="G59" s="18" t="n">
        <v>41.46602394</v>
      </c>
      <c r="H59" s="20" t="n">
        <v>2.11609293</v>
      </c>
      <c r="I59" s="18" t="n">
        <v>0</v>
      </c>
      <c r="J59" s="20" t="n">
        <v>0</v>
      </c>
      <c r="K59" s="18" t="n">
        <v>0.12765501</v>
      </c>
      <c r="L59" s="20" t="n">
        <v>0.09485407</v>
      </c>
      <c r="M59" s="18" t="n">
        <v>0</v>
      </c>
      <c r="N59" s="20" t="n">
        <v>0</v>
      </c>
      <c r="O59" s="18" t="n">
        <v>1.92657288</v>
      </c>
      <c r="P59" s="20" t="n">
        <v>0.6065251699999999</v>
      </c>
      <c r="Q59" s="18" t="n">
        <v>1.45289479</v>
      </c>
      <c r="R59" s="20" t="n">
        <v>0.49287158</v>
      </c>
    </row>
    <row r="60" spans="1:18">
      <c r="A60" s="15" t="s">
        <v>484</v>
      </c>
      <c r="B60" s="17" t="n">
        <v>4546</v>
      </c>
      <c r="C60" s="18">
        <f>(3782.0/B60*100)</f>
        <v/>
      </c>
      <c r="D60" s="19" t="n">
        <v>764</v>
      </c>
      <c r="E60" s="18" t="n">
        <v>48.28292334</v>
      </c>
      <c r="F60" s="20" t="n">
        <v>2.00086357</v>
      </c>
      <c r="G60" s="18" t="n">
        <v>41.31415981</v>
      </c>
      <c r="H60" s="20" t="n">
        <v>1.75946848</v>
      </c>
      <c r="I60" s="18" t="n">
        <v>0</v>
      </c>
      <c r="J60" s="20" t="n">
        <v>0</v>
      </c>
      <c r="K60" s="18" t="n">
        <v>2.43522753</v>
      </c>
      <c r="L60" s="20" t="n">
        <v>0.7039846400000001</v>
      </c>
      <c r="M60" s="18" t="n">
        <v>0</v>
      </c>
      <c r="N60" s="20" t="n">
        <v>0</v>
      </c>
      <c r="O60" s="18" t="n">
        <v>3.57342302</v>
      </c>
      <c r="P60" s="20" t="n">
        <v>0.68867579</v>
      </c>
      <c r="Q60" s="18" t="n">
        <v>4.3942663</v>
      </c>
      <c r="R60" s="20" t="n">
        <v>0.72188761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59.37713401</v>
      </c>
      <c r="F63" s="20" t="n">
        <v>1.68865579</v>
      </c>
      <c r="G63" s="18" t="n">
        <v>34.87484122</v>
      </c>
      <c r="H63" s="20" t="n">
        <v>1.64225316</v>
      </c>
      <c r="I63" s="18" t="n">
        <v>0</v>
      </c>
      <c r="J63" s="20" t="n">
        <v>0</v>
      </c>
      <c r="K63" s="18" t="n">
        <v>1.72953241</v>
      </c>
      <c r="L63" s="20" t="n">
        <v>0.47875519</v>
      </c>
      <c r="M63" s="18" t="n">
        <v>0</v>
      </c>
      <c r="N63" s="20" t="n">
        <v>0</v>
      </c>
      <c r="O63" s="18" t="n">
        <v>0.58725482</v>
      </c>
      <c r="P63" s="20" t="n">
        <v>0.2795089</v>
      </c>
      <c r="Q63" s="18" t="n">
        <v>3.43123755</v>
      </c>
      <c r="R63" s="20" t="n">
        <v>0.58393789</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35.20529963</v>
      </c>
      <c r="F66" s="20" t="n">
        <v>1.84385183</v>
      </c>
      <c r="G66" s="18" t="n">
        <v>58.06470577</v>
      </c>
      <c r="H66" s="20" t="n">
        <v>1.88083839</v>
      </c>
      <c r="I66" s="18" t="n">
        <v>0</v>
      </c>
      <c r="J66" s="20" t="n">
        <v>0</v>
      </c>
      <c r="K66" s="18" t="n">
        <v>2.30029839</v>
      </c>
      <c r="L66" s="20" t="n">
        <v>0.53465069</v>
      </c>
      <c r="M66" s="18" t="n">
        <v>2.84503176</v>
      </c>
      <c r="N66" s="20" t="n">
        <v>0.52230575</v>
      </c>
      <c r="O66" s="18" t="n">
        <v>0</v>
      </c>
      <c r="P66" s="20" t="n">
        <v>0</v>
      </c>
      <c r="Q66" s="18" t="n">
        <v>1.58466445</v>
      </c>
      <c r="R66" s="20" t="n">
        <v>0.39265475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39.43602075</v>
      </c>
      <c r="F69" s="20" t="n">
        <v>3.99820428</v>
      </c>
      <c r="G69" s="18" t="n">
        <v>59.67173186</v>
      </c>
      <c r="H69" s="20" t="n">
        <v>3.979981</v>
      </c>
      <c r="I69" s="18" t="n">
        <v>0</v>
      </c>
      <c r="J69" s="20" t="n">
        <v>0</v>
      </c>
      <c r="K69" s="18" t="n">
        <v>0</v>
      </c>
      <c r="L69" s="20" t="n">
        <v>0</v>
      </c>
      <c r="M69" s="18" t="n">
        <v>0</v>
      </c>
      <c r="N69" s="20" t="n">
        <v>0</v>
      </c>
      <c r="O69" s="18" t="n">
        <v>0</v>
      </c>
      <c r="P69" s="20" t="n">
        <v>0</v>
      </c>
      <c r="Q69" s="18" t="n">
        <v>0.8922474</v>
      </c>
      <c r="R69" s="20" t="n">
        <v>0.66651954</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31.81269535</v>
      </c>
      <c r="F71" s="20" t="n">
        <v>1.97448982</v>
      </c>
      <c r="G71" s="18" t="n">
        <v>67.72518306000001</v>
      </c>
      <c r="H71" s="20" t="n">
        <v>1.94446366</v>
      </c>
      <c r="I71" s="18" t="n">
        <v>0</v>
      </c>
      <c r="J71" s="20" t="n">
        <v>0</v>
      </c>
      <c r="K71" s="18" t="n">
        <v>0.12114329</v>
      </c>
      <c r="L71" s="20" t="n">
        <v>0.12077856</v>
      </c>
      <c r="M71" s="18" t="n">
        <v>0</v>
      </c>
      <c r="N71" s="20" t="n">
        <v>0</v>
      </c>
      <c r="O71" s="18" t="n">
        <v>0.11821826</v>
      </c>
      <c r="P71" s="20" t="n">
        <v>0.11800397</v>
      </c>
      <c r="Q71" s="18" t="n">
        <v>0.22276004</v>
      </c>
      <c r="R71" s="20" t="n">
        <v>0.16119766</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23.01063195</v>
      </c>
      <c r="F76" s="20" t="n">
        <v>1.63846246</v>
      </c>
      <c r="G76" s="18" t="n">
        <v>73.02744592000001</v>
      </c>
      <c r="H76" s="20" t="n">
        <v>1.90492163</v>
      </c>
      <c r="I76" s="18" t="n">
        <v>0</v>
      </c>
      <c r="J76" s="20" t="n">
        <v>0</v>
      </c>
      <c r="K76" s="18" t="n">
        <v>1.98355789</v>
      </c>
      <c r="L76" s="20" t="n">
        <v>0.53911622</v>
      </c>
      <c r="M76" s="18" t="n">
        <v>0</v>
      </c>
      <c r="N76" s="20" t="n">
        <v>0</v>
      </c>
      <c r="O76" s="18" t="n">
        <v>0</v>
      </c>
      <c r="P76" s="20" t="n">
        <v>0</v>
      </c>
      <c r="Q76" s="18" t="n">
        <v>1.97836424</v>
      </c>
      <c r="R76" s="20" t="n">
        <v>0.53765556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8.52857654</v>
      </c>
      <c r="F80" s="20" t="n">
        <v>0.9177191</v>
      </c>
      <c r="G80" s="18" t="n">
        <v>91.40727307</v>
      </c>
      <c r="H80" s="20" t="n">
        <v>0.92006931</v>
      </c>
      <c r="I80" s="18" t="n">
        <v>0</v>
      </c>
      <c r="J80" s="20" t="n">
        <v>0</v>
      </c>
      <c r="K80" s="18" t="n">
        <v>0</v>
      </c>
      <c r="L80" s="20" t="n">
        <v>0</v>
      </c>
      <c r="M80" s="18" t="n">
        <v>0</v>
      </c>
      <c r="N80" s="20" t="n">
        <v>0</v>
      </c>
      <c r="O80" s="18" t="n">
        <v>0</v>
      </c>
      <c r="P80" s="20" t="n">
        <v>0</v>
      </c>
      <c r="Q80" s="18" t="n">
        <v>0.06415039</v>
      </c>
      <c r="R80" s="20" t="n">
        <v>0.06440645</v>
      </c>
    </row>
    <row r="81" spans="1:18">
      <c r="A81" s="15" t="s">
        <v>505</v>
      </c>
      <c r="B81" s="17" t="n">
        <v>1657</v>
      </c>
      <c r="C81" s="18">
        <f>(1373.0/B81*100)</f>
        <v/>
      </c>
      <c r="D81" s="19" t="n">
        <v>284</v>
      </c>
      <c r="E81" s="18" t="n">
        <v>22.60317166</v>
      </c>
      <c r="F81" s="20" t="n">
        <v>2.30885107</v>
      </c>
      <c r="G81" s="18" t="n">
        <v>73.93776445</v>
      </c>
      <c r="H81" s="20" t="n">
        <v>2.49502068</v>
      </c>
      <c r="I81" s="18" t="n">
        <v>0</v>
      </c>
      <c r="J81" s="20" t="n">
        <v>0</v>
      </c>
      <c r="K81" s="18" t="n">
        <v>0.87707814</v>
      </c>
      <c r="L81" s="20" t="n">
        <v>0.69951249</v>
      </c>
      <c r="M81" s="18" t="n">
        <v>0</v>
      </c>
      <c r="N81" s="20" t="n">
        <v>0</v>
      </c>
      <c r="O81" s="18" t="n">
        <v>0.76083503</v>
      </c>
      <c r="P81" s="20" t="n">
        <v>0.53837541</v>
      </c>
      <c r="Q81" s="18" t="n">
        <v>1.82115071</v>
      </c>
      <c r="R81" s="20" t="n">
        <v>1.04073638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42.04407155</v>
      </c>
      <c r="F44" s="20" t="n">
        <v>1.97684085</v>
      </c>
      <c r="G44" s="18" t="n">
        <v>44.20103952</v>
      </c>
      <c r="H44" s="20" t="n">
        <v>1.87284065</v>
      </c>
      <c r="I44" s="18" t="n">
        <v>0</v>
      </c>
      <c r="J44" s="20" t="n">
        <v>0</v>
      </c>
      <c r="K44" s="18" t="n">
        <v>1.87328369</v>
      </c>
      <c r="L44" s="20" t="n">
        <v>0.49479403</v>
      </c>
      <c r="M44" s="18" t="n">
        <v>0</v>
      </c>
      <c r="N44" s="20" t="n">
        <v>0</v>
      </c>
      <c r="O44" s="18" t="n">
        <v>0</v>
      </c>
      <c r="P44" s="20" t="n">
        <v>0</v>
      </c>
      <c r="Q44" s="18" t="n">
        <v>11.88160523</v>
      </c>
      <c r="R44" s="20" t="n">
        <v>1.36436139</v>
      </c>
    </row>
    <row r="45" spans="1:18">
      <c r="A45" s="15" t="s">
        <v>468</v>
      </c>
      <c r="B45" s="17" t="n">
        <v>5519</v>
      </c>
      <c r="C45" s="18">
        <f>(4593.0/B45*100)</f>
        <v/>
      </c>
      <c r="D45" s="19" t="n">
        <v>926</v>
      </c>
      <c r="E45" s="18" t="n">
        <v>65.76516058</v>
      </c>
      <c r="F45" s="20" t="n">
        <v>1.64654064</v>
      </c>
      <c r="G45" s="18" t="n">
        <v>17.74169965</v>
      </c>
      <c r="H45" s="20" t="n">
        <v>1.3728501</v>
      </c>
      <c r="I45" s="18" t="n">
        <v>0</v>
      </c>
      <c r="J45" s="20" t="n">
        <v>0</v>
      </c>
      <c r="K45" s="18" t="n">
        <v>3.26093501</v>
      </c>
      <c r="L45" s="20" t="n">
        <v>0.9238997</v>
      </c>
      <c r="M45" s="18" t="n">
        <v>3.57870517</v>
      </c>
      <c r="N45" s="20" t="n">
        <v>0.7302362999999999</v>
      </c>
      <c r="O45" s="18" t="n">
        <v>0.08035576</v>
      </c>
      <c r="P45" s="20" t="n">
        <v>0.11788597</v>
      </c>
      <c r="Q45" s="18" t="n">
        <v>9.57314384</v>
      </c>
      <c r="R45" s="20" t="n">
        <v>1.00815865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36.4942086</v>
      </c>
      <c r="F57" s="20" t="n">
        <v>1.63808594</v>
      </c>
      <c r="G57" s="18" t="n">
        <v>56.30575079</v>
      </c>
      <c r="H57" s="20" t="n">
        <v>1.63601981</v>
      </c>
      <c r="I57" s="18" t="n">
        <v>0</v>
      </c>
      <c r="J57" s="20" t="n">
        <v>0</v>
      </c>
      <c r="K57" s="18" t="n">
        <v>1.33875026</v>
      </c>
      <c r="L57" s="20" t="n">
        <v>0.36929392</v>
      </c>
      <c r="M57" s="18" t="n">
        <v>0</v>
      </c>
      <c r="N57" s="20" t="n">
        <v>0</v>
      </c>
      <c r="O57" s="18" t="n">
        <v>0</v>
      </c>
      <c r="P57" s="20" t="n">
        <v>0</v>
      </c>
      <c r="Q57" s="18" t="n">
        <v>5.86129036</v>
      </c>
      <c r="R57" s="20" t="n">
        <v>0.79416756</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79.37842695000001</v>
      </c>
      <c r="F59" s="20" t="n">
        <v>1.89959792</v>
      </c>
      <c r="G59" s="18" t="n">
        <v>12.46960613</v>
      </c>
      <c r="H59" s="20" t="n">
        <v>1.63216114</v>
      </c>
      <c r="I59" s="18" t="n">
        <v>0</v>
      </c>
      <c r="J59" s="20" t="n">
        <v>0</v>
      </c>
      <c r="K59" s="18" t="n">
        <v>0.12765501</v>
      </c>
      <c r="L59" s="20" t="n">
        <v>0.09485407</v>
      </c>
      <c r="M59" s="18" t="n">
        <v>0</v>
      </c>
      <c r="N59" s="20" t="n">
        <v>0</v>
      </c>
      <c r="O59" s="18" t="n">
        <v>0</v>
      </c>
      <c r="P59" s="20" t="n">
        <v>0</v>
      </c>
      <c r="Q59" s="18" t="n">
        <v>8.02431191</v>
      </c>
      <c r="R59" s="20" t="n">
        <v>1.01599673</v>
      </c>
    </row>
    <row r="60" spans="1:18">
      <c r="A60" s="15" t="s">
        <v>484</v>
      </c>
      <c r="B60" s="17" t="n">
        <v>4546</v>
      </c>
      <c r="C60" s="18">
        <f>(3782.0/B60*100)</f>
        <v/>
      </c>
      <c r="D60" s="19" t="n">
        <v>764</v>
      </c>
      <c r="E60" s="18" t="n">
        <v>42.29875708</v>
      </c>
      <c r="F60" s="20" t="n">
        <v>2.03672561</v>
      </c>
      <c r="G60" s="18" t="n">
        <v>41.51793983</v>
      </c>
      <c r="H60" s="20" t="n">
        <v>2.2678062</v>
      </c>
      <c r="I60" s="18" t="n">
        <v>0</v>
      </c>
      <c r="J60" s="20" t="n">
        <v>0</v>
      </c>
      <c r="K60" s="18" t="n">
        <v>3.79205718</v>
      </c>
      <c r="L60" s="20" t="n">
        <v>0.99805312</v>
      </c>
      <c r="M60" s="18" t="n">
        <v>0</v>
      </c>
      <c r="N60" s="20" t="n">
        <v>0</v>
      </c>
      <c r="O60" s="18" t="n">
        <v>0</v>
      </c>
      <c r="P60" s="20" t="n">
        <v>0</v>
      </c>
      <c r="Q60" s="18" t="n">
        <v>12.39124591</v>
      </c>
      <c r="R60" s="20" t="n">
        <v>1.36699866</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39.37539106</v>
      </c>
      <c r="F63" s="20" t="n">
        <v>1.82897469</v>
      </c>
      <c r="G63" s="18" t="n">
        <v>28.07509875</v>
      </c>
      <c r="H63" s="20" t="n">
        <v>1.83706951</v>
      </c>
      <c r="I63" s="18" t="n">
        <v>0</v>
      </c>
      <c r="J63" s="20" t="n">
        <v>0</v>
      </c>
      <c r="K63" s="18" t="n">
        <v>2.14366045</v>
      </c>
      <c r="L63" s="20" t="n">
        <v>0.52859174</v>
      </c>
      <c r="M63" s="18" t="n">
        <v>0</v>
      </c>
      <c r="N63" s="20" t="n">
        <v>0</v>
      </c>
      <c r="O63" s="18" t="n">
        <v>0</v>
      </c>
      <c r="P63" s="20" t="n">
        <v>0</v>
      </c>
      <c r="Q63" s="18" t="n">
        <v>30.40584974</v>
      </c>
      <c r="R63" s="20" t="n">
        <v>1.80207874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48.15001629</v>
      </c>
      <c r="F66" s="20" t="n">
        <v>1.85095772</v>
      </c>
      <c r="G66" s="18" t="n">
        <v>37.85523617</v>
      </c>
      <c r="H66" s="20" t="n">
        <v>1.79645608</v>
      </c>
      <c r="I66" s="18" t="n">
        <v>0</v>
      </c>
      <c r="J66" s="20" t="n">
        <v>0</v>
      </c>
      <c r="K66" s="18" t="n">
        <v>2.948834</v>
      </c>
      <c r="L66" s="20" t="n">
        <v>0.63110546</v>
      </c>
      <c r="M66" s="18" t="n">
        <v>0</v>
      </c>
      <c r="N66" s="20" t="n">
        <v>0</v>
      </c>
      <c r="O66" s="18" t="n">
        <v>0</v>
      </c>
      <c r="P66" s="20" t="n">
        <v>0</v>
      </c>
      <c r="Q66" s="18" t="n">
        <v>11.04591354</v>
      </c>
      <c r="R66" s="20" t="n">
        <v>0.94678246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51.66866436</v>
      </c>
      <c r="F69" s="20" t="n">
        <v>4.15925256</v>
      </c>
      <c r="G69" s="18" t="n">
        <v>42.85269546</v>
      </c>
      <c r="H69" s="20" t="n">
        <v>3.89433257</v>
      </c>
      <c r="I69" s="18" t="n">
        <v>0</v>
      </c>
      <c r="J69" s="20" t="n">
        <v>0</v>
      </c>
      <c r="K69" s="18" t="n">
        <v>0</v>
      </c>
      <c r="L69" s="20" t="n">
        <v>0</v>
      </c>
      <c r="M69" s="18" t="n">
        <v>0</v>
      </c>
      <c r="N69" s="20" t="n">
        <v>0</v>
      </c>
      <c r="O69" s="18" t="n">
        <v>0</v>
      </c>
      <c r="P69" s="20" t="n">
        <v>0</v>
      </c>
      <c r="Q69" s="18" t="n">
        <v>5.47864018</v>
      </c>
      <c r="R69" s="20" t="n">
        <v>2.16810676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52.75873633</v>
      </c>
      <c r="F71" s="20" t="n">
        <v>2.15267397</v>
      </c>
      <c r="G71" s="18" t="n">
        <v>46.0654367</v>
      </c>
      <c r="H71" s="20" t="n">
        <v>2.14501111</v>
      </c>
      <c r="I71" s="18" t="n">
        <v>0</v>
      </c>
      <c r="J71" s="20" t="n">
        <v>0</v>
      </c>
      <c r="K71" s="18" t="n">
        <v>0.12114329</v>
      </c>
      <c r="L71" s="20" t="n">
        <v>0.12077856</v>
      </c>
      <c r="M71" s="18" t="n">
        <v>0</v>
      </c>
      <c r="N71" s="20" t="n">
        <v>0</v>
      </c>
      <c r="O71" s="18" t="n">
        <v>0</v>
      </c>
      <c r="P71" s="20" t="n">
        <v>0</v>
      </c>
      <c r="Q71" s="18" t="n">
        <v>1.05468368</v>
      </c>
      <c r="R71" s="20" t="n">
        <v>0.38657641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50.47310272</v>
      </c>
      <c r="F76" s="20" t="n">
        <v>1.84529517</v>
      </c>
      <c r="G76" s="18" t="n">
        <v>36.54541808</v>
      </c>
      <c r="H76" s="20" t="n">
        <v>1.8464239</v>
      </c>
      <c r="I76" s="18" t="n">
        <v>0</v>
      </c>
      <c r="J76" s="20" t="n">
        <v>0</v>
      </c>
      <c r="K76" s="18" t="n">
        <v>3.09944159</v>
      </c>
      <c r="L76" s="20" t="n">
        <v>0.6113811099999999</v>
      </c>
      <c r="M76" s="18" t="n">
        <v>0</v>
      </c>
      <c r="N76" s="20" t="n">
        <v>0</v>
      </c>
      <c r="O76" s="18" t="n">
        <v>0</v>
      </c>
      <c r="P76" s="20" t="n">
        <v>0</v>
      </c>
      <c r="Q76" s="18" t="n">
        <v>9.8820376</v>
      </c>
      <c r="R76" s="20" t="n">
        <v>1.14040392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55.31295946</v>
      </c>
      <c r="F80" s="20" t="n">
        <v>1.91108044</v>
      </c>
      <c r="G80" s="18" t="n">
        <v>43.60988167</v>
      </c>
      <c r="H80" s="20" t="n">
        <v>1.90050288</v>
      </c>
      <c r="I80" s="18" t="n">
        <v>0</v>
      </c>
      <c r="J80" s="20" t="n">
        <v>0</v>
      </c>
      <c r="K80" s="18" t="n">
        <v>0</v>
      </c>
      <c r="L80" s="20" t="n">
        <v>0</v>
      </c>
      <c r="M80" s="18" t="n">
        <v>0</v>
      </c>
      <c r="N80" s="20" t="n">
        <v>0</v>
      </c>
      <c r="O80" s="18" t="n">
        <v>0</v>
      </c>
      <c r="P80" s="20" t="n">
        <v>0</v>
      </c>
      <c r="Q80" s="18" t="n">
        <v>1.07715887</v>
      </c>
      <c r="R80" s="20" t="n">
        <v>0.43533145</v>
      </c>
    </row>
    <row r="81" spans="1:18">
      <c r="A81" s="15" t="s">
        <v>505</v>
      </c>
      <c r="B81" s="17" t="n">
        <v>1657</v>
      </c>
      <c r="C81" s="18">
        <f>(1373.0/B81*100)</f>
        <v/>
      </c>
      <c r="D81" s="19" t="n">
        <v>284</v>
      </c>
      <c r="E81" s="18" t="n">
        <v>40.17822647</v>
      </c>
      <c r="F81" s="20" t="n">
        <v>2.77644187</v>
      </c>
      <c r="G81" s="18" t="n">
        <v>50.08341487</v>
      </c>
      <c r="H81" s="20" t="n">
        <v>3.3362116</v>
      </c>
      <c r="I81" s="18" t="n">
        <v>0</v>
      </c>
      <c r="J81" s="20" t="n">
        <v>0</v>
      </c>
      <c r="K81" s="18" t="n">
        <v>1.26552011</v>
      </c>
      <c r="L81" s="20" t="n">
        <v>0.79083874</v>
      </c>
      <c r="M81" s="18" t="n">
        <v>0</v>
      </c>
      <c r="N81" s="20" t="n">
        <v>0</v>
      </c>
      <c r="O81" s="18" t="n">
        <v>0</v>
      </c>
      <c r="P81" s="20" t="n">
        <v>0</v>
      </c>
      <c r="Q81" s="18" t="n">
        <v>8.472838550000001</v>
      </c>
      <c r="R81" s="20" t="n">
        <v>1.65858074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719</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53.40473072</v>
      </c>
      <c r="F44" s="20" t="n">
        <v>1.89604084</v>
      </c>
      <c r="G44" s="18" t="n">
        <v>37.23109195</v>
      </c>
      <c r="H44" s="20" t="n">
        <v>1.87238681</v>
      </c>
      <c r="I44" s="18" t="n">
        <v>0</v>
      </c>
      <c r="J44" s="20" t="n">
        <v>0</v>
      </c>
      <c r="K44" s="18" t="n">
        <v>1.97303437</v>
      </c>
      <c r="L44" s="20" t="n">
        <v>0.50374876</v>
      </c>
      <c r="M44" s="18" t="n">
        <v>0</v>
      </c>
      <c r="N44" s="20" t="n">
        <v>0</v>
      </c>
      <c r="O44" s="18" t="n">
        <v>0</v>
      </c>
      <c r="P44" s="20" t="n">
        <v>0</v>
      </c>
      <c r="Q44" s="18" t="n">
        <v>7.39114295</v>
      </c>
      <c r="R44" s="20" t="n">
        <v>1.07864756</v>
      </c>
    </row>
    <row r="45" spans="1:18">
      <c r="A45" s="15" t="s">
        <v>468</v>
      </c>
      <c r="B45" s="17" t="n">
        <v>5519</v>
      </c>
      <c r="C45" s="18">
        <f>(4593.0/B45*100)</f>
        <v/>
      </c>
      <c r="D45" s="19" t="n">
        <v>926</v>
      </c>
      <c r="E45" s="18" t="n">
        <v>69.01084785</v>
      </c>
      <c r="F45" s="20" t="n">
        <v>1.67946901</v>
      </c>
      <c r="G45" s="18" t="n">
        <v>17.62820296</v>
      </c>
      <c r="H45" s="20" t="n">
        <v>1.4492869</v>
      </c>
      <c r="I45" s="18" t="n">
        <v>0</v>
      </c>
      <c r="J45" s="20" t="n">
        <v>0</v>
      </c>
      <c r="K45" s="18" t="n">
        <v>3.26093501</v>
      </c>
      <c r="L45" s="20" t="n">
        <v>0.9238997</v>
      </c>
      <c r="M45" s="18" t="n">
        <v>3.28552737</v>
      </c>
      <c r="N45" s="20" t="n">
        <v>0.736356</v>
      </c>
      <c r="O45" s="18" t="n">
        <v>0</v>
      </c>
      <c r="P45" s="20" t="n">
        <v>0</v>
      </c>
      <c r="Q45" s="18" t="n">
        <v>6.81448682</v>
      </c>
      <c r="R45" s="20" t="n">
        <v>0.89952979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39.27173827</v>
      </c>
      <c r="F57" s="20" t="n">
        <v>1.45617493</v>
      </c>
      <c r="G57" s="18" t="n">
        <v>56.75127745</v>
      </c>
      <c r="H57" s="20" t="n">
        <v>1.51660165</v>
      </c>
      <c r="I57" s="18" t="n">
        <v>0</v>
      </c>
      <c r="J57" s="20" t="n">
        <v>0</v>
      </c>
      <c r="K57" s="18" t="n">
        <v>1.33875026</v>
      </c>
      <c r="L57" s="20" t="n">
        <v>0.36929392</v>
      </c>
      <c r="M57" s="18" t="n">
        <v>0</v>
      </c>
      <c r="N57" s="20" t="n">
        <v>0</v>
      </c>
      <c r="O57" s="18" t="n">
        <v>0</v>
      </c>
      <c r="P57" s="20" t="n">
        <v>0</v>
      </c>
      <c r="Q57" s="18" t="n">
        <v>2.63823402</v>
      </c>
      <c r="R57" s="20" t="n">
        <v>0.47205474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84.51808431000001</v>
      </c>
      <c r="F59" s="20" t="n">
        <v>1.64029234</v>
      </c>
      <c r="G59" s="18" t="n">
        <v>9.58749018</v>
      </c>
      <c r="H59" s="20" t="n">
        <v>1.32763333</v>
      </c>
      <c r="I59" s="18" t="n">
        <v>0</v>
      </c>
      <c r="J59" s="20" t="n">
        <v>0</v>
      </c>
      <c r="K59" s="18" t="n">
        <v>0.12765501</v>
      </c>
      <c r="L59" s="20" t="n">
        <v>0.09485407</v>
      </c>
      <c r="M59" s="18" t="n">
        <v>0</v>
      </c>
      <c r="N59" s="20" t="n">
        <v>0</v>
      </c>
      <c r="O59" s="18" t="n">
        <v>0</v>
      </c>
      <c r="P59" s="20" t="n">
        <v>0</v>
      </c>
      <c r="Q59" s="18" t="n">
        <v>5.76677051</v>
      </c>
      <c r="R59" s="20" t="n">
        <v>0.85001597</v>
      </c>
    </row>
    <row r="60" spans="1:18">
      <c r="A60" s="15" t="s">
        <v>484</v>
      </c>
      <c r="B60" s="17" t="n">
        <v>4546</v>
      </c>
      <c r="C60" s="18">
        <f>(3782.0/B60*100)</f>
        <v/>
      </c>
      <c r="D60" s="19" t="n">
        <v>764</v>
      </c>
      <c r="E60" s="18" t="n">
        <v>60.60519364</v>
      </c>
      <c r="F60" s="20" t="n">
        <v>1.97641197</v>
      </c>
      <c r="G60" s="18" t="n">
        <v>21.74822728</v>
      </c>
      <c r="H60" s="20" t="n">
        <v>1.811953</v>
      </c>
      <c r="I60" s="18" t="n">
        <v>0</v>
      </c>
      <c r="J60" s="20" t="n">
        <v>0</v>
      </c>
      <c r="K60" s="18" t="n">
        <v>4.24263454</v>
      </c>
      <c r="L60" s="20" t="n">
        <v>1.05628329</v>
      </c>
      <c r="M60" s="18" t="n">
        <v>0.12545274</v>
      </c>
      <c r="N60" s="20" t="n">
        <v>0.12210943</v>
      </c>
      <c r="O60" s="18" t="n">
        <v>0</v>
      </c>
      <c r="P60" s="20" t="n">
        <v>0</v>
      </c>
      <c r="Q60" s="18" t="n">
        <v>13.2784918</v>
      </c>
      <c r="R60" s="20" t="n">
        <v>1.34597562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53.35735504</v>
      </c>
      <c r="F63" s="20" t="n">
        <v>2.07367594</v>
      </c>
      <c r="G63" s="18" t="n">
        <v>27.91139689</v>
      </c>
      <c r="H63" s="20" t="n">
        <v>1.77360546</v>
      </c>
      <c r="I63" s="18" t="n">
        <v>0</v>
      </c>
      <c r="J63" s="20" t="n">
        <v>0</v>
      </c>
      <c r="K63" s="18" t="n">
        <v>2.14366045</v>
      </c>
      <c r="L63" s="20" t="n">
        <v>0.52859174</v>
      </c>
      <c r="M63" s="18" t="n">
        <v>0</v>
      </c>
      <c r="N63" s="20" t="n">
        <v>0</v>
      </c>
      <c r="O63" s="18" t="n">
        <v>0</v>
      </c>
      <c r="P63" s="20" t="n">
        <v>0</v>
      </c>
      <c r="Q63" s="18" t="n">
        <v>16.58758762</v>
      </c>
      <c r="R63" s="20" t="n">
        <v>1.42837508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53.62894843</v>
      </c>
      <c r="F66" s="20" t="n">
        <v>1.95785455</v>
      </c>
      <c r="G66" s="18" t="n">
        <v>38.23460931</v>
      </c>
      <c r="H66" s="20" t="n">
        <v>1.87562999</v>
      </c>
      <c r="I66" s="18" t="n">
        <v>0</v>
      </c>
      <c r="J66" s="20" t="n">
        <v>0</v>
      </c>
      <c r="K66" s="18" t="n">
        <v>2.948834</v>
      </c>
      <c r="L66" s="20" t="n">
        <v>0.63110546</v>
      </c>
      <c r="M66" s="18" t="n">
        <v>0.09700464</v>
      </c>
      <c r="N66" s="20" t="n">
        <v>0.09368392</v>
      </c>
      <c r="O66" s="18" t="n">
        <v>0</v>
      </c>
      <c r="P66" s="20" t="n">
        <v>0</v>
      </c>
      <c r="Q66" s="18" t="n">
        <v>5.09060361</v>
      </c>
      <c r="R66" s="20" t="n">
        <v>0.8224246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71.96982738</v>
      </c>
      <c r="F69" s="20" t="n">
        <v>2.9436637</v>
      </c>
      <c r="G69" s="18" t="n">
        <v>27.02233888</v>
      </c>
      <c r="H69" s="20" t="n">
        <v>2.82181006</v>
      </c>
      <c r="I69" s="18" t="n">
        <v>0</v>
      </c>
      <c r="J69" s="20" t="n">
        <v>0</v>
      </c>
      <c r="K69" s="18" t="n">
        <v>0</v>
      </c>
      <c r="L69" s="20" t="n">
        <v>0</v>
      </c>
      <c r="M69" s="18" t="n">
        <v>0</v>
      </c>
      <c r="N69" s="20" t="n">
        <v>0</v>
      </c>
      <c r="O69" s="18" t="n">
        <v>0</v>
      </c>
      <c r="P69" s="20" t="n">
        <v>0</v>
      </c>
      <c r="Q69" s="18" t="n">
        <v>1.00783373</v>
      </c>
      <c r="R69" s="20" t="n">
        <v>0.60348173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50.52870311</v>
      </c>
      <c r="F71" s="20" t="n">
        <v>1.90110809</v>
      </c>
      <c r="G71" s="18" t="n">
        <v>48.98893374</v>
      </c>
      <c r="H71" s="20" t="n">
        <v>1.92149047</v>
      </c>
      <c r="I71" s="18" t="n">
        <v>0</v>
      </c>
      <c r="J71" s="20" t="n">
        <v>0</v>
      </c>
      <c r="K71" s="18" t="n">
        <v>0.12114329</v>
      </c>
      <c r="L71" s="20" t="n">
        <v>0.12077856</v>
      </c>
      <c r="M71" s="18" t="n">
        <v>0</v>
      </c>
      <c r="N71" s="20" t="n">
        <v>0</v>
      </c>
      <c r="O71" s="18" t="n">
        <v>0</v>
      </c>
      <c r="P71" s="20" t="n">
        <v>0</v>
      </c>
      <c r="Q71" s="18" t="n">
        <v>0.36121987</v>
      </c>
      <c r="R71" s="20" t="n">
        <v>0.20795658</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38.10802115</v>
      </c>
      <c r="F76" s="20" t="n">
        <v>2.17054207</v>
      </c>
      <c r="G76" s="18" t="n">
        <v>49.89203305</v>
      </c>
      <c r="H76" s="20" t="n">
        <v>2.15317815</v>
      </c>
      <c r="I76" s="18" t="n">
        <v>0</v>
      </c>
      <c r="J76" s="20" t="n">
        <v>0</v>
      </c>
      <c r="K76" s="18" t="n">
        <v>3.1560501</v>
      </c>
      <c r="L76" s="20" t="n">
        <v>0.61334468</v>
      </c>
      <c r="M76" s="18" t="n">
        <v>0</v>
      </c>
      <c r="N76" s="20" t="n">
        <v>0</v>
      </c>
      <c r="O76" s="18" t="n">
        <v>0</v>
      </c>
      <c r="P76" s="20" t="n">
        <v>0</v>
      </c>
      <c r="Q76" s="18" t="n">
        <v>8.843895699999999</v>
      </c>
      <c r="R76" s="20" t="n">
        <v>1.02450136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26.38773379</v>
      </c>
      <c r="F80" s="20" t="n">
        <v>2.39509608</v>
      </c>
      <c r="G80" s="18" t="n">
        <v>73.54145959</v>
      </c>
      <c r="H80" s="20" t="n">
        <v>2.3970187</v>
      </c>
      <c r="I80" s="18" t="n">
        <v>0</v>
      </c>
      <c r="J80" s="20" t="n">
        <v>0</v>
      </c>
      <c r="K80" s="18" t="n">
        <v>0</v>
      </c>
      <c r="L80" s="20" t="n">
        <v>0</v>
      </c>
      <c r="M80" s="18" t="n">
        <v>0</v>
      </c>
      <c r="N80" s="20" t="n">
        <v>0</v>
      </c>
      <c r="O80" s="18" t="n">
        <v>0</v>
      </c>
      <c r="P80" s="20" t="n">
        <v>0</v>
      </c>
      <c r="Q80" s="18" t="n">
        <v>0.07080661000000001</v>
      </c>
      <c r="R80" s="20" t="n">
        <v>0.0709255</v>
      </c>
    </row>
    <row r="81" spans="1:18">
      <c r="A81" s="15" t="s">
        <v>505</v>
      </c>
      <c r="B81" s="17" t="n">
        <v>1657</v>
      </c>
      <c r="C81" s="18">
        <f>(1373.0/B81*100)</f>
        <v/>
      </c>
      <c r="D81" s="19" t="n">
        <v>284</v>
      </c>
      <c r="E81" s="18" t="n">
        <v>31.67843826</v>
      </c>
      <c r="F81" s="20" t="n">
        <v>2.45280714</v>
      </c>
      <c r="G81" s="18" t="n">
        <v>60.96976591</v>
      </c>
      <c r="H81" s="20" t="n">
        <v>2.92939754</v>
      </c>
      <c r="I81" s="18" t="n">
        <v>0</v>
      </c>
      <c r="J81" s="20" t="n">
        <v>0</v>
      </c>
      <c r="K81" s="18" t="n">
        <v>1.66659683</v>
      </c>
      <c r="L81" s="20" t="n">
        <v>0.87197189</v>
      </c>
      <c r="M81" s="18" t="n">
        <v>0</v>
      </c>
      <c r="N81" s="20" t="n">
        <v>0</v>
      </c>
      <c r="O81" s="18" t="n">
        <v>0</v>
      </c>
      <c r="P81" s="20" t="n">
        <v>0</v>
      </c>
      <c r="Q81" s="18" t="n">
        <v>5.685199</v>
      </c>
      <c r="R81" s="20" t="n">
        <v>1.81787395</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720</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30.00384547</v>
      </c>
      <c r="F44" s="20" t="n">
        <v>1.98582642</v>
      </c>
      <c r="G44" s="18" t="n">
        <v>63.21592845</v>
      </c>
      <c r="H44" s="20" t="n">
        <v>2.36749691</v>
      </c>
      <c r="I44" s="18" t="n">
        <v>0</v>
      </c>
      <c r="J44" s="20" t="n">
        <v>0</v>
      </c>
      <c r="K44" s="18" t="n">
        <v>2.13609922</v>
      </c>
      <c r="L44" s="20" t="n">
        <v>0.51831519</v>
      </c>
      <c r="M44" s="18" t="n">
        <v>0</v>
      </c>
      <c r="N44" s="20" t="n">
        <v>0</v>
      </c>
      <c r="O44" s="18" t="n">
        <v>0.26665863</v>
      </c>
      <c r="P44" s="20" t="n">
        <v>0.16912465</v>
      </c>
      <c r="Q44" s="18" t="n">
        <v>4.37746822</v>
      </c>
      <c r="R44" s="20" t="n">
        <v>0.91166451</v>
      </c>
    </row>
    <row r="45" spans="1:18">
      <c r="A45" s="15" t="s">
        <v>468</v>
      </c>
      <c r="B45" s="17" t="n">
        <v>5519</v>
      </c>
      <c r="C45" s="18">
        <f>(4593.0/B45*100)</f>
        <v/>
      </c>
      <c r="D45" s="19" t="n">
        <v>926</v>
      </c>
      <c r="E45" s="18" t="n">
        <v>45.23685476</v>
      </c>
      <c r="F45" s="20" t="n">
        <v>1.81705047</v>
      </c>
      <c r="G45" s="18" t="n">
        <v>44.16904309</v>
      </c>
      <c r="H45" s="20" t="n">
        <v>1.65041663</v>
      </c>
      <c r="I45" s="18" t="n">
        <v>0</v>
      </c>
      <c r="J45" s="20" t="n">
        <v>0</v>
      </c>
      <c r="K45" s="18" t="n">
        <v>3.38816808</v>
      </c>
      <c r="L45" s="20" t="n">
        <v>0.93968011</v>
      </c>
      <c r="M45" s="18" t="n">
        <v>0.72203956</v>
      </c>
      <c r="N45" s="20" t="n">
        <v>0.28498296</v>
      </c>
      <c r="O45" s="18" t="n">
        <v>1.5961684</v>
      </c>
      <c r="P45" s="20" t="n">
        <v>0.43367058</v>
      </c>
      <c r="Q45" s="18" t="n">
        <v>4.88772611</v>
      </c>
      <c r="R45" s="20" t="n">
        <v>0.87975587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48.40871397</v>
      </c>
      <c r="F57" s="20" t="n">
        <v>1.71649184</v>
      </c>
      <c r="G57" s="18" t="n">
        <v>46.70157546</v>
      </c>
      <c r="H57" s="20" t="n">
        <v>1.65490351</v>
      </c>
      <c r="I57" s="18" t="n">
        <v>0</v>
      </c>
      <c r="J57" s="20" t="n">
        <v>0</v>
      </c>
      <c r="K57" s="18" t="n">
        <v>1.58704612</v>
      </c>
      <c r="L57" s="20" t="n">
        <v>0.408576</v>
      </c>
      <c r="M57" s="18" t="n">
        <v>0</v>
      </c>
      <c r="N57" s="20" t="n">
        <v>0</v>
      </c>
      <c r="O57" s="18" t="n">
        <v>0.37849436</v>
      </c>
      <c r="P57" s="20" t="n">
        <v>0.20240968</v>
      </c>
      <c r="Q57" s="18" t="n">
        <v>2.92417009</v>
      </c>
      <c r="R57" s="20" t="n">
        <v>0.6135187</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35.65225381</v>
      </c>
      <c r="F59" s="20" t="n">
        <v>1.73290116</v>
      </c>
      <c r="G59" s="18" t="n">
        <v>61.8347096</v>
      </c>
      <c r="H59" s="20" t="n">
        <v>1.80208075</v>
      </c>
      <c r="I59" s="18" t="n">
        <v>0</v>
      </c>
      <c r="J59" s="20" t="n">
        <v>0</v>
      </c>
      <c r="K59" s="18" t="n">
        <v>0.12765501</v>
      </c>
      <c r="L59" s="20" t="n">
        <v>0.09485407</v>
      </c>
      <c r="M59" s="18" t="n">
        <v>0</v>
      </c>
      <c r="N59" s="20" t="n">
        <v>0</v>
      </c>
      <c r="O59" s="18" t="n">
        <v>1.01659635</v>
      </c>
      <c r="P59" s="20" t="n">
        <v>0.44460368</v>
      </c>
      <c r="Q59" s="18" t="n">
        <v>1.36878523</v>
      </c>
      <c r="R59" s="20" t="n">
        <v>0.54109732</v>
      </c>
    </row>
    <row r="60" spans="1:18">
      <c r="A60" s="15" t="s">
        <v>484</v>
      </c>
      <c r="B60" s="17" t="n">
        <v>4546</v>
      </c>
      <c r="C60" s="18">
        <f>(3782.0/B60*100)</f>
        <v/>
      </c>
      <c r="D60" s="19" t="n">
        <v>764</v>
      </c>
      <c r="E60" s="18" t="n">
        <v>30.51152883</v>
      </c>
      <c r="F60" s="20" t="n">
        <v>1.94935817</v>
      </c>
      <c r="G60" s="18" t="n">
        <v>58.87038873</v>
      </c>
      <c r="H60" s="20" t="n">
        <v>2.03371497</v>
      </c>
      <c r="I60" s="18" t="n">
        <v>0</v>
      </c>
      <c r="J60" s="20" t="n">
        <v>0</v>
      </c>
      <c r="K60" s="18" t="n">
        <v>4.24263454</v>
      </c>
      <c r="L60" s="20" t="n">
        <v>1.05628329</v>
      </c>
      <c r="M60" s="18" t="n">
        <v>0</v>
      </c>
      <c r="N60" s="20" t="n">
        <v>0</v>
      </c>
      <c r="O60" s="18" t="n">
        <v>1.62446006</v>
      </c>
      <c r="P60" s="20" t="n">
        <v>0.58792086</v>
      </c>
      <c r="Q60" s="18" t="n">
        <v>4.75098784</v>
      </c>
      <c r="R60" s="20" t="n">
        <v>0.82201624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43.13901135</v>
      </c>
      <c r="F63" s="20" t="n">
        <v>1.76531836</v>
      </c>
      <c r="G63" s="18" t="n">
        <v>49.83513702</v>
      </c>
      <c r="H63" s="20" t="n">
        <v>1.77822541</v>
      </c>
      <c r="I63" s="18" t="n">
        <v>0</v>
      </c>
      <c r="J63" s="20" t="n">
        <v>0</v>
      </c>
      <c r="K63" s="18" t="n">
        <v>2.14366045</v>
      </c>
      <c r="L63" s="20" t="n">
        <v>0.52859174</v>
      </c>
      <c r="M63" s="18" t="n">
        <v>0</v>
      </c>
      <c r="N63" s="20" t="n">
        <v>0</v>
      </c>
      <c r="O63" s="18" t="n">
        <v>0.08593501000000001</v>
      </c>
      <c r="P63" s="20" t="n">
        <v>0.0860846</v>
      </c>
      <c r="Q63" s="18" t="n">
        <v>4.79625617</v>
      </c>
      <c r="R63" s="20" t="n">
        <v>0.75750654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20.27414165</v>
      </c>
      <c r="F66" s="20" t="n">
        <v>1.47530584</v>
      </c>
      <c r="G66" s="18" t="n">
        <v>73.41596481000001</v>
      </c>
      <c r="H66" s="20" t="n">
        <v>1.65531751</v>
      </c>
      <c r="I66" s="18" t="n">
        <v>0</v>
      </c>
      <c r="J66" s="20" t="n">
        <v>0</v>
      </c>
      <c r="K66" s="18" t="n">
        <v>3.10264534</v>
      </c>
      <c r="L66" s="20" t="n">
        <v>0.63253616</v>
      </c>
      <c r="M66" s="18" t="n">
        <v>1.02640042</v>
      </c>
      <c r="N66" s="20" t="n">
        <v>0.27531429</v>
      </c>
      <c r="O66" s="18" t="n">
        <v>0</v>
      </c>
      <c r="P66" s="20" t="n">
        <v>0</v>
      </c>
      <c r="Q66" s="18" t="n">
        <v>2.18084778</v>
      </c>
      <c r="R66" s="20" t="n">
        <v>0.42841067</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33.67629589</v>
      </c>
      <c r="F69" s="20" t="n">
        <v>3.82568343</v>
      </c>
      <c r="G69" s="18" t="n">
        <v>64.38975146999999</v>
      </c>
      <c r="H69" s="20" t="n">
        <v>3.44324313</v>
      </c>
      <c r="I69" s="18" t="n">
        <v>0</v>
      </c>
      <c r="J69" s="20" t="n">
        <v>0</v>
      </c>
      <c r="K69" s="18" t="n">
        <v>0</v>
      </c>
      <c r="L69" s="20" t="n">
        <v>0</v>
      </c>
      <c r="M69" s="18" t="n">
        <v>0</v>
      </c>
      <c r="N69" s="20" t="n">
        <v>0</v>
      </c>
      <c r="O69" s="18" t="n">
        <v>0</v>
      </c>
      <c r="P69" s="20" t="n">
        <v>0</v>
      </c>
      <c r="Q69" s="18" t="n">
        <v>1.93395264</v>
      </c>
      <c r="R69" s="20" t="n">
        <v>1.37180462</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31.9731142</v>
      </c>
      <c r="F71" s="20" t="n">
        <v>1.84740092</v>
      </c>
      <c r="G71" s="18" t="n">
        <v>67.5657635</v>
      </c>
      <c r="H71" s="20" t="n">
        <v>1.87113824</v>
      </c>
      <c r="I71" s="18" t="n">
        <v>0</v>
      </c>
      <c r="J71" s="20" t="n">
        <v>0</v>
      </c>
      <c r="K71" s="18" t="n">
        <v>0.12114329</v>
      </c>
      <c r="L71" s="20" t="n">
        <v>0.12077856</v>
      </c>
      <c r="M71" s="18" t="n">
        <v>0</v>
      </c>
      <c r="N71" s="20" t="n">
        <v>0</v>
      </c>
      <c r="O71" s="18" t="n">
        <v>0</v>
      </c>
      <c r="P71" s="20" t="n">
        <v>0</v>
      </c>
      <c r="Q71" s="18" t="n">
        <v>0.33997901</v>
      </c>
      <c r="R71" s="20" t="n">
        <v>0.19898793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18.32929117</v>
      </c>
      <c r="F76" s="20" t="n">
        <v>1.41314728</v>
      </c>
      <c r="G76" s="18" t="n">
        <v>75.50442008</v>
      </c>
      <c r="H76" s="20" t="n">
        <v>1.56386561</v>
      </c>
      <c r="I76" s="18" t="n">
        <v>0</v>
      </c>
      <c r="J76" s="20" t="n">
        <v>0</v>
      </c>
      <c r="K76" s="18" t="n">
        <v>3.1560501</v>
      </c>
      <c r="L76" s="20" t="n">
        <v>0.61334468</v>
      </c>
      <c r="M76" s="18" t="n">
        <v>0</v>
      </c>
      <c r="N76" s="20" t="n">
        <v>0</v>
      </c>
      <c r="O76" s="18" t="n">
        <v>0</v>
      </c>
      <c r="P76" s="20" t="n">
        <v>0</v>
      </c>
      <c r="Q76" s="18" t="n">
        <v>3.01023864</v>
      </c>
      <c r="R76" s="20" t="n">
        <v>0.68705826</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14.08119361</v>
      </c>
      <c r="F80" s="20" t="n">
        <v>1.46772888</v>
      </c>
      <c r="G80" s="18" t="n">
        <v>85.91880639</v>
      </c>
      <c r="H80" s="20" t="n">
        <v>1.46772888</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(1373.0/B81*100)</f>
        <v/>
      </c>
      <c r="D81" s="19" t="n">
        <v>284</v>
      </c>
      <c r="E81" s="18" t="n">
        <v>14.31124453</v>
      </c>
      <c r="F81" s="20" t="n">
        <v>2.03520159</v>
      </c>
      <c r="G81" s="18" t="n">
        <v>80.39206737000001</v>
      </c>
      <c r="H81" s="20" t="n">
        <v>2.75720287</v>
      </c>
      <c r="I81" s="18" t="n">
        <v>0</v>
      </c>
      <c r="J81" s="20" t="n">
        <v>0</v>
      </c>
      <c r="K81" s="18" t="n">
        <v>1.66659683</v>
      </c>
      <c r="L81" s="20" t="n">
        <v>0.87197189</v>
      </c>
      <c r="M81" s="18" t="n">
        <v>0</v>
      </c>
      <c r="N81" s="20" t="n">
        <v>0</v>
      </c>
      <c r="O81" s="18" t="n">
        <v>0.56077801</v>
      </c>
      <c r="P81" s="20" t="n">
        <v>0.52843133</v>
      </c>
      <c r="Q81" s="18" t="n">
        <v>3.06931326</v>
      </c>
      <c r="R81" s="20" t="n">
        <v>1.10143708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721</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5.26254729</v>
      </c>
      <c r="F44" s="20" t="n">
        <v>0.8692352800000001</v>
      </c>
      <c r="G44" s="18" t="n">
        <v>86.95697567000001</v>
      </c>
      <c r="H44" s="20" t="n">
        <v>1.21828718</v>
      </c>
      <c r="I44" s="18" t="n">
        <v>0</v>
      </c>
      <c r="J44" s="20" t="n">
        <v>0</v>
      </c>
      <c r="K44" s="18" t="n">
        <v>2.17640028</v>
      </c>
      <c r="L44" s="20" t="n">
        <v>0.52074195</v>
      </c>
      <c r="M44" s="18" t="n">
        <v>0</v>
      </c>
      <c r="N44" s="20" t="n">
        <v>0</v>
      </c>
      <c r="O44" s="18" t="n">
        <v>0.07477221000000001</v>
      </c>
      <c r="P44" s="20" t="n">
        <v>0.07520663</v>
      </c>
      <c r="Q44" s="18" t="n">
        <v>5.52930456</v>
      </c>
      <c r="R44" s="20" t="n">
        <v>0.71915829</v>
      </c>
    </row>
    <row r="45" spans="1:18">
      <c r="A45" s="15" t="s">
        <v>468</v>
      </c>
      <c r="B45" s="17" t="n">
        <v>5519</v>
      </c>
      <c r="C45" s="18">
        <f>(4593.0/B45*100)</f>
        <v/>
      </c>
      <c r="D45" s="19" t="n">
        <v>926</v>
      </c>
      <c r="E45" s="18" t="n">
        <v>12.76868326</v>
      </c>
      <c r="F45" s="20" t="n">
        <v>1.21097694</v>
      </c>
      <c r="G45" s="18" t="n">
        <v>75.85286542</v>
      </c>
      <c r="H45" s="20" t="n">
        <v>1.44622578</v>
      </c>
      <c r="I45" s="18" t="n">
        <v>0</v>
      </c>
      <c r="J45" s="20" t="n">
        <v>0</v>
      </c>
      <c r="K45" s="18" t="n">
        <v>3.76170601</v>
      </c>
      <c r="L45" s="20" t="n">
        <v>1.00134137</v>
      </c>
      <c r="M45" s="18" t="n">
        <v>3.59061579</v>
      </c>
      <c r="N45" s="20" t="n">
        <v>0.7705811299999999</v>
      </c>
      <c r="O45" s="18" t="n">
        <v>0</v>
      </c>
      <c r="P45" s="20" t="n">
        <v>0</v>
      </c>
      <c r="Q45" s="18" t="n">
        <v>4.02612952</v>
      </c>
      <c r="R45" s="20" t="n">
        <v>0.60317931</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11.29095383</v>
      </c>
      <c r="F57" s="20" t="n">
        <v>1.2923226</v>
      </c>
      <c r="G57" s="18" t="n">
        <v>80.00837378999999</v>
      </c>
      <c r="H57" s="20" t="n">
        <v>1.47718848</v>
      </c>
      <c r="I57" s="18" t="n">
        <v>0</v>
      </c>
      <c r="J57" s="20" t="n">
        <v>0</v>
      </c>
      <c r="K57" s="18" t="n">
        <v>1.93238236</v>
      </c>
      <c r="L57" s="20" t="n">
        <v>0.44288899</v>
      </c>
      <c r="M57" s="18" t="n">
        <v>0</v>
      </c>
      <c r="N57" s="20" t="n">
        <v>0</v>
      </c>
      <c r="O57" s="18" t="n">
        <v>0</v>
      </c>
      <c r="P57" s="20" t="n">
        <v>0</v>
      </c>
      <c r="Q57" s="18" t="n">
        <v>6.76829003</v>
      </c>
      <c r="R57" s="20" t="n">
        <v>0.84901768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15.13716877</v>
      </c>
      <c r="F59" s="20" t="n">
        <v>1.47429948</v>
      </c>
      <c r="G59" s="18" t="n">
        <v>78.6136941</v>
      </c>
      <c r="H59" s="20" t="n">
        <v>1.72552771</v>
      </c>
      <c r="I59" s="18" t="n">
        <v>0</v>
      </c>
      <c r="J59" s="20" t="n">
        <v>0</v>
      </c>
      <c r="K59" s="18" t="n">
        <v>0.12765501</v>
      </c>
      <c r="L59" s="20" t="n">
        <v>0.09485407</v>
      </c>
      <c r="M59" s="18" t="n">
        <v>0</v>
      </c>
      <c r="N59" s="20" t="n">
        <v>0</v>
      </c>
      <c r="O59" s="18" t="n">
        <v>0</v>
      </c>
      <c r="P59" s="20" t="n">
        <v>0</v>
      </c>
      <c r="Q59" s="18" t="n">
        <v>6.12148213</v>
      </c>
      <c r="R59" s="20" t="n">
        <v>0.7462084</v>
      </c>
    </row>
    <row r="60" spans="1:18">
      <c r="A60" s="15" t="s">
        <v>484</v>
      </c>
      <c r="B60" s="17" t="n">
        <v>4546</v>
      </c>
      <c r="C60" s="18">
        <f>(3782.0/B60*100)</f>
        <v/>
      </c>
      <c r="D60" s="19" t="n">
        <v>764</v>
      </c>
      <c r="E60" s="18" t="n">
        <v>6.74120497</v>
      </c>
      <c r="F60" s="20" t="n">
        <v>1.15494798</v>
      </c>
      <c r="G60" s="18" t="n">
        <v>74.63488993999999</v>
      </c>
      <c r="H60" s="20" t="n">
        <v>1.97314649</v>
      </c>
      <c r="I60" s="18" t="n">
        <v>0</v>
      </c>
      <c r="J60" s="20" t="n">
        <v>0</v>
      </c>
      <c r="K60" s="18" t="n">
        <v>5.20646507</v>
      </c>
      <c r="L60" s="20" t="n">
        <v>1.11588749</v>
      </c>
      <c r="M60" s="18" t="n">
        <v>0.20303157</v>
      </c>
      <c r="N60" s="20" t="n">
        <v>0.14645285</v>
      </c>
      <c r="O60" s="18" t="n">
        <v>0</v>
      </c>
      <c r="P60" s="20" t="n">
        <v>0</v>
      </c>
      <c r="Q60" s="18" t="n">
        <v>13.21440846</v>
      </c>
      <c r="R60" s="20" t="n">
        <v>1.53217355</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7.02238287</v>
      </c>
      <c r="F63" s="20" t="n">
        <v>0.88855901</v>
      </c>
      <c r="G63" s="18" t="n">
        <v>65.67227803</v>
      </c>
      <c r="H63" s="20" t="n">
        <v>1.90276887</v>
      </c>
      <c r="I63" s="18" t="n">
        <v>0</v>
      </c>
      <c r="J63" s="20" t="n">
        <v>0</v>
      </c>
      <c r="K63" s="18" t="n">
        <v>2.81661445</v>
      </c>
      <c r="L63" s="20" t="n">
        <v>0.60172479</v>
      </c>
      <c r="M63" s="18" t="n">
        <v>0</v>
      </c>
      <c r="N63" s="20" t="n">
        <v>0</v>
      </c>
      <c r="O63" s="18" t="n">
        <v>0</v>
      </c>
      <c r="P63" s="20" t="n">
        <v>0</v>
      </c>
      <c r="Q63" s="18" t="n">
        <v>24.48872465</v>
      </c>
      <c r="R63" s="20" t="n">
        <v>1.80710978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5.21988472</v>
      </c>
      <c r="F66" s="20" t="n">
        <v>0.98718575</v>
      </c>
      <c r="G66" s="18" t="n">
        <v>85.07751698</v>
      </c>
      <c r="H66" s="20" t="n">
        <v>1.25995789</v>
      </c>
      <c r="I66" s="18" t="n">
        <v>0</v>
      </c>
      <c r="J66" s="20" t="n">
        <v>0</v>
      </c>
      <c r="K66" s="18" t="n">
        <v>4.10780404</v>
      </c>
      <c r="L66" s="20" t="n">
        <v>0.7514113</v>
      </c>
      <c r="M66" s="18" t="n">
        <v>0.09700464</v>
      </c>
      <c r="N66" s="20" t="n">
        <v>0.09368392</v>
      </c>
      <c r="O66" s="18" t="n">
        <v>0</v>
      </c>
      <c r="P66" s="20" t="n">
        <v>0</v>
      </c>
      <c r="Q66" s="18" t="n">
        <v>5.49778961</v>
      </c>
      <c r="R66" s="20" t="n">
        <v>0.64727092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8.751245580000001</v>
      </c>
      <c r="F69" s="20" t="n">
        <v>2.49641526</v>
      </c>
      <c r="G69" s="18" t="n">
        <v>86.94383279</v>
      </c>
      <c r="H69" s="20" t="n">
        <v>2.68884624</v>
      </c>
      <c r="I69" s="18" t="n">
        <v>0</v>
      </c>
      <c r="J69" s="20" t="n">
        <v>0</v>
      </c>
      <c r="K69" s="18" t="n">
        <v>0</v>
      </c>
      <c r="L69" s="20" t="n">
        <v>0</v>
      </c>
      <c r="M69" s="18" t="n">
        <v>0</v>
      </c>
      <c r="N69" s="20" t="n">
        <v>0</v>
      </c>
      <c r="O69" s="18" t="n">
        <v>0</v>
      </c>
      <c r="P69" s="20" t="n">
        <v>0</v>
      </c>
      <c r="Q69" s="18" t="n">
        <v>4.30492163</v>
      </c>
      <c r="R69" s="20" t="n">
        <v>1.51075258</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10.44288081</v>
      </c>
      <c r="F71" s="20" t="n">
        <v>1.0971524</v>
      </c>
      <c r="G71" s="18" t="n">
        <v>89.06975294</v>
      </c>
      <c r="H71" s="20" t="n">
        <v>1.11994161</v>
      </c>
      <c r="I71" s="18" t="n">
        <v>0</v>
      </c>
      <c r="J71" s="20" t="n">
        <v>0</v>
      </c>
      <c r="K71" s="18" t="n">
        <v>0.24514374</v>
      </c>
      <c r="L71" s="20" t="n">
        <v>0.1727595</v>
      </c>
      <c r="M71" s="18" t="n">
        <v>0</v>
      </c>
      <c r="N71" s="20" t="n">
        <v>0</v>
      </c>
      <c r="O71" s="18" t="n">
        <v>0</v>
      </c>
      <c r="P71" s="20" t="n">
        <v>0</v>
      </c>
      <c r="Q71" s="18" t="n">
        <v>0.2422225</v>
      </c>
      <c r="R71" s="20" t="n">
        <v>0.17239581</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2.60554412</v>
      </c>
      <c r="F76" s="20" t="n">
        <v>0.56006282</v>
      </c>
      <c r="G76" s="18" t="n">
        <v>86.42023257</v>
      </c>
      <c r="H76" s="20" t="n">
        <v>1.22855011</v>
      </c>
      <c r="I76" s="18" t="n">
        <v>0</v>
      </c>
      <c r="J76" s="20" t="n">
        <v>0</v>
      </c>
      <c r="K76" s="18" t="n">
        <v>4.07236388</v>
      </c>
      <c r="L76" s="20" t="n">
        <v>0.78841914</v>
      </c>
      <c r="M76" s="18" t="n">
        <v>0</v>
      </c>
      <c r="N76" s="20" t="n">
        <v>0</v>
      </c>
      <c r="O76" s="18" t="n">
        <v>0</v>
      </c>
      <c r="P76" s="20" t="n">
        <v>0</v>
      </c>
      <c r="Q76" s="18" t="n">
        <v>6.90185943</v>
      </c>
      <c r="R76" s="20" t="n">
        <v>1.02083697</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2.27340687</v>
      </c>
      <c r="F80" s="20" t="n">
        <v>0.58578347</v>
      </c>
      <c r="G80" s="18" t="n">
        <v>96.66038102</v>
      </c>
      <c r="H80" s="20" t="n">
        <v>0.83054825</v>
      </c>
      <c r="I80" s="18" t="n">
        <v>0</v>
      </c>
      <c r="J80" s="20" t="n">
        <v>0</v>
      </c>
      <c r="K80" s="18" t="n">
        <v>0</v>
      </c>
      <c r="L80" s="20" t="n">
        <v>0</v>
      </c>
      <c r="M80" s="18" t="n">
        <v>0</v>
      </c>
      <c r="N80" s="20" t="n">
        <v>0</v>
      </c>
      <c r="O80" s="18" t="n">
        <v>0</v>
      </c>
      <c r="P80" s="20" t="n">
        <v>0</v>
      </c>
      <c r="Q80" s="18" t="n">
        <v>1.06621211</v>
      </c>
      <c r="R80" s="20" t="n">
        <v>0.40969324</v>
      </c>
    </row>
    <row r="81" spans="1:18">
      <c r="A81" s="15" t="s">
        <v>505</v>
      </c>
      <c r="B81" s="17" t="n">
        <v>1657</v>
      </c>
      <c r="C81" s="18">
        <f>(1373.0/B81*100)</f>
        <v/>
      </c>
      <c r="D81" s="19" t="n">
        <v>284</v>
      </c>
      <c r="E81" s="18" t="n">
        <v>2.12795946</v>
      </c>
      <c r="F81" s="20" t="n">
        <v>0.89394478</v>
      </c>
      <c r="G81" s="18" t="n">
        <v>91.85835818</v>
      </c>
      <c r="H81" s="20" t="n">
        <v>1.53028513</v>
      </c>
      <c r="I81" s="18" t="n">
        <v>0</v>
      </c>
      <c r="J81" s="20" t="n">
        <v>0</v>
      </c>
      <c r="K81" s="18" t="n">
        <v>1.66659683</v>
      </c>
      <c r="L81" s="20" t="n">
        <v>0.87197189</v>
      </c>
      <c r="M81" s="18" t="n">
        <v>0</v>
      </c>
      <c r="N81" s="20" t="n">
        <v>0</v>
      </c>
      <c r="O81" s="18" t="n">
        <v>0</v>
      </c>
      <c r="P81" s="20" t="n">
        <v>0</v>
      </c>
      <c r="Q81" s="18" t="n">
        <v>4.34708552</v>
      </c>
      <c r="R81" s="20" t="n">
        <v>1.2990704</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722</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17.68064884</v>
      </c>
      <c r="F44" s="20" t="n">
        <v>1.60707985</v>
      </c>
      <c r="G44" s="18" t="n">
        <v>76.39325225</v>
      </c>
      <c r="H44" s="20" t="n">
        <v>1.91910528</v>
      </c>
      <c r="I44" s="18" t="n">
        <v>0</v>
      </c>
      <c r="J44" s="20" t="n">
        <v>0</v>
      </c>
      <c r="K44" s="18" t="n">
        <v>2.17640028</v>
      </c>
      <c r="L44" s="20" t="n">
        <v>0.52074195</v>
      </c>
      <c r="M44" s="18" t="n">
        <v>0</v>
      </c>
      <c r="N44" s="20" t="n">
        <v>0</v>
      </c>
      <c r="O44" s="18" t="n">
        <v>1.25497332</v>
      </c>
      <c r="P44" s="20" t="n">
        <v>0.39673016</v>
      </c>
      <c r="Q44" s="18" t="n">
        <v>2.49472531</v>
      </c>
      <c r="R44" s="20" t="n">
        <v>0.59754302</v>
      </c>
    </row>
    <row r="45" spans="1:18">
      <c r="A45" s="15" t="s">
        <v>468</v>
      </c>
      <c r="B45" s="17" t="n">
        <v>5519</v>
      </c>
      <c r="C45" s="18">
        <f>(4593.0/B45*100)</f>
        <v/>
      </c>
      <c r="D45" s="19" t="n">
        <v>926</v>
      </c>
      <c r="E45" s="18" t="n">
        <v>48.79439481</v>
      </c>
      <c r="F45" s="20" t="n">
        <v>1.80225329</v>
      </c>
      <c r="G45" s="18" t="n">
        <v>42.78401534</v>
      </c>
      <c r="H45" s="20" t="n">
        <v>1.67149523</v>
      </c>
      <c r="I45" s="18" t="n">
        <v>0</v>
      </c>
      <c r="J45" s="20" t="n">
        <v>0</v>
      </c>
      <c r="K45" s="18" t="n">
        <v>3.76170601</v>
      </c>
      <c r="L45" s="20" t="n">
        <v>1.00134137</v>
      </c>
      <c r="M45" s="18" t="n">
        <v>0.23680914</v>
      </c>
      <c r="N45" s="20" t="n">
        <v>0.15618323</v>
      </c>
      <c r="O45" s="18" t="n">
        <v>2.74490778</v>
      </c>
      <c r="P45" s="20" t="n">
        <v>0.6873671099999999</v>
      </c>
      <c r="Q45" s="18" t="n">
        <v>1.67816692</v>
      </c>
      <c r="R45" s="20" t="n">
        <v>0.41546172</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36.42868321</v>
      </c>
      <c r="F57" s="20" t="n">
        <v>1.49692121</v>
      </c>
      <c r="G57" s="18" t="n">
        <v>58.21960038</v>
      </c>
      <c r="H57" s="20" t="n">
        <v>1.52587073</v>
      </c>
      <c r="I57" s="18" t="n">
        <v>0</v>
      </c>
      <c r="J57" s="20" t="n">
        <v>0</v>
      </c>
      <c r="K57" s="18" t="n">
        <v>1.93238236</v>
      </c>
      <c r="L57" s="20" t="n">
        <v>0.44288899</v>
      </c>
      <c r="M57" s="18" t="n">
        <v>0</v>
      </c>
      <c r="N57" s="20" t="n">
        <v>0</v>
      </c>
      <c r="O57" s="18" t="n">
        <v>0.24422724</v>
      </c>
      <c r="P57" s="20" t="n">
        <v>0.18285232</v>
      </c>
      <c r="Q57" s="18" t="n">
        <v>3.1751068</v>
      </c>
      <c r="R57" s="20" t="n">
        <v>0.45923834</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39.91957317</v>
      </c>
      <c r="F59" s="20" t="n">
        <v>2.16195297</v>
      </c>
      <c r="G59" s="18" t="n">
        <v>57.0162872</v>
      </c>
      <c r="H59" s="20" t="n">
        <v>2.13504445</v>
      </c>
      <c r="I59" s="18" t="n">
        <v>0</v>
      </c>
      <c r="J59" s="20" t="n">
        <v>0</v>
      </c>
      <c r="K59" s="18" t="n">
        <v>0.12765501</v>
      </c>
      <c r="L59" s="20" t="n">
        <v>0.09485407</v>
      </c>
      <c r="M59" s="18" t="n">
        <v>0</v>
      </c>
      <c r="N59" s="20" t="n">
        <v>0</v>
      </c>
      <c r="O59" s="18" t="n">
        <v>2.1734638</v>
      </c>
      <c r="P59" s="20" t="n">
        <v>0.69055842</v>
      </c>
      <c r="Q59" s="18" t="n">
        <v>0.76302083</v>
      </c>
      <c r="R59" s="20" t="n">
        <v>0.29807933</v>
      </c>
    </row>
    <row r="60" spans="1:18">
      <c r="A60" s="15" t="s">
        <v>484</v>
      </c>
      <c r="B60" s="17" t="n">
        <v>4546</v>
      </c>
      <c r="C60" s="18">
        <f>(3782.0/B60*100)</f>
        <v/>
      </c>
      <c r="D60" s="19" t="n">
        <v>764</v>
      </c>
      <c r="E60" s="18" t="n">
        <v>50.74688758</v>
      </c>
      <c r="F60" s="20" t="n">
        <v>2.34102908</v>
      </c>
      <c r="G60" s="18" t="n">
        <v>32.26494898</v>
      </c>
      <c r="H60" s="20" t="n">
        <v>1.76938911</v>
      </c>
      <c r="I60" s="18" t="n">
        <v>0</v>
      </c>
      <c r="J60" s="20" t="n">
        <v>0</v>
      </c>
      <c r="K60" s="18" t="n">
        <v>5.74073815</v>
      </c>
      <c r="L60" s="20" t="n">
        <v>1.18900269</v>
      </c>
      <c r="M60" s="18" t="n">
        <v>0</v>
      </c>
      <c r="N60" s="20" t="n">
        <v>0</v>
      </c>
      <c r="O60" s="18" t="n">
        <v>1.97564455</v>
      </c>
      <c r="P60" s="20" t="n">
        <v>0.57302453</v>
      </c>
      <c r="Q60" s="18" t="n">
        <v>9.271780740000001</v>
      </c>
      <c r="R60" s="20" t="n">
        <v>1.48481901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45.91603026</v>
      </c>
      <c r="F63" s="20" t="n">
        <v>1.86771166</v>
      </c>
      <c r="G63" s="18" t="n">
        <v>43.62241892</v>
      </c>
      <c r="H63" s="20" t="n">
        <v>1.76192883</v>
      </c>
      <c r="I63" s="18" t="n">
        <v>0</v>
      </c>
      <c r="J63" s="20" t="n">
        <v>0</v>
      </c>
      <c r="K63" s="18" t="n">
        <v>2.90527461</v>
      </c>
      <c r="L63" s="20" t="n">
        <v>0.60437673</v>
      </c>
      <c r="M63" s="18" t="n">
        <v>0</v>
      </c>
      <c r="N63" s="20" t="n">
        <v>0</v>
      </c>
      <c r="O63" s="18" t="n">
        <v>1.00281093</v>
      </c>
      <c r="P63" s="20" t="n">
        <v>0.37814338</v>
      </c>
      <c r="Q63" s="18" t="n">
        <v>6.55346527</v>
      </c>
      <c r="R63" s="20" t="n">
        <v>0.91722454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34.87893407</v>
      </c>
      <c r="F66" s="20" t="n">
        <v>1.64342182</v>
      </c>
      <c r="G66" s="18" t="n">
        <v>56.70465936</v>
      </c>
      <c r="H66" s="20" t="n">
        <v>1.7407013</v>
      </c>
      <c r="I66" s="18" t="n">
        <v>0</v>
      </c>
      <c r="J66" s="20" t="n">
        <v>0</v>
      </c>
      <c r="K66" s="18" t="n">
        <v>4.40030422</v>
      </c>
      <c r="L66" s="20" t="n">
        <v>0.77107605</v>
      </c>
      <c r="M66" s="18" t="n">
        <v>2.36595937</v>
      </c>
      <c r="N66" s="20" t="n">
        <v>0.54544015</v>
      </c>
      <c r="O66" s="18" t="n">
        <v>0</v>
      </c>
      <c r="P66" s="20" t="n">
        <v>0</v>
      </c>
      <c r="Q66" s="18" t="n">
        <v>1.65014297</v>
      </c>
      <c r="R66" s="20" t="n">
        <v>0.48425691</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51.61285405</v>
      </c>
      <c r="F69" s="20" t="n">
        <v>4.1969762</v>
      </c>
      <c r="G69" s="18" t="n">
        <v>47.95407173</v>
      </c>
      <c r="H69" s="20" t="n">
        <v>4.12049489</v>
      </c>
      <c r="I69" s="18" t="n">
        <v>0</v>
      </c>
      <c r="J69" s="20" t="n">
        <v>0</v>
      </c>
      <c r="K69" s="18" t="n">
        <v>0</v>
      </c>
      <c r="L69" s="20" t="n">
        <v>0</v>
      </c>
      <c r="M69" s="18" t="n">
        <v>0</v>
      </c>
      <c r="N69" s="20" t="n">
        <v>0</v>
      </c>
      <c r="O69" s="18" t="n">
        <v>0</v>
      </c>
      <c r="P69" s="20" t="n">
        <v>0</v>
      </c>
      <c r="Q69" s="18" t="n">
        <v>0.43307422</v>
      </c>
      <c r="R69" s="20" t="n">
        <v>0.33849836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29.98521009</v>
      </c>
      <c r="F71" s="20" t="n">
        <v>1.47158837</v>
      </c>
      <c r="G71" s="18" t="n">
        <v>69.43015416999999</v>
      </c>
      <c r="H71" s="20" t="n">
        <v>1.46759931</v>
      </c>
      <c r="I71" s="18" t="n">
        <v>0</v>
      </c>
      <c r="J71" s="20" t="n">
        <v>0</v>
      </c>
      <c r="K71" s="18" t="n">
        <v>0.24514374</v>
      </c>
      <c r="L71" s="20" t="n">
        <v>0.1727595</v>
      </c>
      <c r="M71" s="18" t="n">
        <v>0</v>
      </c>
      <c r="N71" s="20" t="n">
        <v>0</v>
      </c>
      <c r="O71" s="18" t="n">
        <v>0</v>
      </c>
      <c r="P71" s="20" t="n">
        <v>0</v>
      </c>
      <c r="Q71" s="18" t="n">
        <v>0.339492</v>
      </c>
      <c r="R71" s="20" t="n">
        <v>0.19886589</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18.2001657</v>
      </c>
      <c r="F76" s="20" t="n">
        <v>1.53468872</v>
      </c>
      <c r="G76" s="18" t="n">
        <v>74.13545797</v>
      </c>
      <c r="H76" s="20" t="n">
        <v>1.86094544</v>
      </c>
      <c r="I76" s="18" t="n">
        <v>0</v>
      </c>
      <c r="J76" s="20" t="n">
        <v>0</v>
      </c>
      <c r="K76" s="18" t="n">
        <v>4.07236388</v>
      </c>
      <c r="L76" s="20" t="n">
        <v>0.78841914</v>
      </c>
      <c r="M76" s="18" t="n">
        <v>0</v>
      </c>
      <c r="N76" s="20" t="n">
        <v>0</v>
      </c>
      <c r="O76" s="18" t="n">
        <v>0</v>
      </c>
      <c r="P76" s="20" t="n">
        <v>0</v>
      </c>
      <c r="Q76" s="18" t="n">
        <v>3.59201245</v>
      </c>
      <c r="R76" s="20" t="n">
        <v>0.85305582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20.52775081</v>
      </c>
      <c r="F80" s="20" t="n">
        <v>1.36532338</v>
      </c>
      <c r="G80" s="18" t="n">
        <v>79.47224919</v>
      </c>
      <c r="H80" s="20" t="n">
        <v>1.36532338</v>
      </c>
      <c r="I80" s="18" t="n">
        <v>0</v>
      </c>
      <c r="J80" s="20" t="n">
        <v>0</v>
      </c>
      <c r="K80" s="18" t="n">
        <v>0</v>
      </c>
      <c r="L80" s="20" t="n">
        <v>0</v>
      </c>
      <c r="M80" s="18" t="n">
        <v>0</v>
      </c>
      <c r="N80" s="20" t="n">
        <v>0</v>
      </c>
      <c r="O80" s="18" t="n">
        <v>0</v>
      </c>
      <c r="P80" s="20" t="n">
        <v>0</v>
      </c>
      <c r="Q80" s="18" t="n">
        <v>0</v>
      </c>
      <c r="R80" s="20" t="n">
        <v>0</v>
      </c>
    </row>
    <row r="81" spans="1:18">
      <c r="A81" s="15" t="s">
        <v>505</v>
      </c>
      <c r="B81" s="17" t="n">
        <v>1657</v>
      </c>
      <c r="C81" s="18">
        <f>(1373.0/B81*100)</f>
        <v/>
      </c>
      <c r="D81" s="19" t="n">
        <v>284</v>
      </c>
      <c r="E81" s="18" t="n">
        <v>20.90982087</v>
      </c>
      <c r="F81" s="20" t="n">
        <v>3.06623474</v>
      </c>
      <c r="G81" s="18" t="n">
        <v>74.13714065000001</v>
      </c>
      <c r="H81" s="20" t="n">
        <v>2.88490582</v>
      </c>
      <c r="I81" s="18" t="n">
        <v>0</v>
      </c>
      <c r="J81" s="20" t="n">
        <v>0</v>
      </c>
      <c r="K81" s="18" t="n">
        <v>1.66659683</v>
      </c>
      <c r="L81" s="20" t="n">
        <v>0.87197189</v>
      </c>
      <c r="M81" s="18" t="n">
        <v>0</v>
      </c>
      <c r="N81" s="20" t="n">
        <v>0</v>
      </c>
      <c r="O81" s="18" t="n">
        <v>1.19672885</v>
      </c>
      <c r="P81" s="20" t="n">
        <v>0.82226537</v>
      </c>
      <c r="Q81" s="18" t="n">
        <v>2.08971279</v>
      </c>
      <c r="R81" s="20" t="n">
        <v>0.90136762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723</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33.31477822</v>
      </c>
      <c r="F44" s="20" t="n">
        <v>1.78151621</v>
      </c>
      <c r="G44" s="18" t="n">
        <v>60.50877876</v>
      </c>
      <c r="H44" s="20" t="n">
        <v>1.99897029</v>
      </c>
      <c r="I44" s="18" t="n">
        <v>0</v>
      </c>
      <c r="J44" s="20" t="n">
        <v>0</v>
      </c>
      <c r="K44" s="18" t="n">
        <v>2.469581</v>
      </c>
      <c r="L44" s="20" t="n">
        <v>0.5347349</v>
      </c>
      <c r="M44" s="18" t="n">
        <v>0</v>
      </c>
      <c r="N44" s="20" t="n">
        <v>0</v>
      </c>
      <c r="O44" s="18" t="n">
        <v>0.06970152</v>
      </c>
      <c r="P44" s="20" t="n">
        <v>0.09848182</v>
      </c>
      <c r="Q44" s="18" t="n">
        <v>3.6371605</v>
      </c>
      <c r="R44" s="20" t="n">
        <v>0.61430833</v>
      </c>
    </row>
    <row r="45" spans="1:18">
      <c r="A45" s="15" t="s">
        <v>468</v>
      </c>
      <c r="B45" s="17" t="n">
        <v>5519</v>
      </c>
      <c r="C45" s="18">
        <f>(4593.0/B45*100)</f>
        <v/>
      </c>
      <c r="D45" s="19" t="n">
        <v>926</v>
      </c>
      <c r="E45" s="18" t="n">
        <v>31.04333631</v>
      </c>
      <c r="F45" s="20" t="n">
        <v>2.01027781</v>
      </c>
      <c r="G45" s="18" t="n">
        <v>56.46879473</v>
      </c>
      <c r="H45" s="20" t="n">
        <v>2.12657583</v>
      </c>
      <c r="I45" s="18" t="n">
        <v>0</v>
      </c>
      <c r="J45" s="20" t="n">
        <v>0</v>
      </c>
      <c r="K45" s="18" t="n">
        <v>4.4065675</v>
      </c>
      <c r="L45" s="20" t="n">
        <v>1.03321797</v>
      </c>
      <c r="M45" s="18" t="n">
        <v>3.10976996</v>
      </c>
      <c r="N45" s="20" t="n">
        <v>0.71022078</v>
      </c>
      <c r="O45" s="18" t="n">
        <v>0.38355309</v>
      </c>
      <c r="P45" s="20" t="n">
        <v>0.44560757</v>
      </c>
      <c r="Q45" s="18" t="n">
        <v>4.58797841</v>
      </c>
      <c r="R45" s="20" t="n">
        <v>0.75636377</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29.81627186</v>
      </c>
      <c r="F57" s="20" t="n">
        <v>1.34837129</v>
      </c>
      <c r="G57" s="18" t="n">
        <v>65.42156452</v>
      </c>
      <c r="H57" s="20" t="n">
        <v>1.47831699</v>
      </c>
      <c r="I57" s="18" t="n">
        <v>0</v>
      </c>
      <c r="J57" s="20" t="n">
        <v>0</v>
      </c>
      <c r="K57" s="18" t="n">
        <v>2.11838548</v>
      </c>
      <c r="L57" s="20" t="n">
        <v>0.46406894</v>
      </c>
      <c r="M57" s="18" t="n">
        <v>0</v>
      </c>
      <c r="N57" s="20" t="n">
        <v>0</v>
      </c>
      <c r="O57" s="18" t="n">
        <v>0</v>
      </c>
      <c r="P57" s="20" t="n">
        <v>0</v>
      </c>
      <c r="Q57" s="18" t="n">
        <v>2.64377814</v>
      </c>
      <c r="R57" s="20" t="n">
        <v>0.53079878</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61.09346123</v>
      </c>
      <c r="F59" s="20" t="n">
        <v>2.40963971</v>
      </c>
      <c r="G59" s="18" t="n">
        <v>35.36554714</v>
      </c>
      <c r="H59" s="20" t="n">
        <v>2.40834105</v>
      </c>
      <c r="I59" s="18" t="n">
        <v>0</v>
      </c>
      <c r="J59" s="20" t="n">
        <v>0</v>
      </c>
      <c r="K59" s="18" t="n">
        <v>0.52205716</v>
      </c>
      <c r="L59" s="20" t="n">
        <v>0.23715771</v>
      </c>
      <c r="M59" s="18" t="n">
        <v>0</v>
      </c>
      <c r="N59" s="20" t="n">
        <v>0</v>
      </c>
      <c r="O59" s="18" t="n">
        <v>0</v>
      </c>
      <c r="P59" s="20" t="n">
        <v>0</v>
      </c>
      <c r="Q59" s="18" t="n">
        <v>3.01893446</v>
      </c>
      <c r="R59" s="20" t="n">
        <v>0.60300148</v>
      </c>
    </row>
    <row r="60" spans="1:18">
      <c r="A60" s="15" t="s">
        <v>484</v>
      </c>
      <c r="B60" s="17" t="n">
        <v>4546</v>
      </c>
      <c r="C60" s="18">
        <f>(3782.0/B60*100)</f>
        <v/>
      </c>
      <c r="D60" s="19" t="n">
        <v>764</v>
      </c>
      <c r="E60" s="18" t="n">
        <v>50.10100063</v>
      </c>
      <c r="F60" s="20" t="n">
        <v>2.039681</v>
      </c>
      <c r="G60" s="18" t="n">
        <v>31.91643514</v>
      </c>
      <c r="H60" s="20" t="n">
        <v>1.78621416</v>
      </c>
      <c r="I60" s="18" t="n">
        <v>0</v>
      </c>
      <c r="J60" s="20" t="n">
        <v>0</v>
      </c>
      <c r="K60" s="18" t="n">
        <v>6.33813368</v>
      </c>
      <c r="L60" s="20" t="n">
        <v>1.20415607</v>
      </c>
      <c r="M60" s="18" t="n">
        <v>0</v>
      </c>
      <c r="N60" s="20" t="n">
        <v>0</v>
      </c>
      <c r="O60" s="18" t="n">
        <v>0.14518637</v>
      </c>
      <c r="P60" s="20" t="n">
        <v>0.14466991</v>
      </c>
      <c r="Q60" s="18" t="n">
        <v>11.49924417</v>
      </c>
      <c r="R60" s="20" t="n">
        <v>1.54176602</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39.29913639</v>
      </c>
      <c r="F63" s="20" t="n">
        <v>1.88735737</v>
      </c>
      <c r="G63" s="18" t="n">
        <v>44.48046193</v>
      </c>
      <c r="H63" s="20" t="n">
        <v>1.91712683</v>
      </c>
      <c r="I63" s="18" t="n">
        <v>0</v>
      </c>
      <c r="J63" s="20" t="n">
        <v>0</v>
      </c>
      <c r="K63" s="18" t="n">
        <v>3.79548401</v>
      </c>
      <c r="L63" s="20" t="n">
        <v>0.72510296</v>
      </c>
      <c r="M63" s="18" t="n">
        <v>0</v>
      </c>
      <c r="N63" s="20" t="n">
        <v>0</v>
      </c>
      <c r="O63" s="18" t="n">
        <v>0</v>
      </c>
      <c r="P63" s="20" t="n">
        <v>0</v>
      </c>
      <c r="Q63" s="18" t="n">
        <v>12.42491768</v>
      </c>
      <c r="R63" s="20" t="n">
        <v>1.43565554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30.70248248</v>
      </c>
      <c r="F66" s="20" t="n">
        <v>1.63530014</v>
      </c>
      <c r="G66" s="18" t="n">
        <v>60.1423108</v>
      </c>
      <c r="H66" s="20" t="n">
        <v>1.65058739</v>
      </c>
      <c r="I66" s="18" t="n">
        <v>0</v>
      </c>
      <c r="J66" s="20" t="n">
        <v>0</v>
      </c>
      <c r="K66" s="18" t="n">
        <v>5.30895558</v>
      </c>
      <c r="L66" s="20" t="n">
        <v>0.8564748</v>
      </c>
      <c r="M66" s="18" t="n">
        <v>0</v>
      </c>
      <c r="N66" s="20" t="n">
        <v>0</v>
      </c>
      <c r="O66" s="18" t="n">
        <v>0</v>
      </c>
      <c r="P66" s="20" t="n">
        <v>0</v>
      </c>
      <c r="Q66" s="18" t="n">
        <v>3.84625114</v>
      </c>
      <c r="R66" s="20" t="n">
        <v>0.65282226</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46.10418597</v>
      </c>
      <c r="F69" s="20" t="n">
        <v>4.31228964</v>
      </c>
      <c r="G69" s="18" t="n">
        <v>52.19257804</v>
      </c>
      <c r="H69" s="20" t="n">
        <v>4.24331871</v>
      </c>
      <c r="I69" s="18" t="n">
        <v>0</v>
      </c>
      <c r="J69" s="20" t="n">
        <v>0</v>
      </c>
      <c r="K69" s="18" t="n">
        <v>0</v>
      </c>
      <c r="L69" s="20" t="n">
        <v>0</v>
      </c>
      <c r="M69" s="18" t="n">
        <v>0</v>
      </c>
      <c r="N69" s="20" t="n">
        <v>0</v>
      </c>
      <c r="O69" s="18" t="n">
        <v>0</v>
      </c>
      <c r="P69" s="20" t="n">
        <v>0</v>
      </c>
      <c r="Q69" s="18" t="n">
        <v>1.70323599</v>
      </c>
      <c r="R69" s="20" t="n">
        <v>0.87589705</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35.00746542</v>
      </c>
      <c r="F71" s="20" t="n">
        <v>2.32889359</v>
      </c>
      <c r="G71" s="18" t="n">
        <v>64.63017187</v>
      </c>
      <c r="H71" s="20" t="n">
        <v>2.3462525</v>
      </c>
      <c r="I71" s="18" t="n">
        <v>0</v>
      </c>
      <c r="J71" s="20" t="n">
        <v>0</v>
      </c>
      <c r="K71" s="18" t="n">
        <v>0.24514374</v>
      </c>
      <c r="L71" s="20" t="n">
        <v>0.1727595</v>
      </c>
      <c r="M71" s="18" t="n">
        <v>0</v>
      </c>
      <c r="N71" s="20" t="n">
        <v>0</v>
      </c>
      <c r="O71" s="18" t="n">
        <v>0</v>
      </c>
      <c r="P71" s="20" t="n">
        <v>0</v>
      </c>
      <c r="Q71" s="18" t="n">
        <v>0.11721897</v>
      </c>
      <c r="R71" s="20" t="n">
        <v>0.11689988</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28.80311005</v>
      </c>
      <c r="F76" s="20" t="n">
        <v>1.70898247</v>
      </c>
      <c r="G76" s="18" t="n">
        <v>59.58607426</v>
      </c>
      <c r="H76" s="20" t="n">
        <v>1.65781619</v>
      </c>
      <c r="I76" s="18" t="n">
        <v>0</v>
      </c>
      <c r="J76" s="20" t="n">
        <v>0</v>
      </c>
      <c r="K76" s="18" t="n">
        <v>4.33336761</v>
      </c>
      <c r="L76" s="20" t="n">
        <v>0.78911846</v>
      </c>
      <c r="M76" s="18" t="n">
        <v>0</v>
      </c>
      <c r="N76" s="20" t="n">
        <v>0</v>
      </c>
      <c r="O76" s="18" t="n">
        <v>0</v>
      </c>
      <c r="P76" s="20" t="n">
        <v>0</v>
      </c>
      <c r="Q76" s="18" t="n">
        <v>7.27744808</v>
      </c>
      <c r="R76" s="20" t="n">
        <v>1.01328822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10.99664153</v>
      </c>
      <c r="F80" s="20" t="n">
        <v>1.23212235</v>
      </c>
      <c r="G80" s="18" t="n">
        <v>88.58348624</v>
      </c>
      <c r="H80" s="20" t="n">
        <v>1.25851387</v>
      </c>
      <c r="I80" s="18" t="n">
        <v>0</v>
      </c>
      <c r="J80" s="20" t="n">
        <v>0</v>
      </c>
      <c r="K80" s="18" t="n">
        <v>0</v>
      </c>
      <c r="L80" s="20" t="n">
        <v>0</v>
      </c>
      <c r="M80" s="18" t="n">
        <v>0</v>
      </c>
      <c r="N80" s="20" t="n">
        <v>0</v>
      </c>
      <c r="O80" s="18" t="n">
        <v>0</v>
      </c>
      <c r="P80" s="20" t="n">
        <v>0</v>
      </c>
      <c r="Q80" s="18" t="n">
        <v>0.41987223</v>
      </c>
      <c r="R80" s="20" t="n">
        <v>0.21231131</v>
      </c>
    </row>
    <row r="81" spans="1:18">
      <c r="A81" s="15" t="s">
        <v>505</v>
      </c>
      <c r="B81" s="17" t="n">
        <v>1657</v>
      </c>
      <c r="C81" s="18">
        <f>(1373.0/B81*100)</f>
        <v/>
      </c>
      <c r="D81" s="19" t="n">
        <v>284</v>
      </c>
      <c r="E81" s="18" t="n">
        <v>21.17678056</v>
      </c>
      <c r="F81" s="20" t="n">
        <v>3.13401669</v>
      </c>
      <c r="G81" s="18" t="n">
        <v>72.40248149999999</v>
      </c>
      <c r="H81" s="20" t="n">
        <v>3.70440687</v>
      </c>
      <c r="I81" s="18" t="n">
        <v>0</v>
      </c>
      <c r="J81" s="20" t="n">
        <v>0</v>
      </c>
      <c r="K81" s="18" t="n">
        <v>2.16184098</v>
      </c>
      <c r="L81" s="20" t="n">
        <v>0.9919869</v>
      </c>
      <c r="M81" s="18" t="n">
        <v>0</v>
      </c>
      <c r="N81" s="20" t="n">
        <v>0</v>
      </c>
      <c r="O81" s="18" t="n">
        <v>0</v>
      </c>
      <c r="P81" s="20" t="n">
        <v>0</v>
      </c>
      <c r="Q81" s="18" t="n">
        <v>4.25889696</v>
      </c>
      <c r="R81" s="20" t="n">
        <v>1.38149578</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724</v>
      </c>
    </row>
    <row customHeight="1" ht="30" r="4" spans="1:18">
      <c r="A4" s="6" t="n"/>
      <c r="B4" s="7" t="s">
        <v>415</v>
      </c>
      <c r="C4" s="7" t="s">
        <v>416</v>
      </c>
      <c r="D4" s="8" t="s">
        <v>415</v>
      </c>
      <c r="E4" s="9" t="s">
        <v>521</v>
      </c>
      <c r="F4" s="10" t="n"/>
      <c r="G4" s="9" t="s">
        <v>522</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40.28151633</v>
      </c>
      <c r="F44" s="20" t="n">
        <v>2.1477294</v>
      </c>
      <c r="G44" s="18" t="n">
        <v>53.40380568</v>
      </c>
      <c r="H44" s="20" t="n">
        <v>2.41870701</v>
      </c>
      <c r="I44" s="18" t="n">
        <v>0</v>
      </c>
      <c r="J44" s="20" t="n">
        <v>0</v>
      </c>
      <c r="K44" s="18" t="n">
        <v>3.36131739</v>
      </c>
      <c r="L44" s="20" t="n">
        <v>0.72573986</v>
      </c>
      <c r="M44" s="18" t="n">
        <v>0</v>
      </c>
      <c r="N44" s="20" t="n">
        <v>0</v>
      </c>
      <c r="O44" s="18" t="n">
        <v>0.1891817</v>
      </c>
      <c r="P44" s="20" t="n">
        <v>0.18912252</v>
      </c>
      <c r="Q44" s="18" t="n">
        <v>2.7641789</v>
      </c>
      <c r="R44" s="20" t="n">
        <v>0.53474602</v>
      </c>
    </row>
    <row r="45" spans="1:18">
      <c r="A45" s="15" t="s">
        <v>468</v>
      </c>
      <c r="B45" s="17" t="n">
        <v>5519</v>
      </c>
      <c r="C45" s="18">
        <f>(4593.0/B45*100)</f>
        <v/>
      </c>
      <c r="D45" s="19" t="n">
        <v>926</v>
      </c>
      <c r="E45" s="18" t="n">
        <v>52.81768674</v>
      </c>
      <c r="F45" s="20" t="n">
        <v>1.80045084</v>
      </c>
      <c r="G45" s="18" t="n">
        <v>41.11534182</v>
      </c>
      <c r="H45" s="20" t="n">
        <v>1.69426498</v>
      </c>
      <c r="I45" s="18" t="n">
        <v>0</v>
      </c>
      <c r="J45" s="20" t="n">
        <v>0</v>
      </c>
      <c r="K45" s="18" t="n">
        <v>4.96473575</v>
      </c>
      <c r="L45" s="20" t="n">
        <v>1.05028398</v>
      </c>
      <c r="M45" s="18" t="n">
        <v>0.12287829</v>
      </c>
      <c r="N45" s="20" t="n">
        <v>0.11201189</v>
      </c>
      <c r="O45" s="18" t="n">
        <v>0.35957165</v>
      </c>
      <c r="P45" s="20" t="n">
        <v>0.22468856</v>
      </c>
      <c r="Q45" s="18" t="n">
        <v>0.61978575</v>
      </c>
      <c r="R45" s="20" t="n">
        <v>0.29875245</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60.91942557</v>
      </c>
      <c r="F57" s="20" t="n">
        <v>1.5704371</v>
      </c>
      <c r="G57" s="18" t="n">
        <v>34.35550732</v>
      </c>
      <c r="H57" s="20" t="n">
        <v>1.62646013</v>
      </c>
      <c r="I57" s="18" t="n">
        <v>0</v>
      </c>
      <c r="J57" s="20" t="n">
        <v>0</v>
      </c>
      <c r="K57" s="18" t="n">
        <v>2.97856761</v>
      </c>
      <c r="L57" s="20" t="n">
        <v>0.57104303</v>
      </c>
      <c r="M57" s="18" t="n">
        <v>0</v>
      </c>
      <c r="N57" s="20" t="n">
        <v>0</v>
      </c>
      <c r="O57" s="18" t="n">
        <v>0</v>
      </c>
      <c r="P57" s="20" t="n">
        <v>0</v>
      </c>
      <c r="Q57" s="18" t="n">
        <v>1.7464995</v>
      </c>
      <c r="R57" s="20" t="n">
        <v>0.41923649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74.32104456</v>
      </c>
      <c r="F59" s="20" t="n">
        <v>2.11020984</v>
      </c>
      <c r="G59" s="18" t="n">
        <v>22.0500498</v>
      </c>
      <c r="H59" s="20" t="n">
        <v>2.06788948</v>
      </c>
      <c r="I59" s="18" t="n">
        <v>0</v>
      </c>
      <c r="J59" s="20" t="n">
        <v>0</v>
      </c>
      <c r="K59" s="18" t="n">
        <v>0.75753815</v>
      </c>
      <c r="L59" s="20" t="n">
        <v>0.26866892</v>
      </c>
      <c r="M59" s="18" t="n">
        <v>0</v>
      </c>
      <c r="N59" s="20" t="n">
        <v>0</v>
      </c>
      <c r="O59" s="18" t="n">
        <v>0.21772854</v>
      </c>
      <c r="P59" s="20" t="n">
        <v>0.17037724</v>
      </c>
      <c r="Q59" s="18" t="n">
        <v>2.65363895</v>
      </c>
      <c r="R59" s="20" t="n">
        <v>0.54137983</v>
      </c>
    </row>
    <row r="60" spans="1:18">
      <c r="A60" s="15" t="s">
        <v>484</v>
      </c>
      <c r="B60" s="17" t="n">
        <v>4546</v>
      </c>
      <c r="C60" s="18">
        <f>(3782.0/B60*100)</f>
        <v/>
      </c>
      <c r="D60" s="19" t="n">
        <v>764</v>
      </c>
      <c r="E60" s="18" t="n">
        <v>55.04966663</v>
      </c>
      <c r="F60" s="20" t="n">
        <v>2.35630437</v>
      </c>
      <c r="G60" s="18" t="n">
        <v>31.48707525</v>
      </c>
      <c r="H60" s="20" t="n">
        <v>2.02487606</v>
      </c>
      <c r="I60" s="18" t="n">
        <v>0</v>
      </c>
      <c r="J60" s="20" t="n">
        <v>0</v>
      </c>
      <c r="K60" s="18" t="n">
        <v>6.5111244</v>
      </c>
      <c r="L60" s="20" t="n">
        <v>1.21631462</v>
      </c>
      <c r="M60" s="18" t="n">
        <v>0</v>
      </c>
      <c r="N60" s="20" t="n">
        <v>0</v>
      </c>
      <c r="O60" s="18" t="n">
        <v>0</v>
      </c>
      <c r="P60" s="20" t="n">
        <v>0</v>
      </c>
      <c r="Q60" s="18" t="n">
        <v>6.95213372</v>
      </c>
      <c r="R60" s="20" t="n">
        <v>1.28786871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55.43529538</v>
      </c>
      <c r="F63" s="20" t="n">
        <v>1.8929024</v>
      </c>
      <c r="G63" s="18" t="n">
        <v>32.65216138</v>
      </c>
      <c r="H63" s="20" t="n">
        <v>1.90606796</v>
      </c>
      <c r="I63" s="18" t="n">
        <v>0</v>
      </c>
      <c r="J63" s="20" t="n">
        <v>0</v>
      </c>
      <c r="K63" s="18" t="n">
        <v>6.13934375</v>
      </c>
      <c r="L63" s="20" t="n">
        <v>0.92872432</v>
      </c>
      <c r="M63" s="18" t="n">
        <v>0</v>
      </c>
      <c r="N63" s="20" t="n">
        <v>0</v>
      </c>
      <c r="O63" s="18" t="n">
        <v>0</v>
      </c>
      <c r="P63" s="20" t="n">
        <v>0</v>
      </c>
      <c r="Q63" s="18" t="n">
        <v>5.77319949</v>
      </c>
      <c r="R63" s="20" t="n">
        <v>0.85926238</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45.50242117</v>
      </c>
      <c r="F66" s="20" t="n">
        <v>1.85036311</v>
      </c>
      <c r="G66" s="18" t="n">
        <v>45.03561224</v>
      </c>
      <c r="H66" s="20" t="n">
        <v>1.83084236</v>
      </c>
      <c r="I66" s="18" t="n">
        <v>0</v>
      </c>
      <c r="J66" s="20" t="n">
        <v>0</v>
      </c>
      <c r="K66" s="18" t="n">
        <v>5.94785467</v>
      </c>
      <c r="L66" s="20" t="n">
        <v>0.87804076</v>
      </c>
      <c r="M66" s="18" t="n">
        <v>0</v>
      </c>
      <c r="N66" s="20" t="n">
        <v>0</v>
      </c>
      <c r="O66" s="18" t="n">
        <v>0</v>
      </c>
      <c r="P66" s="20" t="n">
        <v>0</v>
      </c>
      <c r="Q66" s="18" t="n">
        <v>3.51411192</v>
      </c>
      <c r="R66" s="20" t="n">
        <v>0.61540118</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45.87492951</v>
      </c>
      <c r="F69" s="20" t="n">
        <v>4.35183387</v>
      </c>
      <c r="G69" s="18" t="n">
        <v>50.50755455</v>
      </c>
      <c r="H69" s="20" t="n">
        <v>4.29551695</v>
      </c>
      <c r="I69" s="18" t="n">
        <v>0</v>
      </c>
      <c r="J69" s="20" t="n">
        <v>0</v>
      </c>
      <c r="K69" s="18" t="n">
        <v>1.18046955</v>
      </c>
      <c r="L69" s="20" t="n">
        <v>1.24183722</v>
      </c>
      <c r="M69" s="18" t="n">
        <v>0</v>
      </c>
      <c r="N69" s="20" t="n">
        <v>0</v>
      </c>
      <c r="O69" s="18" t="n">
        <v>0</v>
      </c>
      <c r="P69" s="20" t="n">
        <v>0</v>
      </c>
      <c r="Q69" s="18" t="n">
        <v>2.43704639</v>
      </c>
      <c r="R69" s="20" t="n">
        <v>1.05195791</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43.9460146</v>
      </c>
      <c r="F71" s="20" t="n">
        <v>2.03591208</v>
      </c>
      <c r="G71" s="18" t="n">
        <v>55.36016818</v>
      </c>
      <c r="H71" s="20" t="n">
        <v>2.07436371</v>
      </c>
      <c r="I71" s="18" t="n">
        <v>0</v>
      </c>
      <c r="J71" s="20" t="n">
        <v>0</v>
      </c>
      <c r="K71" s="18" t="n">
        <v>0.24514374</v>
      </c>
      <c r="L71" s="20" t="n">
        <v>0.1727595</v>
      </c>
      <c r="M71" s="18" t="n">
        <v>0</v>
      </c>
      <c r="N71" s="20" t="n">
        <v>0</v>
      </c>
      <c r="O71" s="18" t="n">
        <v>0</v>
      </c>
      <c r="P71" s="20" t="n">
        <v>0</v>
      </c>
      <c r="Q71" s="18" t="n">
        <v>0.44867348</v>
      </c>
      <c r="R71" s="20" t="n">
        <v>0.22310002</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37.60198912</v>
      </c>
      <c r="F76" s="20" t="n">
        <v>1.82721377</v>
      </c>
      <c r="G76" s="18" t="n">
        <v>53.79109935</v>
      </c>
      <c r="H76" s="20" t="n">
        <v>1.87776842</v>
      </c>
      <c r="I76" s="18" t="n">
        <v>0</v>
      </c>
      <c r="J76" s="20" t="n">
        <v>0</v>
      </c>
      <c r="K76" s="18" t="n">
        <v>4.65371795</v>
      </c>
      <c r="L76" s="20" t="n">
        <v>0.81634059</v>
      </c>
      <c r="M76" s="18" t="n">
        <v>0.19958874</v>
      </c>
      <c r="N76" s="20" t="n">
        <v>0.20091489</v>
      </c>
      <c r="O76" s="18" t="n">
        <v>0</v>
      </c>
      <c r="P76" s="20" t="n">
        <v>0</v>
      </c>
      <c r="Q76" s="18" t="n">
        <v>3.75360484</v>
      </c>
      <c r="R76" s="20" t="n">
        <v>0.78329571</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31.85891357</v>
      </c>
      <c r="F80" s="20" t="n">
        <v>1.66206346</v>
      </c>
      <c r="G80" s="18" t="n">
        <v>68.0590491</v>
      </c>
      <c r="H80" s="20" t="n">
        <v>1.66137257</v>
      </c>
      <c r="I80" s="18" t="n">
        <v>0</v>
      </c>
      <c r="J80" s="20" t="n">
        <v>0</v>
      </c>
      <c r="K80" s="18" t="n">
        <v>0</v>
      </c>
      <c r="L80" s="20" t="n">
        <v>0</v>
      </c>
      <c r="M80" s="18" t="n">
        <v>0</v>
      </c>
      <c r="N80" s="20" t="n">
        <v>0</v>
      </c>
      <c r="O80" s="18" t="n">
        <v>0</v>
      </c>
      <c r="P80" s="20" t="n">
        <v>0</v>
      </c>
      <c r="Q80" s="18" t="n">
        <v>0.08203733000000001</v>
      </c>
      <c r="R80" s="20" t="n">
        <v>0.08259757</v>
      </c>
    </row>
    <row r="81" spans="1:18">
      <c r="A81" s="15" t="s">
        <v>505</v>
      </c>
      <c r="B81" s="17" t="n">
        <v>1657</v>
      </c>
      <c r="C81" s="18">
        <f>(1373.0/B81*100)</f>
        <v/>
      </c>
      <c r="D81" s="19" t="n">
        <v>284</v>
      </c>
      <c r="E81" s="18" t="n">
        <v>19.61394596</v>
      </c>
      <c r="F81" s="20" t="n">
        <v>2.48824217</v>
      </c>
      <c r="G81" s="18" t="n">
        <v>76.04423604</v>
      </c>
      <c r="H81" s="20" t="n">
        <v>2.6037627</v>
      </c>
      <c r="I81" s="18" t="n">
        <v>0</v>
      </c>
      <c r="J81" s="20" t="n">
        <v>0</v>
      </c>
      <c r="K81" s="18" t="n">
        <v>2.50147591</v>
      </c>
      <c r="L81" s="20" t="n">
        <v>1.05213835</v>
      </c>
      <c r="M81" s="18" t="n">
        <v>0</v>
      </c>
      <c r="N81" s="20" t="n">
        <v>0</v>
      </c>
      <c r="O81" s="18" t="n">
        <v>0</v>
      </c>
      <c r="P81" s="20" t="n">
        <v>0</v>
      </c>
      <c r="Q81" s="18" t="n">
        <v>1.84034209</v>
      </c>
      <c r="R81" s="20" t="n">
        <v>0.82607171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725</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5.45508532</v>
      </c>
      <c r="F44" s="20" t="n">
        <v>0.7153289900000001</v>
      </c>
      <c r="G44" s="18" t="n">
        <v>87.74749857</v>
      </c>
      <c r="H44" s="20" t="n">
        <v>1.2292571</v>
      </c>
      <c r="I44" s="18" t="n">
        <v>0</v>
      </c>
      <c r="J44" s="20" t="n">
        <v>0</v>
      </c>
      <c r="K44" s="18" t="n">
        <v>6.05643246</v>
      </c>
      <c r="L44" s="20" t="n">
        <v>1.00828483</v>
      </c>
      <c r="M44" s="18" t="n">
        <v>0</v>
      </c>
      <c r="N44" s="20" t="n">
        <v>0</v>
      </c>
      <c r="O44" s="18" t="n">
        <v>0</v>
      </c>
      <c r="P44" s="20" t="n">
        <v>0</v>
      </c>
      <c r="Q44" s="18" t="n">
        <v>0.74098365</v>
      </c>
      <c r="R44" s="20" t="n">
        <v>0.26933374</v>
      </c>
    </row>
    <row r="45" spans="1:18">
      <c r="A45" s="15" t="s">
        <v>468</v>
      </c>
      <c r="B45" s="17" t="n">
        <v>5519</v>
      </c>
      <c r="C45" s="18">
        <f>(4593.0/B45*100)</f>
        <v/>
      </c>
      <c r="D45" s="19" t="n">
        <v>926</v>
      </c>
      <c r="E45" s="18" t="n">
        <v>43.56082043</v>
      </c>
      <c r="F45" s="20" t="n">
        <v>1.88129142</v>
      </c>
      <c r="G45" s="18" t="n">
        <v>34.44040812</v>
      </c>
      <c r="H45" s="20" t="n">
        <v>1.7899948</v>
      </c>
      <c r="I45" s="18" t="n">
        <v>0</v>
      </c>
      <c r="J45" s="20" t="n">
        <v>0</v>
      </c>
      <c r="K45" s="18" t="n">
        <v>13.18234438</v>
      </c>
      <c r="L45" s="20" t="n">
        <v>1.46911273</v>
      </c>
      <c r="M45" s="18" t="n">
        <v>3.05730359</v>
      </c>
      <c r="N45" s="20" t="n">
        <v>0.72349084</v>
      </c>
      <c r="O45" s="18" t="n">
        <v>0</v>
      </c>
      <c r="P45" s="20" t="n">
        <v>0</v>
      </c>
      <c r="Q45" s="18" t="n">
        <v>5.75912349</v>
      </c>
      <c r="R45" s="20" t="n">
        <v>0.77819189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35.67061825</v>
      </c>
      <c r="F57" s="20" t="n">
        <v>1.61866022</v>
      </c>
      <c r="G57" s="18" t="n">
        <v>55.94194286</v>
      </c>
      <c r="H57" s="20" t="n">
        <v>1.49917011</v>
      </c>
      <c r="I57" s="18" t="n">
        <v>0</v>
      </c>
      <c r="J57" s="20" t="n">
        <v>0</v>
      </c>
      <c r="K57" s="18" t="n">
        <v>6.73153846</v>
      </c>
      <c r="L57" s="20" t="n">
        <v>0.83469065</v>
      </c>
      <c r="M57" s="18" t="n">
        <v>0</v>
      </c>
      <c r="N57" s="20" t="n">
        <v>0</v>
      </c>
      <c r="O57" s="18" t="n">
        <v>0</v>
      </c>
      <c r="P57" s="20" t="n">
        <v>0</v>
      </c>
      <c r="Q57" s="18" t="n">
        <v>1.65590042</v>
      </c>
      <c r="R57" s="20" t="n">
        <v>0.38505653</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8.31050055</v>
      </c>
      <c r="F59" s="20" t="n">
        <v>1.23531028</v>
      </c>
      <c r="G59" s="18" t="n">
        <v>87.42387205</v>
      </c>
      <c r="H59" s="20" t="n">
        <v>1.41075857</v>
      </c>
      <c r="I59" s="18" t="n">
        <v>0</v>
      </c>
      <c r="J59" s="20" t="n">
        <v>0</v>
      </c>
      <c r="K59" s="18" t="n">
        <v>2.80189802</v>
      </c>
      <c r="L59" s="20" t="n">
        <v>0.56059289</v>
      </c>
      <c r="M59" s="18" t="n">
        <v>0.22719715</v>
      </c>
      <c r="N59" s="20" t="n">
        <v>0.1402099</v>
      </c>
      <c r="O59" s="18" t="n">
        <v>0</v>
      </c>
      <c r="P59" s="20" t="n">
        <v>0</v>
      </c>
      <c r="Q59" s="18" t="n">
        <v>1.23653223</v>
      </c>
      <c r="R59" s="20" t="n">
        <v>0.47320291</v>
      </c>
    </row>
    <row r="60" spans="1:18">
      <c r="A60" s="15" t="s">
        <v>484</v>
      </c>
      <c r="B60" s="17" t="n">
        <v>4546</v>
      </c>
      <c r="C60" s="18">
        <f>(3782.0/B60*100)</f>
        <v/>
      </c>
      <c r="D60" s="19" t="n">
        <v>764</v>
      </c>
      <c r="E60" s="18" t="n">
        <v>18.16190549</v>
      </c>
      <c r="F60" s="20" t="n">
        <v>1.92515514</v>
      </c>
      <c r="G60" s="18" t="n">
        <v>66.34001062</v>
      </c>
      <c r="H60" s="20" t="n">
        <v>2.09804168</v>
      </c>
      <c r="I60" s="18" t="n">
        <v>0</v>
      </c>
      <c r="J60" s="20" t="n">
        <v>0</v>
      </c>
      <c r="K60" s="18" t="n">
        <v>13.55493224</v>
      </c>
      <c r="L60" s="20" t="n">
        <v>1.61989086</v>
      </c>
      <c r="M60" s="18" t="n">
        <v>0</v>
      </c>
      <c r="N60" s="20" t="n">
        <v>0</v>
      </c>
      <c r="O60" s="18" t="n">
        <v>0</v>
      </c>
      <c r="P60" s="20" t="n">
        <v>0</v>
      </c>
      <c r="Q60" s="18" t="n">
        <v>1.94315166</v>
      </c>
      <c r="R60" s="20" t="n">
        <v>0.6069527</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6.79731461</v>
      </c>
      <c r="F63" s="20" t="n">
        <v>0.7521681</v>
      </c>
      <c r="G63" s="18" t="n">
        <v>77.4185164</v>
      </c>
      <c r="H63" s="20" t="n">
        <v>1.70415342</v>
      </c>
      <c r="I63" s="18" t="n">
        <v>0</v>
      </c>
      <c r="J63" s="20" t="n">
        <v>0</v>
      </c>
      <c r="K63" s="18" t="n">
        <v>14.52929794</v>
      </c>
      <c r="L63" s="20" t="n">
        <v>1.47853088</v>
      </c>
      <c r="M63" s="18" t="n">
        <v>0</v>
      </c>
      <c r="N63" s="20" t="n">
        <v>0</v>
      </c>
      <c r="O63" s="18" t="n">
        <v>0</v>
      </c>
      <c r="P63" s="20" t="n">
        <v>0</v>
      </c>
      <c r="Q63" s="18" t="n">
        <v>1.25487106</v>
      </c>
      <c r="R63" s="20" t="n">
        <v>0.42207912</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3.67252924</v>
      </c>
      <c r="F66" s="20" t="n">
        <v>0.66344579</v>
      </c>
      <c r="G66" s="18" t="n">
        <v>87.19991303</v>
      </c>
      <c r="H66" s="20" t="n">
        <v>1.12024139</v>
      </c>
      <c r="I66" s="18" t="n">
        <v>0</v>
      </c>
      <c r="J66" s="20" t="n">
        <v>0</v>
      </c>
      <c r="K66" s="18" t="n">
        <v>8.008899250000001</v>
      </c>
      <c r="L66" s="20" t="n">
        <v>0.95070319</v>
      </c>
      <c r="M66" s="18" t="n">
        <v>0</v>
      </c>
      <c r="N66" s="20" t="n">
        <v>0</v>
      </c>
      <c r="O66" s="18" t="n">
        <v>0</v>
      </c>
      <c r="P66" s="20" t="n">
        <v>0</v>
      </c>
      <c r="Q66" s="18" t="n">
        <v>1.11865847</v>
      </c>
      <c r="R66" s="20" t="n">
        <v>0.36794689</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5.12525067</v>
      </c>
      <c r="F69" s="20" t="n">
        <v>1.39084787</v>
      </c>
      <c r="G69" s="18" t="n">
        <v>92.47966094</v>
      </c>
      <c r="H69" s="20" t="n">
        <v>2.0493961</v>
      </c>
      <c r="I69" s="18" t="n">
        <v>0</v>
      </c>
      <c r="J69" s="20" t="n">
        <v>0</v>
      </c>
      <c r="K69" s="18" t="n">
        <v>1.96201416</v>
      </c>
      <c r="L69" s="20" t="n">
        <v>1.35652459</v>
      </c>
      <c r="M69" s="18" t="n">
        <v>0</v>
      </c>
      <c r="N69" s="20" t="n">
        <v>0</v>
      </c>
      <c r="O69" s="18" t="n">
        <v>0</v>
      </c>
      <c r="P69" s="20" t="n">
        <v>0</v>
      </c>
      <c r="Q69" s="18" t="n">
        <v>0.43307422</v>
      </c>
      <c r="R69" s="20" t="n">
        <v>0.33849836</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7.04508844</v>
      </c>
      <c r="F71" s="20" t="n">
        <v>0.9970611700000001</v>
      </c>
      <c r="G71" s="18" t="n">
        <v>92.70976782</v>
      </c>
      <c r="H71" s="20" t="n">
        <v>1.02414515</v>
      </c>
      <c r="I71" s="18" t="n">
        <v>0</v>
      </c>
      <c r="J71" s="20" t="n">
        <v>0</v>
      </c>
      <c r="K71" s="18" t="n">
        <v>0.24514374</v>
      </c>
      <c r="L71" s="20" t="n">
        <v>0.1727595</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5.9021969</v>
      </c>
      <c r="F76" s="20" t="n">
        <v>0.91586713</v>
      </c>
      <c r="G76" s="18" t="n">
        <v>86.11242642000001</v>
      </c>
      <c r="H76" s="20" t="n">
        <v>1.46481479</v>
      </c>
      <c r="I76" s="18" t="n">
        <v>0</v>
      </c>
      <c r="J76" s="20" t="n">
        <v>0</v>
      </c>
      <c r="K76" s="18" t="n">
        <v>6.55414636</v>
      </c>
      <c r="L76" s="20" t="n">
        <v>0.99663343</v>
      </c>
      <c r="M76" s="18" t="n">
        <v>0</v>
      </c>
      <c r="N76" s="20" t="n">
        <v>0</v>
      </c>
      <c r="O76" s="18" t="n">
        <v>0</v>
      </c>
      <c r="P76" s="20" t="n">
        <v>0</v>
      </c>
      <c r="Q76" s="18" t="n">
        <v>1.43123032</v>
      </c>
      <c r="R76" s="20" t="n">
        <v>0.40333322</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23.98727842</v>
      </c>
      <c r="F80" s="20" t="n">
        <v>1.89089751</v>
      </c>
      <c r="G80" s="18" t="n">
        <v>75.20836155000001</v>
      </c>
      <c r="H80" s="20" t="n">
        <v>2.03848552</v>
      </c>
      <c r="I80" s="18" t="n">
        <v>0</v>
      </c>
      <c r="J80" s="20" t="n">
        <v>0</v>
      </c>
      <c r="K80" s="18" t="n">
        <v>0.25633023</v>
      </c>
      <c r="L80" s="20" t="n">
        <v>0.15996347</v>
      </c>
      <c r="M80" s="18" t="n">
        <v>0</v>
      </c>
      <c r="N80" s="20" t="n">
        <v>0</v>
      </c>
      <c r="O80" s="18" t="n">
        <v>0</v>
      </c>
      <c r="P80" s="20" t="n">
        <v>0</v>
      </c>
      <c r="Q80" s="18" t="n">
        <v>0.5480298</v>
      </c>
      <c r="R80" s="20" t="n">
        <v>0.35635804</v>
      </c>
    </row>
    <row r="81" spans="1:18">
      <c r="A81" s="15" t="s">
        <v>505</v>
      </c>
      <c r="B81" s="17" t="n">
        <v>1657</v>
      </c>
      <c r="C81" s="18">
        <f>(1373.0/B81*100)</f>
        <v/>
      </c>
      <c r="D81" s="19" t="n">
        <v>284</v>
      </c>
      <c r="E81" s="18" t="n">
        <v>3.00941533</v>
      </c>
      <c r="F81" s="20" t="n">
        <v>1.26321949</v>
      </c>
      <c r="G81" s="18" t="n">
        <v>92.75135164</v>
      </c>
      <c r="H81" s="20" t="n">
        <v>2.16176582</v>
      </c>
      <c r="I81" s="18" t="n">
        <v>0</v>
      </c>
      <c r="J81" s="20" t="n">
        <v>0</v>
      </c>
      <c r="K81" s="18" t="n">
        <v>3.92879559</v>
      </c>
      <c r="L81" s="20" t="n">
        <v>1.38473939</v>
      </c>
      <c r="M81" s="18" t="n">
        <v>0</v>
      </c>
      <c r="N81" s="20" t="n">
        <v>0</v>
      </c>
      <c r="O81" s="18" t="n">
        <v>0</v>
      </c>
      <c r="P81" s="20" t="n">
        <v>0</v>
      </c>
      <c r="Q81" s="18" t="n">
        <v>0.31043743</v>
      </c>
      <c r="R81" s="20" t="n">
        <v>0.31048523</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726</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25.0233043</v>
      </c>
      <c r="F44" s="20" t="n">
        <v>2.06572347</v>
      </c>
      <c r="G44" s="18" t="n">
        <v>63.79324127</v>
      </c>
      <c r="H44" s="20" t="n">
        <v>2.48094485</v>
      </c>
      <c r="I44" s="18" t="n">
        <v>0</v>
      </c>
      <c r="J44" s="20" t="n">
        <v>0</v>
      </c>
      <c r="K44" s="18" t="n">
        <v>9.091052550000001</v>
      </c>
      <c r="L44" s="20" t="n">
        <v>1.30865212</v>
      </c>
      <c r="M44" s="18" t="n">
        <v>0</v>
      </c>
      <c r="N44" s="20" t="n">
        <v>0</v>
      </c>
      <c r="O44" s="18" t="n">
        <v>0</v>
      </c>
      <c r="P44" s="20" t="n">
        <v>0</v>
      </c>
      <c r="Q44" s="18" t="n">
        <v>2.09240188</v>
      </c>
      <c r="R44" s="20" t="n">
        <v>0.54351688</v>
      </c>
    </row>
    <row r="45" spans="1:18">
      <c r="A45" s="15" t="s">
        <v>468</v>
      </c>
      <c r="B45" s="17" t="n">
        <v>5519</v>
      </c>
      <c r="C45" s="18">
        <f>(4593.0/B45*100)</f>
        <v/>
      </c>
      <c r="D45" s="19" t="n">
        <v>926</v>
      </c>
      <c r="E45" s="18" t="n">
        <v>60.80128373</v>
      </c>
      <c r="F45" s="20" t="n">
        <v>1.68147441</v>
      </c>
      <c r="G45" s="18" t="n">
        <v>16.78966876</v>
      </c>
      <c r="H45" s="20" t="n">
        <v>1.6249317</v>
      </c>
      <c r="I45" s="18" t="n">
        <v>0</v>
      </c>
      <c r="J45" s="20" t="n">
        <v>0</v>
      </c>
      <c r="K45" s="18" t="n">
        <v>15.30949923</v>
      </c>
      <c r="L45" s="20" t="n">
        <v>1.58803039</v>
      </c>
      <c r="M45" s="18" t="n">
        <v>3.15807549</v>
      </c>
      <c r="N45" s="20" t="n">
        <v>0.7119974999999999</v>
      </c>
      <c r="O45" s="18" t="n">
        <v>0</v>
      </c>
      <c r="P45" s="20" t="n">
        <v>0</v>
      </c>
      <c r="Q45" s="18" t="n">
        <v>3.9414728</v>
      </c>
      <c r="R45" s="20" t="n">
        <v>0.58752358</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68.55861695999999</v>
      </c>
      <c r="F57" s="20" t="n">
        <v>1.39202974</v>
      </c>
      <c r="G57" s="18" t="n">
        <v>18.48120435</v>
      </c>
      <c r="H57" s="20" t="n">
        <v>1.19722923</v>
      </c>
      <c r="I57" s="18" t="n">
        <v>0</v>
      </c>
      <c r="J57" s="20" t="n">
        <v>0</v>
      </c>
      <c r="K57" s="18" t="n">
        <v>8.099053400000001</v>
      </c>
      <c r="L57" s="20" t="n">
        <v>0.98191758</v>
      </c>
      <c r="M57" s="18" t="n">
        <v>0</v>
      </c>
      <c r="N57" s="20" t="n">
        <v>0</v>
      </c>
      <c r="O57" s="18" t="n">
        <v>0</v>
      </c>
      <c r="P57" s="20" t="n">
        <v>0</v>
      </c>
      <c r="Q57" s="18" t="n">
        <v>4.8611253</v>
      </c>
      <c r="R57" s="20" t="n">
        <v>0.71035565</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58.937934</v>
      </c>
      <c r="F59" s="20" t="n">
        <v>2.21597125</v>
      </c>
      <c r="G59" s="18" t="n">
        <v>31.6658935</v>
      </c>
      <c r="H59" s="20" t="n">
        <v>2.05408164</v>
      </c>
      <c r="I59" s="18" t="n">
        <v>0</v>
      </c>
      <c r="J59" s="20" t="n">
        <v>0</v>
      </c>
      <c r="K59" s="18" t="n">
        <v>4.74825291</v>
      </c>
      <c r="L59" s="20" t="n">
        <v>0.82603287</v>
      </c>
      <c r="M59" s="18" t="n">
        <v>0.22719715</v>
      </c>
      <c r="N59" s="20" t="n">
        <v>0.1402099</v>
      </c>
      <c r="O59" s="18" t="n">
        <v>0</v>
      </c>
      <c r="P59" s="20" t="n">
        <v>0</v>
      </c>
      <c r="Q59" s="18" t="n">
        <v>4.42072245</v>
      </c>
      <c r="R59" s="20" t="n">
        <v>0.79944531</v>
      </c>
    </row>
    <row r="60" spans="1:18">
      <c r="A60" s="15" t="s">
        <v>484</v>
      </c>
      <c r="B60" s="17" t="n">
        <v>4546</v>
      </c>
      <c r="C60" s="18">
        <f>(3782.0/B60*100)</f>
        <v/>
      </c>
      <c r="D60" s="19" t="n">
        <v>764</v>
      </c>
      <c r="E60" s="18" t="n">
        <v>62.98065953</v>
      </c>
      <c r="F60" s="20" t="n">
        <v>1.94882194</v>
      </c>
      <c r="G60" s="18" t="n">
        <v>13.27425904</v>
      </c>
      <c r="H60" s="20" t="n">
        <v>1.3653982</v>
      </c>
      <c r="I60" s="18" t="n">
        <v>0</v>
      </c>
      <c r="J60" s="20" t="n">
        <v>0</v>
      </c>
      <c r="K60" s="18" t="n">
        <v>18.2927143</v>
      </c>
      <c r="L60" s="20" t="n">
        <v>1.76181634</v>
      </c>
      <c r="M60" s="18" t="n">
        <v>0</v>
      </c>
      <c r="N60" s="20" t="n">
        <v>0</v>
      </c>
      <c r="O60" s="18" t="n">
        <v>0</v>
      </c>
      <c r="P60" s="20" t="n">
        <v>0</v>
      </c>
      <c r="Q60" s="18" t="n">
        <v>5.45236714</v>
      </c>
      <c r="R60" s="20" t="n">
        <v>0.82144934</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41.93940228</v>
      </c>
      <c r="F63" s="20" t="n">
        <v>1.95141949</v>
      </c>
      <c r="G63" s="18" t="n">
        <v>27.06631514</v>
      </c>
      <c r="H63" s="20" t="n">
        <v>1.72035066</v>
      </c>
      <c r="I63" s="18" t="n">
        <v>0</v>
      </c>
      <c r="J63" s="20" t="n">
        <v>0</v>
      </c>
      <c r="K63" s="18" t="n">
        <v>21.63607483</v>
      </c>
      <c r="L63" s="20" t="n">
        <v>1.66503518</v>
      </c>
      <c r="M63" s="18" t="n">
        <v>0</v>
      </c>
      <c r="N63" s="20" t="n">
        <v>0</v>
      </c>
      <c r="O63" s="18" t="n">
        <v>0</v>
      </c>
      <c r="P63" s="20" t="n">
        <v>0</v>
      </c>
      <c r="Q63" s="18" t="n">
        <v>9.35820775</v>
      </c>
      <c r="R63" s="20" t="n">
        <v>0.97908354</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44.29054602</v>
      </c>
      <c r="F66" s="20" t="n">
        <v>1.99560309</v>
      </c>
      <c r="G66" s="18" t="n">
        <v>27.76142524</v>
      </c>
      <c r="H66" s="20" t="n">
        <v>1.84565602</v>
      </c>
      <c r="I66" s="18" t="n">
        <v>0</v>
      </c>
      <c r="J66" s="20" t="n">
        <v>0</v>
      </c>
      <c r="K66" s="18" t="n">
        <v>10.59677073</v>
      </c>
      <c r="L66" s="20" t="n">
        <v>1.06174603</v>
      </c>
      <c r="M66" s="18" t="n">
        <v>0</v>
      </c>
      <c r="N66" s="20" t="n">
        <v>0</v>
      </c>
      <c r="O66" s="18" t="n">
        <v>0</v>
      </c>
      <c r="P66" s="20" t="n">
        <v>0</v>
      </c>
      <c r="Q66" s="18" t="n">
        <v>17.35125801</v>
      </c>
      <c r="R66" s="20" t="n">
        <v>1.28419785</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70.52103337</v>
      </c>
      <c r="F69" s="20" t="n">
        <v>3.28894059</v>
      </c>
      <c r="G69" s="18" t="n">
        <v>21.91896207</v>
      </c>
      <c r="H69" s="20" t="n">
        <v>3.31330954</v>
      </c>
      <c r="I69" s="18" t="n">
        <v>0</v>
      </c>
      <c r="J69" s="20" t="n">
        <v>0</v>
      </c>
      <c r="K69" s="18" t="n">
        <v>4.22109895</v>
      </c>
      <c r="L69" s="20" t="n">
        <v>0.83479746</v>
      </c>
      <c r="M69" s="18" t="n">
        <v>0</v>
      </c>
      <c r="N69" s="20" t="n">
        <v>0</v>
      </c>
      <c r="O69" s="18" t="n">
        <v>0</v>
      </c>
      <c r="P69" s="20" t="n">
        <v>0</v>
      </c>
      <c r="Q69" s="18" t="n">
        <v>3.33890561</v>
      </c>
      <c r="R69" s="20" t="n">
        <v>0.87464495</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43.5500383</v>
      </c>
      <c r="F71" s="20" t="n">
        <v>2.35651098</v>
      </c>
      <c r="G71" s="18" t="n">
        <v>55.4991284</v>
      </c>
      <c r="H71" s="20" t="n">
        <v>2.38070862</v>
      </c>
      <c r="I71" s="18" t="n">
        <v>0</v>
      </c>
      <c r="J71" s="20" t="n">
        <v>0</v>
      </c>
      <c r="K71" s="18" t="n">
        <v>0.37185037</v>
      </c>
      <c r="L71" s="20" t="n">
        <v>0.21074516</v>
      </c>
      <c r="M71" s="18" t="n">
        <v>0</v>
      </c>
      <c r="N71" s="20" t="n">
        <v>0</v>
      </c>
      <c r="O71" s="18" t="n">
        <v>0</v>
      </c>
      <c r="P71" s="20" t="n">
        <v>0</v>
      </c>
      <c r="Q71" s="18" t="n">
        <v>0.57898292</v>
      </c>
      <c r="R71" s="20" t="n">
        <v>0.30426587</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38.03631888</v>
      </c>
      <c r="F76" s="20" t="n">
        <v>1.90349914</v>
      </c>
      <c r="G76" s="18" t="n">
        <v>41.82894622</v>
      </c>
      <c r="H76" s="20" t="n">
        <v>2.05026783</v>
      </c>
      <c r="I76" s="18" t="n">
        <v>0</v>
      </c>
      <c r="J76" s="20" t="n">
        <v>0</v>
      </c>
      <c r="K76" s="18" t="n">
        <v>10.00799056</v>
      </c>
      <c r="L76" s="20" t="n">
        <v>1.20377611</v>
      </c>
      <c r="M76" s="18" t="n">
        <v>0</v>
      </c>
      <c r="N76" s="20" t="n">
        <v>0</v>
      </c>
      <c r="O76" s="18" t="n">
        <v>0</v>
      </c>
      <c r="P76" s="20" t="n">
        <v>0</v>
      </c>
      <c r="Q76" s="18" t="n">
        <v>10.12674434</v>
      </c>
      <c r="R76" s="20" t="n">
        <v>1.18484383</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68.12180907</v>
      </c>
      <c r="F80" s="20" t="n">
        <v>1.8387759</v>
      </c>
      <c r="G80" s="18" t="n">
        <v>30.66113735</v>
      </c>
      <c r="H80" s="20" t="n">
        <v>1.88422099</v>
      </c>
      <c r="I80" s="18" t="n">
        <v>0</v>
      </c>
      <c r="J80" s="20" t="n">
        <v>0</v>
      </c>
      <c r="K80" s="18" t="n">
        <v>0.35230419</v>
      </c>
      <c r="L80" s="20" t="n">
        <v>0.18655543</v>
      </c>
      <c r="M80" s="18" t="n">
        <v>0</v>
      </c>
      <c r="N80" s="20" t="n">
        <v>0</v>
      </c>
      <c r="O80" s="18" t="n">
        <v>0</v>
      </c>
      <c r="P80" s="20" t="n">
        <v>0</v>
      </c>
      <c r="Q80" s="18" t="n">
        <v>0.86474939</v>
      </c>
      <c r="R80" s="20" t="n">
        <v>0.39190233</v>
      </c>
    </row>
    <row r="81" spans="1:18">
      <c r="A81" s="15" t="s">
        <v>505</v>
      </c>
      <c r="B81" s="17" t="n">
        <v>1657</v>
      </c>
      <c r="C81" s="18">
        <f>(1373.0/B81*100)</f>
        <v/>
      </c>
      <c r="D81" s="19" t="n">
        <v>284</v>
      </c>
      <c r="E81" s="18" t="n">
        <v>12.20031101</v>
      </c>
      <c r="F81" s="20" t="n">
        <v>2.17091772</v>
      </c>
      <c r="G81" s="18" t="n">
        <v>81.20183996</v>
      </c>
      <c r="H81" s="20" t="n">
        <v>2.87913457</v>
      </c>
      <c r="I81" s="18" t="n">
        <v>0</v>
      </c>
      <c r="J81" s="20" t="n">
        <v>0</v>
      </c>
      <c r="K81" s="18" t="n">
        <v>5.2679197</v>
      </c>
      <c r="L81" s="20" t="n">
        <v>1.39155844</v>
      </c>
      <c r="M81" s="18" t="n">
        <v>0</v>
      </c>
      <c r="N81" s="20" t="n">
        <v>0</v>
      </c>
      <c r="O81" s="18" t="n">
        <v>0</v>
      </c>
      <c r="P81" s="20" t="n">
        <v>0</v>
      </c>
      <c r="Q81" s="18" t="n">
        <v>1.32992933</v>
      </c>
      <c r="R81" s="20" t="n">
        <v>0.79906142</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727</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40.00247172</v>
      </c>
      <c r="F44" s="20" t="n">
        <v>1.91433907</v>
      </c>
      <c r="G44" s="18" t="n">
        <v>38.66635868</v>
      </c>
      <c r="H44" s="20" t="n">
        <v>1.80406356</v>
      </c>
      <c r="I44" s="18" t="n">
        <v>0</v>
      </c>
      <c r="J44" s="20" t="n">
        <v>0</v>
      </c>
      <c r="K44" s="18" t="n">
        <v>13.08910821</v>
      </c>
      <c r="L44" s="20" t="n">
        <v>1.60151699</v>
      </c>
      <c r="M44" s="18" t="n">
        <v>0</v>
      </c>
      <c r="N44" s="20" t="n">
        <v>0</v>
      </c>
      <c r="O44" s="18" t="n">
        <v>0</v>
      </c>
      <c r="P44" s="20" t="n">
        <v>0</v>
      </c>
      <c r="Q44" s="18" t="n">
        <v>8.24206139</v>
      </c>
      <c r="R44" s="20" t="n">
        <v>0.93962671</v>
      </c>
    </row>
    <row r="45" spans="1:18">
      <c r="A45" s="15" t="s">
        <v>468</v>
      </c>
      <c r="B45" s="17" t="n">
        <v>5519</v>
      </c>
      <c r="C45" s="18">
        <f>(4593.0/B45*100)</f>
        <v/>
      </c>
      <c r="D45" s="19" t="n">
        <v>926</v>
      </c>
      <c r="E45" s="18" t="n">
        <v>52.89958677</v>
      </c>
      <c r="F45" s="20" t="n">
        <v>2.02938559</v>
      </c>
      <c r="G45" s="18" t="n">
        <v>12.63136823</v>
      </c>
      <c r="H45" s="20" t="n">
        <v>1.22737984</v>
      </c>
      <c r="I45" s="18" t="n">
        <v>0</v>
      </c>
      <c r="J45" s="20" t="n">
        <v>0</v>
      </c>
      <c r="K45" s="18" t="n">
        <v>19.83842775</v>
      </c>
      <c r="L45" s="20" t="n">
        <v>1.68566328</v>
      </c>
      <c r="M45" s="18" t="n">
        <v>3.07897712</v>
      </c>
      <c r="N45" s="20" t="n">
        <v>0.72464507</v>
      </c>
      <c r="O45" s="18" t="n">
        <v>0.12920008</v>
      </c>
      <c r="P45" s="20" t="n">
        <v>0.10057425</v>
      </c>
      <c r="Q45" s="18" t="n">
        <v>11.42244004</v>
      </c>
      <c r="R45" s="20" t="n">
        <v>1.19084399</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41.96853232</v>
      </c>
      <c r="F57" s="20" t="n">
        <v>1.67698681</v>
      </c>
      <c r="G57" s="18" t="n">
        <v>45.62420731</v>
      </c>
      <c r="H57" s="20" t="n">
        <v>1.73205709</v>
      </c>
      <c r="I57" s="18" t="n">
        <v>0</v>
      </c>
      <c r="J57" s="20" t="n">
        <v>0</v>
      </c>
      <c r="K57" s="18" t="n">
        <v>10.23898143</v>
      </c>
      <c r="L57" s="20" t="n">
        <v>1.219291</v>
      </c>
      <c r="M57" s="18" t="n">
        <v>0</v>
      </c>
      <c r="N57" s="20" t="n">
        <v>0</v>
      </c>
      <c r="O57" s="18" t="n">
        <v>0</v>
      </c>
      <c r="P57" s="20" t="n">
        <v>0</v>
      </c>
      <c r="Q57" s="18" t="n">
        <v>2.16827893</v>
      </c>
      <c r="R57" s="20" t="n">
        <v>0.37181059</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77.05705514</v>
      </c>
      <c r="F59" s="20" t="n">
        <v>1.73169073</v>
      </c>
      <c r="G59" s="18" t="n">
        <v>9.404148340000001</v>
      </c>
      <c r="H59" s="20" t="n">
        <v>1.22942884</v>
      </c>
      <c r="I59" s="18" t="n">
        <v>0</v>
      </c>
      <c r="J59" s="20" t="n">
        <v>0</v>
      </c>
      <c r="K59" s="18" t="n">
        <v>8.610265249999999</v>
      </c>
      <c r="L59" s="20" t="n">
        <v>1.1031883</v>
      </c>
      <c r="M59" s="18" t="n">
        <v>0.22719715</v>
      </c>
      <c r="N59" s="20" t="n">
        <v>0.1402099</v>
      </c>
      <c r="O59" s="18" t="n">
        <v>0</v>
      </c>
      <c r="P59" s="20" t="n">
        <v>0</v>
      </c>
      <c r="Q59" s="18" t="n">
        <v>4.70133412</v>
      </c>
      <c r="R59" s="20" t="n">
        <v>0.84911747</v>
      </c>
    </row>
    <row r="60" spans="1:18">
      <c r="A60" s="15" t="s">
        <v>484</v>
      </c>
      <c r="B60" s="17" t="n">
        <v>4546</v>
      </c>
      <c r="C60" s="18">
        <f>(3782.0/B60*100)</f>
        <v/>
      </c>
      <c r="D60" s="19" t="n">
        <v>764</v>
      </c>
      <c r="E60" s="18" t="n">
        <v>43.72412088</v>
      </c>
      <c r="F60" s="20" t="n">
        <v>2.12897044</v>
      </c>
      <c r="G60" s="18" t="n">
        <v>24.51868602</v>
      </c>
      <c r="H60" s="20" t="n">
        <v>1.65935993</v>
      </c>
      <c r="I60" s="18" t="n">
        <v>0</v>
      </c>
      <c r="J60" s="20" t="n">
        <v>0</v>
      </c>
      <c r="K60" s="18" t="n">
        <v>25.58290908</v>
      </c>
      <c r="L60" s="20" t="n">
        <v>2.05329112</v>
      </c>
      <c r="M60" s="18" t="n">
        <v>0</v>
      </c>
      <c r="N60" s="20" t="n">
        <v>0</v>
      </c>
      <c r="O60" s="18" t="n">
        <v>0.20055803</v>
      </c>
      <c r="P60" s="20" t="n">
        <v>0.19845355</v>
      </c>
      <c r="Q60" s="18" t="n">
        <v>5.97372599</v>
      </c>
      <c r="R60" s="20" t="n">
        <v>1.19513691</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32.76884853</v>
      </c>
      <c r="F63" s="20" t="n">
        <v>1.86449518</v>
      </c>
      <c r="G63" s="18" t="n">
        <v>28.20148391</v>
      </c>
      <c r="H63" s="20" t="n">
        <v>1.53227821</v>
      </c>
      <c r="I63" s="18" t="n">
        <v>0</v>
      </c>
      <c r="J63" s="20" t="n">
        <v>0</v>
      </c>
      <c r="K63" s="18" t="n">
        <v>26.7493634</v>
      </c>
      <c r="L63" s="20" t="n">
        <v>1.59428355</v>
      </c>
      <c r="M63" s="18" t="n">
        <v>0</v>
      </c>
      <c r="N63" s="20" t="n">
        <v>0</v>
      </c>
      <c r="O63" s="18" t="n">
        <v>0</v>
      </c>
      <c r="P63" s="20" t="n">
        <v>0</v>
      </c>
      <c r="Q63" s="18" t="n">
        <v>12.28030416</v>
      </c>
      <c r="R63" s="20" t="n">
        <v>1.16242047</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38.49596471</v>
      </c>
      <c r="F66" s="20" t="n">
        <v>1.42695946</v>
      </c>
      <c r="G66" s="18" t="n">
        <v>39.18615185</v>
      </c>
      <c r="H66" s="20" t="n">
        <v>1.41592784</v>
      </c>
      <c r="I66" s="18" t="n">
        <v>0</v>
      </c>
      <c r="J66" s="20" t="n">
        <v>0</v>
      </c>
      <c r="K66" s="18" t="n">
        <v>14.04220323</v>
      </c>
      <c r="L66" s="20" t="n">
        <v>1.21698277</v>
      </c>
      <c r="M66" s="18" t="n">
        <v>0</v>
      </c>
      <c r="N66" s="20" t="n">
        <v>0</v>
      </c>
      <c r="O66" s="18" t="n">
        <v>0</v>
      </c>
      <c r="P66" s="20" t="n">
        <v>0</v>
      </c>
      <c r="Q66" s="18" t="n">
        <v>8.275680210000001</v>
      </c>
      <c r="R66" s="20" t="n">
        <v>0.94688652</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40.85475569</v>
      </c>
      <c r="F69" s="20" t="n">
        <v>3.96031998</v>
      </c>
      <c r="G69" s="18" t="n">
        <v>52.46902197</v>
      </c>
      <c r="H69" s="20" t="n">
        <v>4.39198475</v>
      </c>
      <c r="I69" s="18" t="n">
        <v>0</v>
      </c>
      <c r="J69" s="20" t="n">
        <v>0</v>
      </c>
      <c r="K69" s="18" t="n">
        <v>5.10448829</v>
      </c>
      <c r="L69" s="20" t="n">
        <v>1.12795063</v>
      </c>
      <c r="M69" s="18" t="n">
        <v>0</v>
      </c>
      <c r="N69" s="20" t="n">
        <v>0</v>
      </c>
      <c r="O69" s="18" t="n">
        <v>0</v>
      </c>
      <c r="P69" s="20" t="n">
        <v>0</v>
      </c>
      <c r="Q69" s="18" t="n">
        <v>1.57173405</v>
      </c>
      <c r="R69" s="20" t="n">
        <v>0.71959543</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38.72315008</v>
      </c>
      <c r="F71" s="20" t="n">
        <v>2.0503526</v>
      </c>
      <c r="G71" s="18" t="n">
        <v>60.0915353</v>
      </c>
      <c r="H71" s="20" t="n">
        <v>2.07449957</v>
      </c>
      <c r="I71" s="18" t="n">
        <v>0</v>
      </c>
      <c r="J71" s="20" t="n">
        <v>0</v>
      </c>
      <c r="K71" s="18" t="n">
        <v>0.37185037</v>
      </c>
      <c r="L71" s="20" t="n">
        <v>0.21074516</v>
      </c>
      <c r="M71" s="18" t="n">
        <v>0</v>
      </c>
      <c r="N71" s="20" t="n">
        <v>0</v>
      </c>
      <c r="O71" s="18" t="n">
        <v>0</v>
      </c>
      <c r="P71" s="20" t="n">
        <v>0</v>
      </c>
      <c r="Q71" s="18" t="n">
        <v>0.81346425</v>
      </c>
      <c r="R71" s="20" t="n">
        <v>0.342743</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20.78271229</v>
      </c>
      <c r="F76" s="20" t="n">
        <v>1.54065938</v>
      </c>
      <c r="G76" s="18" t="n">
        <v>60.92573509</v>
      </c>
      <c r="H76" s="20" t="n">
        <v>1.82746676</v>
      </c>
      <c r="I76" s="18" t="n">
        <v>0</v>
      </c>
      <c r="J76" s="20" t="n">
        <v>0</v>
      </c>
      <c r="K76" s="18" t="n">
        <v>12.42699564</v>
      </c>
      <c r="L76" s="20" t="n">
        <v>1.22484391</v>
      </c>
      <c r="M76" s="18" t="n">
        <v>0</v>
      </c>
      <c r="N76" s="20" t="n">
        <v>0</v>
      </c>
      <c r="O76" s="18" t="n">
        <v>0</v>
      </c>
      <c r="P76" s="20" t="n">
        <v>0</v>
      </c>
      <c r="Q76" s="18" t="n">
        <v>5.86455698</v>
      </c>
      <c r="R76" s="20" t="n">
        <v>0.95070534</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47.33305221</v>
      </c>
      <c r="F80" s="20" t="n">
        <v>1.93964174</v>
      </c>
      <c r="G80" s="18" t="n">
        <v>50.65853324</v>
      </c>
      <c r="H80" s="20" t="n">
        <v>1.98162111</v>
      </c>
      <c r="I80" s="18" t="n">
        <v>0</v>
      </c>
      <c r="J80" s="20" t="n">
        <v>0</v>
      </c>
      <c r="K80" s="18" t="n">
        <v>0.53597557</v>
      </c>
      <c r="L80" s="20" t="n">
        <v>0.22102033</v>
      </c>
      <c r="M80" s="18" t="n">
        <v>0</v>
      </c>
      <c r="N80" s="20" t="n">
        <v>0</v>
      </c>
      <c r="O80" s="18" t="n">
        <v>0</v>
      </c>
      <c r="P80" s="20" t="n">
        <v>0</v>
      </c>
      <c r="Q80" s="18" t="n">
        <v>1.47243897</v>
      </c>
      <c r="R80" s="20" t="n">
        <v>0.48919777</v>
      </c>
    </row>
    <row r="81" spans="1:18">
      <c r="A81" s="15" t="s">
        <v>505</v>
      </c>
      <c r="B81" s="17" t="n">
        <v>1657</v>
      </c>
      <c r="C81" s="18">
        <f>(1373.0/B81*100)</f>
        <v/>
      </c>
      <c r="D81" s="19" t="n">
        <v>284</v>
      </c>
      <c r="E81" s="18" t="n">
        <v>21.91674659</v>
      </c>
      <c r="F81" s="20" t="n">
        <v>2.75480101</v>
      </c>
      <c r="G81" s="18" t="n">
        <v>65.71017741999999</v>
      </c>
      <c r="H81" s="20" t="n">
        <v>2.75677258</v>
      </c>
      <c r="I81" s="18" t="n">
        <v>0</v>
      </c>
      <c r="J81" s="20" t="n">
        <v>0</v>
      </c>
      <c r="K81" s="18" t="n">
        <v>6.6498569</v>
      </c>
      <c r="L81" s="20" t="n">
        <v>1.49533015</v>
      </c>
      <c r="M81" s="18" t="n">
        <v>0</v>
      </c>
      <c r="N81" s="20" t="n">
        <v>0</v>
      </c>
      <c r="O81" s="18" t="n">
        <v>0</v>
      </c>
      <c r="P81" s="20" t="n">
        <v>0</v>
      </c>
      <c r="Q81" s="18" t="n">
        <v>5.72321909</v>
      </c>
      <c r="R81" s="20" t="n">
        <v>1.41759931</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413</v>
      </c>
    </row>
    <row r="2" spans="1:18">
      <c r="A2" s="5" t="s">
        <v>728</v>
      </c>
    </row>
    <row customHeight="1" ht="30" r="4" spans="1:18">
      <c r="A4" s="6" t="n"/>
      <c r="B4" s="7" t="s">
        <v>415</v>
      </c>
      <c r="C4" s="7" t="s">
        <v>416</v>
      </c>
      <c r="D4" s="8" t="s">
        <v>415</v>
      </c>
      <c r="E4" s="9" t="s">
        <v>417</v>
      </c>
      <c r="F4" s="10" t="n"/>
      <c r="G4" s="9" t="s">
        <v>418</v>
      </c>
      <c r="H4" s="10" t="n"/>
      <c r="I4" s="9" t="s">
        <v>419</v>
      </c>
      <c r="J4" s="10" t="n"/>
      <c r="K4" s="9" t="s">
        <v>420</v>
      </c>
      <c r="L4" s="10" t="n"/>
      <c r="M4" s="9" t="s">
        <v>421</v>
      </c>
      <c r="N4" s="10" t="n"/>
      <c r="O4" s="9" t="s">
        <v>422</v>
      </c>
      <c r="P4" s="10" t="n"/>
      <c r="Q4" s="9" t="s">
        <v>423</v>
      </c>
      <c r="R4" s="10" t="n"/>
    </row>
    <row r="5" spans="1:18">
      <c r="A5" s="11" t="s"/>
      <c r="B5" s="12" t="s">
        <v>424</v>
      </c>
      <c r="C5" s="12" t="s">
        <v>425</v>
      </c>
      <c r="D5" s="11" t="s">
        <v>426</v>
      </c>
      <c r="E5" s="12" t="s">
        <v>425</v>
      </c>
      <c r="F5" s="11" t="s">
        <v>427</v>
      </c>
      <c r="G5" s="12" t="s">
        <v>425</v>
      </c>
      <c r="H5" s="11" t="s">
        <v>427</v>
      </c>
      <c r="I5" s="12" t="s">
        <v>425</v>
      </c>
      <c r="J5" s="11" t="s">
        <v>427</v>
      </c>
      <c r="K5" s="12" t="s">
        <v>425</v>
      </c>
      <c r="L5" s="11" t="s">
        <v>427</v>
      </c>
      <c r="M5" s="12" t="s">
        <v>425</v>
      </c>
      <c r="N5" s="11" t="s">
        <v>427</v>
      </c>
      <c r="O5" s="12" t="s">
        <v>425</v>
      </c>
      <c r="P5" s="11" t="s">
        <v>427</v>
      </c>
      <c r="Q5" s="12" t="s">
        <v>425</v>
      </c>
      <c r="R5" s="11" t="s">
        <v>427</v>
      </c>
    </row>
    <row r="6" spans="1:18">
      <c r="A6" s="13" t="s">
        <v>428</v>
      </c>
      <c r="B6" s="14" t="n"/>
      <c r="C6" s="14" t="n"/>
      <c r="D6" s="15" t="n"/>
      <c r="E6" s="14" t="n"/>
      <c r="F6" s="15" t="n"/>
      <c r="G6" s="14" t="n"/>
      <c r="H6" s="15" t="n"/>
      <c r="I6" s="14" t="n"/>
      <c r="J6" s="15" t="n"/>
      <c r="K6" s="14" t="n"/>
      <c r="L6" s="15" t="n"/>
      <c r="M6" s="14" t="n"/>
      <c r="N6" s="15" t="n"/>
      <c r="O6" s="14" t="n"/>
      <c r="P6" s="15" t="n"/>
      <c r="Q6" s="14" t="n"/>
      <c r="R6" s="16" t="n"/>
    </row>
    <row r="7" spans="1:18">
      <c r="A7" s="15" t="s">
        <v>429</v>
      </c>
      <c r="B7" s="17" t="n">
        <v>14530</v>
      </c>
      <c r="C7" s="18">
        <f>(14530.0/B7*100)</f>
        <v/>
      </c>
      <c r="D7" s="19" t="n">
        <v>0</v>
      </c>
      <c r="E7" s="18" t="s">
        <v>467</v>
      </c>
      <c r="F7" s="20" t="s">
        <v>467</v>
      </c>
      <c r="G7" s="18" t="s">
        <v>467</v>
      </c>
      <c r="H7" s="20" t="s">
        <v>467</v>
      </c>
      <c r="I7" s="18" t="s">
        <v>467</v>
      </c>
      <c r="J7" s="20" t="s">
        <v>467</v>
      </c>
      <c r="K7" s="18" t="s">
        <v>467</v>
      </c>
      <c r="L7" s="20" t="s">
        <v>467</v>
      </c>
      <c r="M7" s="18" t="s">
        <v>467</v>
      </c>
      <c r="N7" s="20" t="s">
        <v>467</v>
      </c>
      <c r="O7" s="18" t="s">
        <v>467</v>
      </c>
      <c r="P7" s="20" t="s">
        <v>467</v>
      </c>
      <c r="Q7" s="18" t="s">
        <v>467</v>
      </c>
      <c r="R7" s="20" t="s">
        <v>467</v>
      </c>
    </row>
    <row r="8" spans="1:18">
      <c r="A8" s="15" t="s">
        <v>430</v>
      </c>
      <c r="B8" s="17" t="n">
        <v>7007</v>
      </c>
      <c r="C8" s="18">
        <f>(7007.0/B8*100)</f>
        <v/>
      </c>
      <c r="D8" s="19" t="n">
        <v>0</v>
      </c>
      <c r="E8" s="18" t="s">
        <v>467</v>
      </c>
      <c r="F8" s="20" t="s">
        <v>467</v>
      </c>
      <c r="G8" s="18" t="s">
        <v>467</v>
      </c>
      <c r="H8" s="20" t="s">
        <v>467</v>
      </c>
      <c r="I8" s="18" t="s">
        <v>467</v>
      </c>
      <c r="J8" s="20" t="s">
        <v>467</v>
      </c>
      <c r="K8" s="18" t="s">
        <v>467</v>
      </c>
      <c r="L8" s="20" t="s">
        <v>467</v>
      </c>
      <c r="M8" s="18" t="s">
        <v>467</v>
      </c>
      <c r="N8" s="20" t="s">
        <v>467</v>
      </c>
      <c r="O8" s="18" t="s">
        <v>467</v>
      </c>
      <c r="P8" s="20" t="s">
        <v>467</v>
      </c>
      <c r="Q8" s="18" t="s">
        <v>467</v>
      </c>
      <c r="R8" s="20" t="s">
        <v>467</v>
      </c>
    </row>
    <row r="9" spans="1:18">
      <c r="A9" s="15" t="s">
        <v>431</v>
      </c>
      <c r="B9" s="17" t="n">
        <v>9651</v>
      </c>
      <c r="C9" s="18">
        <f>(9651.0/B9*100)</f>
        <v/>
      </c>
      <c r="D9" s="19" t="n">
        <v>0</v>
      </c>
      <c r="E9" s="18" t="s">
        <v>467</v>
      </c>
      <c r="F9" s="20" t="s">
        <v>467</v>
      </c>
      <c r="G9" s="18" t="s">
        <v>467</v>
      </c>
      <c r="H9" s="20" t="s">
        <v>467</v>
      </c>
      <c r="I9" s="18" t="s">
        <v>467</v>
      </c>
      <c r="J9" s="20" t="s">
        <v>467</v>
      </c>
      <c r="K9" s="18" t="s">
        <v>467</v>
      </c>
      <c r="L9" s="20" t="s">
        <v>467</v>
      </c>
      <c r="M9" s="18" t="s">
        <v>467</v>
      </c>
      <c r="N9" s="20" t="s">
        <v>467</v>
      </c>
      <c r="O9" s="18" t="s">
        <v>467</v>
      </c>
      <c r="P9" s="20" t="s">
        <v>467</v>
      </c>
      <c r="Q9" s="18" t="s">
        <v>467</v>
      </c>
      <c r="R9" s="20" t="s">
        <v>467</v>
      </c>
    </row>
    <row r="10" spans="1:18">
      <c r="A10" s="15" t="s">
        <v>432</v>
      </c>
      <c r="B10" s="17" t="n">
        <v>20058</v>
      </c>
      <c r="C10" s="18">
        <f>(20058.0/B10*100)</f>
        <v/>
      </c>
      <c r="D10" s="19" t="n">
        <v>0</v>
      </c>
      <c r="E10" s="18" t="s">
        <v>467</v>
      </c>
      <c r="F10" s="20" t="s">
        <v>467</v>
      </c>
      <c r="G10" s="18" t="s">
        <v>467</v>
      </c>
      <c r="H10" s="20" t="s">
        <v>467</v>
      </c>
      <c r="I10" s="18" t="s">
        <v>467</v>
      </c>
      <c r="J10" s="20" t="s">
        <v>467</v>
      </c>
      <c r="K10" s="18" t="s">
        <v>467</v>
      </c>
      <c r="L10" s="20" t="s">
        <v>467</v>
      </c>
      <c r="M10" s="18" t="s">
        <v>467</v>
      </c>
      <c r="N10" s="20" t="s">
        <v>467</v>
      </c>
      <c r="O10" s="18" t="s">
        <v>467</v>
      </c>
      <c r="P10" s="20" t="s">
        <v>467</v>
      </c>
      <c r="Q10" s="18" t="s">
        <v>467</v>
      </c>
      <c r="R10" s="20" t="s">
        <v>467</v>
      </c>
    </row>
    <row r="11" spans="1:18">
      <c r="A11" s="15" t="s">
        <v>433</v>
      </c>
      <c r="B11" s="17" t="n">
        <v>7053</v>
      </c>
      <c r="C11" s="18">
        <f>(7053.0/B11*100)</f>
        <v/>
      </c>
      <c r="D11" s="19" t="n">
        <v>0</v>
      </c>
      <c r="E11" s="18" t="s">
        <v>467</v>
      </c>
      <c r="F11" s="20" t="s">
        <v>467</v>
      </c>
      <c r="G11" s="18" t="s">
        <v>467</v>
      </c>
      <c r="H11" s="20" t="s">
        <v>467</v>
      </c>
      <c r="I11" s="18" t="s">
        <v>467</v>
      </c>
      <c r="J11" s="20" t="s">
        <v>467</v>
      </c>
      <c r="K11" s="18" t="s">
        <v>467</v>
      </c>
      <c r="L11" s="20" t="s">
        <v>467</v>
      </c>
      <c r="M11" s="18" t="s">
        <v>467</v>
      </c>
      <c r="N11" s="20" t="s">
        <v>467</v>
      </c>
      <c r="O11" s="18" t="s">
        <v>467</v>
      </c>
      <c r="P11" s="20" t="s">
        <v>467</v>
      </c>
      <c r="Q11" s="18" t="s">
        <v>467</v>
      </c>
      <c r="R11" s="20" t="s">
        <v>467</v>
      </c>
    </row>
    <row r="12" spans="1:18">
      <c r="A12" s="15" t="s">
        <v>434</v>
      </c>
      <c r="B12" s="17" t="n">
        <v>6894</v>
      </c>
      <c r="C12" s="18">
        <f>(6894.0/B12*100)</f>
        <v/>
      </c>
      <c r="D12" s="19" t="n">
        <v>0</v>
      </c>
      <c r="E12" s="18" t="s">
        <v>467</v>
      </c>
      <c r="F12" s="20" t="s">
        <v>467</v>
      </c>
      <c r="G12" s="18" t="s">
        <v>467</v>
      </c>
      <c r="H12" s="20" t="s">
        <v>467</v>
      </c>
      <c r="I12" s="18" t="s">
        <v>467</v>
      </c>
      <c r="J12" s="20" t="s">
        <v>467</v>
      </c>
      <c r="K12" s="18" t="s">
        <v>467</v>
      </c>
      <c r="L12" s="20" t="s">
        <v>467</v>
      </c>
      <c r="M12" s="18" t="s">
        <v>467</v>
      </c>
      <c r="N12" s="20" t="s">
        <v>467</v>
      </c>
      <c r="O12" s="18" t="s">
        <v>467</v>
      </c>
      <c r="P12" s="20" t="s">
        <v>467</v>
      </c>
      <c r="Q12" s="18" t="s">
        <v>467</v>
      </c>
      <c r="R12" s="20" t="s">
        <v>467</v>
      </c>
    </row>
    <row r="13" spans="1:18">
      <c r="A13" s="15" t="s">
        <v>435</v>
      </c>
      <c r="B13" s="17" t="n">
        <v>7161</v>
      </c>
      <c r="C13" s="18">
        <f>(7161.0/B13*100)</f>
        <v/>
      </c>
      <c r="D13" s="19" t="n">
        <v>0</v>
      </c>
      <c r="E13" s="18" t="s">
        <v>467</v>
      </c>
      <c r="F13" s="20" t="s">
        <v>467</v>
      </c>
      <c r="G13" s="18" t="s">
        <v>467</v>
      </c>
      <c r="H13" s="20" t="s">
        <v>467</v>
      </c>
      <c r="I13" s="18" t="s">
        <v>467</v>
      </c>
      <c r="J13" s="20" t="s">
        <v>467</v>
      </c>
      <c r="K13" s="18" t="s">
        <v>467</v>
      </c>
      <c r="L13" s="20" t="s">
        <v>467</v>
      </c>
      <c r="M13" s="18" t="s">
        <v>467</v>
      </c>
      <c r="N13" s="20" t="s">
        <v>467</v>
      </c>
      <c r="O13" s="18" t="s">
        <v>467</v>
      </c>
      <c r="P13" s="20" t="s">
        <v>467</v>
      </c>
      <c r="Q13" s="18" t="s">
        <v>467</v>
      </c>
      <c r="R13" s="20" t="s">
        <v>467</v>
      </c>
    </row>
    <row r="14" spans="1:18">
      <c r="A14" s="15" t="s">
        <v>436</v>
      </c>
      <c r="B14" s="17" t="n">
        <v>5587</v>
      </c>
      <c r="C14" s="18">
        <f>(5587.0/B14*100)</f>
        <v/>
      </c>
      <c r="D14" s="19" t="n">
        <v>0</v>
      </c>
      <c r="E14" s="18" t="s">
        <v>467</v>
      </c>
      <c r="F14" s="20" t="s">
        <v>467</v>
      </c>
      <c r="G14" s="18" t="s">
        <v>467</v>
      </c>
      <c r="H14" s="20" t="s">
        <v>467</v>
      </c>
      <c r="I14" s="18" t="s">
        <v>467</v>
      </c>
      <c r="J14" s="20" t="s">
        <v>467</v>
      </c>
      <c r="K14" s="18" t="s">
        <v>467</v>
      </c>
      <c r="L14" s="20" t="s">
        <v>467</v>
      </c>
      <c r="M14" s="18" t="s">
        <v>467</v>
      </c>
      <c r="N14" s="20" t="s">
        <v>467</v>
      </c>
      <c r="O14" s="18" t="s">
        <v>467</v>
      </c>
      <c r="P14" s="20" t="s">
        <v>467</v>
      </c>
      <c r="Q14" s="18" t="s">
        <v>467</v>
      </c>
      <c r="R14" s="20" t="s">
        <v>467</v>
      </c>
    </row>
    <row r="15" spans="1:18">
      <c r="A15" s="15" t="s">
        <v>437</v>
      </c>
      <c r="B15" s="17" t="n">
        <v>5882</v>
      </c>
      <c r="C15" s="18">
        <f>(5882.0/B15*100)</f>
        <v/>
      </c>
      <c r="D15" s="19" t="n">
        <v>0</v>
      </c>
      <c r="E15" s="18" t="s">
        <v>467</v>
      </c>
      <c r="F15" s="20" t="s">
        <v>467</v>
      </c>
      <c r="G15" s="18" t="s">
        <v>467</v>
      </c>
      <c r="H15" s="20" t="s">
        <v>467</v>
      </c>
      <c r="I15" s="18" t="s">
        <v>467</v>
      </c>
      <c r="J15" s="20" t="s">
        <v>467</v>
      </c>
      <c r="K15" s="18" t="s">
        <v>467</v>
      </c>
      <c r="L15" s="20" t="s">
        <v>467</v>
      </c>
      <c r="M15" s="18" t="s">
        <v>467</v>
      </c>
      <c r="N15" s="20" t="s">
        <v>467</v>
      </c>
      <c r="O15" s="18" t="s">
        <v>467</v>
      </c>
      <c r="P15" s="20" t="s">
        <v>467</v>
      </c>
      <c r="Q15" s="18" t="s">
        <v>467</v>
      </c>
      <c r="R15" s="20" t="s">
        <v>467</v>
      </c>
    </row>
    <row r="16" spans="1:18">
      <c r="A16" s="15" t="s">
        <v>438</v>
      </c>
      <c r="B16" s="17" t="n">
        <v>6108</v>
      </c>
      <c r="C16" s="18">
        <f>(6108.0/B16*100)</f>
        <v/>
      </c>
      <c r="D16" s="19" t="n">
        <v>0</v>
      </c>
      <c r="E16" s="18" t="s">
        <v>467</v>
      </c>
      <c r="F16" s="20" t="s">
        <v>467</v>
      </c>
      <c r="G16" s="18" t="s">
        <v>467</v>
      </c>
      <c r="H16" s="20" t="s">
        <v>467</v>
      </c>
      <c r="I16" s="18" t="s">
        <v>467</v>
      </c>
      <c r="J16" s="20" t="s">
        <v>467</v>
      </c>
      <c r="K16" s="18" t="s">
        <v>467</v>
      </c>
      <c r="L16" s="20" t="s">
        <v>467</v>
      </c>
      <c r="M16" s="18" t="s">
        <v>467</v>
      </c>
      <c r="N16" s="20" t="s">
        <v>467</v>
      </c>
      <c r="O16" s="18" t="s">
        <v>467</v>
      </c>
      <c r="P16" s="20" t="s">
        <v>467</v>
      </c>
      <c r="Q16" s="18" t="s">
        <v>467</v>
      </c>
      <c r="R16" s="20" t="s">
        <v>467</v>
      </c>
    </row>
    <row r="17" spans="1:18">
      <c r="A17" s="15" t="s">
        <v>439</v>
      </c>
      <c r="B17" s="17" t="n">
        <v>6504</v>
      </c>
      <c r="C17" s="18">
        <f>(6504.0/B17*100)</f>
        <v/>
      </c>
      <c r="D17" s="19" t="n">
        <v>0</v>
      </c>
      <c r="E17" s="18" t="s">
        <v>467</v>
      </c>
      <c r="F17" s="20" t="s">
        <v>467</v>
      </c>
      <c r="G17" s="18" t="s">
        <v>467</v>
      </c>
      <c r="H17" s="20" t="s">
        <v>467</v>
      </c>
      <c r="I17" s="18" t="s">
        <v>467</v>
      </c>
      <c r="J17" s="20" t="s">
        <v>467</v>
      </c>
      <c r="K17" s="18" t="s">
        <v>467</v>
      </c>
      <c r="L17" s="20" t="s">
        <v>467</v>
      </c>
      <c r="M17" s="18" t="s">
        <v>467</v>
      </c>
      <c r="N17" s="20" t="s">
        <v>467</v>
      </c>
      <c r="O17" s="18" t="s">
        <v>467</v>
      </c>
      <c r="P17" s="20" t="s">
        <v>467</v>
      </c>
      <c r="Q17" s="18" t="s">
        <v>467</v>
      </c>
      <c r="R17" s="20" t="s">
        <v>467</v>
      </c>
    </row>
    <row r="18" spans="1:18">
      <c r="A18" s="15" t="s">
        <v>440</v>
      </c>
      <c r="B18" s="17" t="n">
        <v>5532</v>
      </c>
      <c r="C18" s="18">
        <f>(5532.0/B18*100)</f>
        <v/>
      </c>
      <c r="D18" s="19" t="n">
        <v>0</v>
      </c>
      <c r="E18" s="18" t="s">
        <v>467</v>
      </c>
      <c r="F18" s="20" t="s">
        <v>467</v>
      </c>
      <c r="G18" s="18" t="s">
        <v>467</v>
      </c>
      <c r="H18" s="20" t="s">
        <v>467</v>
      </c>
      <c r="I18" s="18" t="s">
        <v>467</v>
      </c>
      <c r="J18" s="20" t="s">
        <v>467</v>
      </c>
      <c r="K18" s="18" t="s">
        <v>467</v>
      </c>
      <c r="L18" s="20" t="s">
        <v>467</v>
      </c>
      <c r="M18" s="18" t="s">
        <v>467</v>
      </c>
      <c r="N18" s="20" t="s">
        <v>467</v>
      </c>
      <c r="O18" s="18" t="s">
        <v>467</v>
      </c>
      <c r="P18" s="20" t="s">
        <v>467</v>
      </c>
      <c r="Q18" s="18" t="s">
        <v>467</v>
      </c>
      <c r="R18" s="20" t="s">
        <v>467</v>
      </c>
    </row>
    <row r="19" spans="1:18">
      <c r="A19" s="15" t="s">
        <v>441</v>
      </c>
      <c r="B19" s="17" t="n">
        <v>5658</v>
      </c>
      <c r="C19" s="18">
        <f>(5658.0/B19*100)</f>
        <v/>
      </c>
      <c r="D19" s="19" t="n">
        <v>0</v>
      </c>
      <c r="E19" s="18" t="s">
        <v>467</v>
      </c>
      <c r="F19" s="20" t="s">
        <v>467</v>
      </c>
      <c r="G19" s="18" t="s">
        <v>467</v>
      </c>
      <c r="H19" s="20" t="s">
        <v>467</v>
      </c>
      <c r="I19" s="18" t="s">
        <v>467</v>
      </c>
      <c r="J19" s="20" t="s">
        <v>467</v>
      </c>
      <c r="K19" s="18" t="s">
        <v>467</v>
      </c>
      <c r="L19" s="20" t="s">
        <v>467</v>
      </c>
      <c r="M19" s="18" t="s">
        <v>467</v>
      </c>
      <c r="N19" s="20" t="s">
        <v>467</v>
      </c>
      <c r="O19" s="18" t="s">
        <v>467</v>
      </c>
      <c r="P19" s="20" t="s">
        <v>467</v>
      </c>
      <c r="Q19" s="18" t="s">
        <v>467</v>
      </c>
      <c r="R19" s="20" t="s">
        <v>467</v>
      </c>
    </row>
    <row r="20" spans="1:18">
      <c r="A20" s="15" t="s">
        <v>442</v>
      </c>
      <c r="B20" s="17" t="n">
        <v>3371</v>
      </c>
      <c r="C20" s="18">
        <f>(3371.0/B20*100)</f>
        <v/>
      </c>
      <c r="D20" s="19" t="n">
        <v>0</v>
      </c>
      <c r="E20" s="18" t="s">
        <v>467</v>
      </c>
      <c r="F20" s="20" t="s">
        <v>467</v>
      </c>
      <c r="G20" s="18" t="s">
        <v>467</v>
      </c>
      <c r="H20" s="20" t="s">
        <v>467</v>
      </c>
      <c r="I20" s="18" t="s">
        <v>467</v>
      </c>
      <c r="J20" s="20" t="s">
        <v>467</v>
      </c>
      <c r="K20" s="18" t="s">
        <v>467</v>
      </c>
      <c r="L20" s="20" t="s">
        <v>467</v>
      </c>
      <c r="M20" s="18" t="s">
        <v>467</v>
      </c>
      <c r="N20" s="20" t="s">
        <v>467</v>
      </c>
      <c r="O20" s="18" t="s">
        <v>467</v>
      </c>
      <c r="P20" s="20" t="s">
        <v>467</v>
      </c>
      <c r="Q20" s="18" t="s">
        <v>467</v>
      </c>
      <c r="R20" s="20" t="s">
        <v>467</v>
      </c>
    </row>
    <row r="21" spans="1:18">
      <c r="A21" s="15" t="s">
        <v>443</v>
      </c>
      <c r="B21" s="17" t="n">
        <v>5741</v>
      </c>
      <c r="C21" s="18">
        <f>(5741.0/B21*100)</f>
        <v/>
      </c>
      <c r="D21" s="19" t="n">
        <v>0</v>
      </c>
      <c r="E21" s="18" t="s">
        <v>467</v>
      </c>
      <c r="F21" s="20" t="s">
        <v>467</v>
      </c>
      <c r="G21" s="18" t="s">
        <v>467</v>
      </c>
      <c r="H21" s="20" t="s">
        <v>467</v>
      </c>
      <c r="I21" s="18" t="s">
        <v>467</v>
      </c>
      <c r="J21" s="20" t="s">
        <v>467</v>
      </c>
      <c r="K21" s="18" t="s">
        <v>467</v>
      </c>
      <c r="L21" s="20" t="s">
        <v>467</v>
      </c>
      <c r="M21" s="18" t="s">
        <v>467</v>
      </c>
      <c r="N21" s="20" t="s">
        <v>467</v>
      </c>
      <c r="O21" s="18" t="s">
        <v>467</v>
      </c>
      <c r="P21" s="20" t="s">
        <v>467</v>
      </c>
      <c r="Q21" s="18" t="s">
        <v>467</v>
      </c>
      <c r="R21" s="20" t="s">
        <v>467</v>
      </c>
    </row>
    <row r="22" spans="1:18">
      <c r="A22" s="15" t="s">
        <v>444</v>
      </c>
      <c r="B22" s="17" t="n">
        <v>6598</v>
      </c>
      <c r="C22" s="18">
        <f>(6598.0/B22*100)</f>
        <v/>
      </c>
      <c r="D22" s="19" t="n">
        <v>0</v>
      </c>
      <c r="E22" s="18" t="s">
        <v>467</v>
      </c>
      <c r="F22" s="20" t="s">
        <v>467</v>
      </c>
      <c r="G22" s="18" t="s">
        <v>467</v>
      </c>
      <c r="H22" s="20" t="s">
        <v>467</v>
      </c>
      <c r="I22" s="18" t="s">
        <v>467</v>
      </c>
      <c r="J22" s="20" t="s">
        <v>467</v>
      </c>
      <c r="K22" s="18" t="s">
        <v>467</v>
      </c>
      <c r="L22" s="20" t="s">
        <v>467</v>
      </c>
      <c r="M22" s="18" t="s">
        <v>467</v>
      </c>
      <c r="N22" s="20" t="s">
        <v>467</v>
      </c>
      <c r="O22" s="18" t="s">
        <v>467</v>
      </c>
      <c r="P22" s="20" t="s">
        <v>467</v>
      </c>
      <c r="Q22" s="18" t="s">
        <v>467</v>
      </c>
      <c r="R22" s="20" t="s">
        <v>467</v>
      </c>
    </row>
    <row r="23" spans="1:18">
      <c r="A23" s="15" t="s">
        <v>445</v>
      </c>
      <c r="B23" s="17" t="n">
        <v>11583</v>
      </c>
      <c r="C23" s="18">
        <f>(11583.0/B23*100)</f>
        <v/>
      </c>
      <c r="D23" s="19" t="n">
        <v>0</v>
      </c>
      <c r="E23" s="18" t="s">
        <v>467</v>
      </c>
      <c r="F23" s="20" t="s">
        <v>467</v>
      </c>
      <c r="G23" s="18" t="s">
        <v>467</v>
      </c>
      <c r="H23" s="20" t="s">
        <v>467</v>
      </c>
      <c r="I23" s="18" t="s">
        <v>467</v>
      </c>
      <c r="J23" s="20" t="s">
        <v>467</v>
      </c>
      <c r="K23" s="18" t="s">
        <v>467</v>
      </c>
      <c r="L23" s="20" t="s">
        <v>467</v>
      </c>
      <c r="M23" s="18" t="s">
        <v>467</v>
      </c>
      <c r="N23" s="20" t="s">
        <v>467</v>
      </c>
      <c r="O23" s="18" t="s">
        <v>467</v>
      </c>
      <c r="P23" s="20" t="s">
        <v>467</v>
      </c>
      <c r="Q23" s="18" t="s">
        <v>467</v>
      </c>
      <c r="R23" s="20" t="s">
        <v>467</v>
      </c>
    </row>
    <row r="24" spans="1:18">
      <c r="A24" s="15" t="s">
        <v>446</v>
      </c>
      <c r="B24" s="17" t="n">
        <v>6647</v>
      </c>
      <c r="C24" s="18">
        <f>(6647.0/B24*100)</f>
        <v/>
      </c>
      <c r="D24" s="19" t="n">
        <v>0</v>
      </c>
      <c r="E24" s="18" t="s">
        <v>467</v>
      </c>
      <c r="F24" s="20" t="s">
        <v>467</v>
      </c>
      <c r="G24" s="18" t="s">
        <v>467</v>
      </c>
      <c r="H24" s="20" t="s">
        <v>467</v>
      </c>
      <c r="I24" s="18" t="s">
        <v>467</v>
      </c>
      <c r="J24" s="20" t="s">
        <v>467</v>
      </c>
      <c r="K24" s="18" t="s">
        <v>467</v>
      </c>
      <c r="L24" s="20" t="s">
        <v>467</v>
      </c>
      <c r="M24" s="18" t="s">
        <v>467</v>
      </c>
      <c r="N24" s="20" t="s">
        <v>467</v>
      </c>
      <c r="O24" s="18" t="s">
        <v>467</v>
      </c>
      <c r="P24" s="20" t="s">
        <v>467</v>
      </c>
      <c r="Q24" s="18" t="s">
        <v>467</v>
      </c>
      <c r="R24" s="20" t="s">
        <v>467</v>
      </c>
    </row>
    <row r="25" spans="1:18">
      <c r="A25" s="15" t="s">
        <v>447</v>
      </c>
      <c r="B25" s="17" t="n">
        <v>5581</v>
      </c>
      <c r="C25" s="18">
        <f>(5581.0/B25*100)</f>
        <v/>
      </c>
      <c r="D25" s="19" t="n">
        <v>0</v>
      </c>
      <c r="E25" s="18" t="s">
        <v>467</v>
      </c>
      <c r="F25" s="20" t="s">
        <v>467</v>
      </c>
      <c r="G25" s="18" t="s">
        <v>467</v>
      </c>
      <c r="H25" s="20" t="s">
        <v>467</v>
      </c>
      <c r="I25" s="18" t="s">
        <v>467</v>
      </c>
      <c r="J25" s="20" t="s">
        <v>467</v>
      </c>
      <c r="K25" s="18" t="s">
        <v>467</v>
      </c>
      <c r="L25" s="20" t="s">
        <v>467</v>
      </c>
      <c r="M25" s="18" t="s">
        <v>467</v>
      </c>
      <c r="N25" s="20" t="s">
        <v>467</v>
      </c>
      <c r="O25" s="18" t="s">
        <v>467</v>
      </c>
      <c r="P25" s="20" t="s">
        <v>467</v>
      </c>
      <c r="Q25" s="18" t="s">
        <v>467</v>
      </c>
      <c r="R25" s="20" t="s">
        <v>467</v>
      </c>
    </row>
    <row r="26" spans="1:18">
      <c r="A26" s="15" t="s">
        <v>448</v>
      </c>
      <c r="B26" s="17" t="n">
        <v>4869</v>
      </c>
      <c r="C26" s="18">
        <f>(4869.0/B26*100)</f>
        <v/>
      </c>
      <c r="D26" s="19" t="n">
        <v>0</v>
      </c>
      <c r="E26" s="18" t="s">
        <v>467</v>
      </c>
      <c r="F26" s="20" t="s">
        <v>467</v>
      </c>
      <c r="G26" s="18" t="s">
        <v>467</v>
      </c>
      <c r="H26" s="20" t="s">
        <v>467</v>
      </c>
      <c r="I26" s="18" t="s">
        <v>467</v>
      </c>
      <c r="J26" s="20" t="s">
        <v>467</v>
      </c>
      <c r="K26" s="18" t="s">
        <v>467</v>
      </c>
      <c r="L26" s="20" t="s">
        <v>467</v>
      </c>
      <c r="M26" s="18" t="s">
        <v>467</v>
      </c>
      <c r="N26" s="20" t="s">
        <v>467</v>
      </c>
      <c r="O26" s="18" t="s">
        <v>467</v>
      </c>
      <c r="P26" s="20" t="s">
        <v>467</v>
      </c>
      <c r="Q26" s="18" t="s">
        <v>467</v>
      </c>
      <c r="R26" s="20" t="s">
        <v>467</v>
      </c>
    </row>
    <row r="27" spans="1:18">
      <c r="A27" s="15" t="s">
        <v>449</v>
      </c>
      <c r="B27" s="17" t="n">
        <v>5299</v>
      </c>
      <c r="C27" s="18">
        <f>(5299.0/B27*100)</f>
        <v/>
      </c>
      <c r="D27" s="19" t="n">
        <v>0</v>
      </c>
      <c r="E27" s="18" t="s">
        <v>467</v>
      </c>
      <c r="F27" s="20" t="s">
        <v>467</v>
      </c>
      <c r="G27" s="18" t="s">
        <v>467</v>
      </c>
      <c r="H27" s="20" t="s">
        <v>467</v>
      </c>
      <c r="I27" s="18" t="s">
        <v>467</v>
      </c>
      <c r="J27" s="20" t="s">
        <v>467</v>
      </c>
      <c r="K27" s="18" t="s">
        <v>467</v>
      </c>
      <c r="L27" s="20" t="s">
        <v>467</v>
      </c>
      <c r="M27" s="18" t="s">
        <v>467</v>
      </c>
      <c r="N27" s="20" t="s">
        <v>467</v>
      </c>
      <c r="O27" s="18" t="s">
        <v>467</v>
      </c>
      <c r="P27" s="20" t="s">
        <v>467</v>
      </c>
      <c r="Q27" s="18" t="s">
        <v>467</v>
      </c>
      <c r="R27" s="20" t="s">
        <v>467</v>
      </c>
    </row>
    <row r="28" spans="1:18">
      <c r="A28" s="15" t="s">
        <v>450</v>
      </c>
      <c r="B28" s="17" t="n">
        <v>7568</v>
      </c>
      <c r="C28" s="18">
        <f>(7568.0/B28*100)</f>
        <v/>
      </c>
      <c r="D28" s="19" t="n">
        <v>0</v>
      </c>
      <c r="E28" s="18" t="s">
        <v>467</v>
      </c>
      <c r="F28" s="20" t="s">
        <v>467</v>
      </c>
      <c r="G28" s="18" t="s">
        <v>467</v>
      </c>
      <c r="H28" s="20" t="s">
        <v>467</v>
      </c>
      <c r="I28" s="18" t="s">
        <v>467</v>
      </c>
      <c r="J28" s="20" t="s">
        <v>467</v>
      </c>
      <c r="K28" s="18" t="s">
        <v>467</v>
      </c>
      <c r="L28" s="20" t="s">
        <v>467</v>
      </c>
      <c r="M28" s="18" t="s">
        <v>467</v>
      </c>
      <c r="N28" s="20" t="s">
        <v>467</v>
      </c>
      <c r="O28" s="18" t="s">
        <v>467</v>
      </c>
      <c r="P28" s="20" t="s">
        <v>467</v>
      </c>
      <c r="Q28" s="18" t="s">
        <v>467</v>
      </c>
      <c r="R28" s="20" t="s">
        <v>467</v>
      </c>
    </row>
    <row r="29" spans="1:18">
      <c r="A29" s="15" t="s">
        <v>451</v>
      </c>
      <c r="B29" s="17" t="n">
        <v>5385</v>
      </c>
      <c r="C29" s="18">
        <f>(5385.0/B29*100)</f>
        <v/>
      </c>
      <c r="D29" s="19" t="n">
        <v>0</v>
      </c>
      <c r="E29" s="18" t="s">
        <v>467</v>
      </c>
      <c r="F29" s="20" t="s">
        <v>467</v>
      </c>
      <c r="G29" s="18" t="s">
        <v>467</v>
      </c>
      <c r="H29" s="20" t="s">
        <v>467</v>
      </c>
      <c r="I29" s="18" t="s">
        <v>467</v>
      </c>
      <c r="J29" s="20" t="s">
        <v>467</v>
      </c>
      <c r="K29" s="18" t="s">
        <v>467</v>
      </c>
      <c r="L29" s="20" t="s">
        <v>467</v>
      </c>
      <c r="M29" s="18" t="s">
        <v>467</v>
      </c>
      <c r="N29" s="20" t="s">
        <v>467</v>
      </c>
      <c r="O29" s="18" t="s">
        <v>467</v>
      </c>
      <c r="P29" s="20" t="s">
        <v>467</v>
      </c>
      <c r="Q29" s="18" t="s">
        <v>467</v>
      </c>
      <c r="R29" s="20" t="s">
        <v>467</v>
      </c>
    </row>
    <row r="30" spans="1:18">
      <c r="A30" s="15" t="s">
        <v>452</v>
      </c>
      <c r="B30" s="17" t="n">
        <v>4520</v>
      </c>
      <c r="C30" s="18">
        <f>(4520.0/B30*100)</f>
        <v/>
      </c>
      <c r="D30" s="19" t="n">
        <v>0</v>
      </c>
      <c r="E30" s="18" t="s">
        <v>467</v>
      </c>
      <c r="F30" s="20" t="s">
        <v>467</v>
      </c>
      <c r="G30" s="18" t="s">
        <v>467</v>
      </c>
      <c r="H30" s="20" t="s">
        <v>467</v>
      </c>
      <c r="I30" s="18" t="s">
        <v>467</v>
      </c>
      <c r="J30" s="20" t="s">
        <v>467</v>
      </c>
      <c r="K30" s="18" t="s">
        <v>467</v>
      </c>
      <c r="L30" s="20" t="s">
        <v>467</v>
      </c>
      <c r="M30" s="18" t="s">
        <v>467</v>
      </c>
      <c r="N30" s="20" t="s">
        <v>467</v>
      </c>
      <c r="O30" s="18" t="s">
        <v>467</v>
      </c>
      <c r="P30" s="20" t="s">
        <v>467</v>
      </c>
      <c r="Q30" s="18" t="s">
        <v>467</v>
      </c>
      <c r="R30" s="20" t="s">
        <v>467</v>
      </c>
    </row>
    <row r="31" spans="1:18">
      <c r="A31" s="15" t="s">
        <v>453</v>
      </c>
      <c r="B31" s="17" t="n">
        <v>5456</v>
      </c>
      <c r="C31" s="18">
        <f>(5456.0/B31*100)</f>
        <v/>
      </c>
      <c r="D31" s="19" t="n">
        <v>0</v>
      </c>
      <c r="E31" s="18" t="s">
        <v>467</v>
      </c>
      <c r="F31" s="20" t="s">
        <v>467</v>
      </c>
      <c r="G31" s="18" t="s">
        <v>467</v>
      </c>
      <c r="H31" s="20" t="s">
        <v>467</v>
      </c>
      <c r="I31" s="18" t="s">
        <v>467</v>
      </c>
      <c r="J31" s="20" t="s">
        <v>467</v>
      </c>
      <c r="K31" s="18" t="s">
        <v>467</v>
      </c>
      <c r="L31" s="20" t="s">
        <v>467</v>
      </c>
      <c r="M31" s="18" t="s">
        <v>467</v>
      </c>
      <c r="N31" s="20" t="s">
        <v>467</v>
      </c>
      <c r="O31" s="18" t="s">
        <v>467</v>
      </c>
      <c r="P31" s="20" t="s">
        <v>467</v>
      </c>
      <c r="Q31" s="18" t="s">
        <v>467</v>
      </c>
      <c r="R31" s="20" t="s">
        <v>467</v>
      </c>
    </row>
    <row r="32" spans="1:18">
      <c r="A32" s="15" t="s">
        <v>454</v>
      </c>
      <c r="B32" s="17" t="n">
        <v>4478</v>
      </c>
      <c r="C32" s="18">
        <f>(4478.0/B32*100)</f>
        <v/>
      </c>
      <c r="D32" s="19" t="n">
        <v>0</v>
      </c>
      <c r="E32" s="18" t="s">
        <v>467</v>
      </c>
      <c r="F32" s="20" t="s">
        <v>467</v>
      </c>
      <c r="G32" s="18" t="s">
        <v>467</v>
      </c>
      <c r="H32" s="20" t="s">
        <v>467</v>
      </c>
      <c r="I32" s="18" t="s">
        <v>467</v>
      </c>
      <c r="J32" s="20" t="s">
        <v>467</v>
      </c>
      <c r="K32" s="18" t="s">
        <v>467</v>
      </c>
      <c r="L32" s="20" t="s">
        <v>467</v>
      </c>
      <c r="M32" s="18" t="s">
        <v>467</v>
      </c>
      <c r="N32" s="20" t="s">
        <v>467</v>
      </c>
      <c r="O32" s="18" t="s">
        <v>467</v>
      </c>
      <c r="P32" s="20" t="s">
        <v>467</v>
      </c>
      <c r="Q32" s="18" t="s">
        <v>467</v>
      </c>
      <c r="R32" s="20" t="s">
        <v>467</v>
      </c>
    </row>
    <row r="33" spans="1:18">
      <c r="A33" s="15" t="s">
        <v>455</v>
      </c>
      <c r="B33" s="17" t="n">
        <v>7325</v>
      </c>
      <c r="C33" s="18">
        <f>(7325.0/B33*100)</f>
        <v/>
      </c>
      <c r="D33" s="19" t="n">
        <v>0</v>
      </c>
      <c r="E33" s="18" t="s">
        <v>467</v>
      </c>
      <c r="F33" s="20" t="s">
        <v>467</v>
      </c>
      <c r="G33" s="18" t="s">
        <v>467</v>
      </c>
      <c r="H33" s="20" t="s">
        <v>467</v>
      </c>
      <c r="I33" s="18" t="s">
        <v>467</v>
      </c>
      <c r="J33" s="20" t="s">
        <v>467</v>
      </c>
      <c r="K33" s="18" t="s">
        <v>467</v>
      </c>
      <c r="L33" s="20" t="s">
        <v>467</v>
      </c>
      <c r="M33" s="18" t="s">
        <v>467</v>
      </c>
      <c r="N33" s="20" t="s">
        <v>467</v>
      </c>
      <c r="O33" s="18" t="s">
        <v>467</v>
      </c>
      <c r="P33" s="20" t="s">
        <v>467</v>
      </c>
      <c r="Q33" s="18" t="s">
        <v>467</v>
      </c>
      <c r="R33" s="20" t="s">
        <v>467</v>
      </c>
    </row>
    <row r="34" spans="1:18">
      <c r="A34" s="15" t="s">
        <v>456</v>
      </c>
      <c r="B34" s="17" t="n">
        <v>6350</v>
      </c>
      <c r="C34" s="18">
        <f>(6350.0/B34*100)</f>
        <v/>
      </c>
      <c r="D34" s="19" t="n">
        <v>0</v>
      </c>
      <c r="E34" s="18" t="s">
        <v>467</v>
      </c>
      <c r="F34" s="20" t="s">
        <v>467</v>
      </c>
      <c r="G34" s="18" t="s">
        <v>467</v>
      </c>
      <c r="H34" s="20" t="s">
        <v>467</v>
      </c>
      <c r="I34" s="18" t="s">
        <v>467</v>
      </c>
      <c r="J34" s="20" t="s">
        <v>467</v>
      </c>
      <c r="K34" s="18" t="s">
        <v>467</v>
      </c>
      <c r="L34" s="20" t="s">
        <v>467</v>
      </c>
      <c r="M34" s="18" t="s">
        <v>467</v>
      </c>
      <c r="N34" s="20" t="s">
        <v>467</v>
      </c>
      <c r="O34" s="18" t="s">
        <v>467</v>
      </c>
      <c r="P34" s="20" t="s">
        <v>467</v>
      </c>
      <c r="Q34" s="18" t="s">
        <v>467</v>
      </c>
      <c r="R34" s="20" t="s">
        <v>467</v>
      </c>
    </row>
    <row r="35" spans="1:18">
      <c r="A35" s="15" t="s">
        <v>457</v>
      </c>
      <c r="B35" s="17" t="n">
        <v>6406</v>
      </c>
      <c r="C35" s="18">
        <f>(6406.0/B35*100)</f>
        <v/>
      </c>
      <c r="D35" s="19" t="n">
        <v>0</v>
      </c>
      <c r="E35" s="18" t="s">
        <v>467</v>
      </c>
      <c r="F35" s="20" t="s">
        <v>467</v>
      </c>
      <c r="G35" s="18" t="s">
        <v>467</v>
      </c>
      <c r="H35" s="20" t="s">
        <v>467</v>
      </c>
      <c r="I35" s="18" t="s">
        <v>467</v>
      </c>
      <c r="J35" s="20" t="s">
        <v>467</v>
      </c>
      <c r="K35" s="18" t="s">
        <v>467</v>
      </c>
      <c r="L35" s="20" t="s">
        <v>467</v>
      </c>
      <c r="M35" s="18" t="s">
        <v>467</v>
      </c>
      <c r="N35" s="20" t="s">
        <v>467</v>
      </c>
      <c r="O35" s="18" t="s">
        <v>467</v>
      </c>
      <c r="P35" s="20" t="s">
        <v>467</v>
      </c>
      <c r="Q35" s="18" t="s">
        <v>467</v>
      </c>
      <c r="R35" s="20" t="s">
        <v>467</v>
      </c>
    </row>
    <row r="36" spans="1:18">
      <c r="A36" s="15" t="s">
        <v>458</v>
      </c>
      <c r="B36" s="17" t="n">
        <v>6736</v>
      </c>
      <c r="C36" s="18">
        <f>(6736.0/B36*100)</f>
        <v/>
      </c>
      <c r="D36" s="19" t="n">
        <v>0</v>
      </c>
      <c r="E36" s="18" t="s">
        <v>467</v>
      </c>
      <c r="F36" s="20" t="s">
        <v>467</v>
      </c>
      <c r="G36" s="18" t="s">
        <v>467</v>
      </c>
      <c r="H36" s="20" t="s">
        <v>467</v>
      </c>
      <c r="I36" s="18" t="s">
        <v>467</v>
      </c>
      <c r="J36" s="20" t="s">
        <v>467</v>
      </c>
      <c r="K36" s="18" t="s">
        <v>467</v>
      </c>
      <c r="L36" s="20" t="s">
        <v>467</v>
      </c>
      <c r="M36" s="18" t="s">
        <v>467</v>
      </c>
      <c r="N36" s="20" t="s">
        <v>467</v>
      </c>
      <c r="O36" s="18" t="s">
        <v>467</v>
      </c>
      <c r="P36" s="20" t="s">
        <v>467</v>
      </c>
      <c r="Q36" s="18" t="s">
        <v>467</v>
      </c>
      <c r="R36" s="20" t="s">
        <v>467</v>
      </c>
    </row>
    <row r="37" spans="1:18">
      <c r="A37" s="15" t="s">
        <v>459</v>
      </c>
      <c r="B37" s="17" t="n">
        <v>5458</v>
      </c>
      <c r="C37" s="18">
        <f>(5458.0/B37*100)</f>
        <v/>
      </c>
      <c r="D37" s="19" t="n">
        <v>0</v>
      </c>
      <c r="E37" s="18" t="s">
        <v>467</v>
      </c>
      <c r="F37" s="20" t="s">
        <v>467</v>
      </c>
      <c r="G37" s="18" t="s">
        <v>467</v>
      </c>
      <c r="H37" s="20" t="s">
        <v>467</v>
      </c>
      <c r="I37" s="18" t="s">
        <v>467</v>
      </c>
      <c r="J37" s="20" t="s">
        <v>467</v>
      </c>
      <c r="K37" s="18" t="s">
        <v>467</v>
      </c>
      <c r="L37" s="20" t="s">
        <v>467</v>
      </c>
      <c r="M37" s="18" t="s">
        <v>467</v>
      </c>
      <c r="N37" s="20" t="s">
        <v>467</v>
      </c>
      <c r="O37" s="18" t="s">
        <v>467</v>
      </c>
      <c r="P37" s="20" t="s">
        <v>467</v>
      </c>
      <c r="Q37" s="18" t="s">
        <v>467</v>
      </c>
      <c r="R37" s="20" t="s">
        <v>467</v>
      </c>
    </row>
    <row r="38" spans="1:18">
      <c r="A38" s="15" t="s">
        <v>460</v>
      </c>
      <c r="B38" s="17" t="n">
        <v>5860</v>
      </c>
      <c r="C38" s="18">
        <f>(5860.0/B38*100)</f>
        <v/>
      </c>
      <c r="D38" s="19" t="n">
        <v>0</v>
      </c>
      <c r="E38" s="18" t="s">
        <v>467</v>
      </c>
      <c r="F38" s="20" t="s">
        <v>467</v>
      </c>
      <c r="G38" s="18" t="s">
        <v>467</v>
      </c>
      <c r="H38" s="20" t="s">
        <v>467</v>
      </c>
      <c r="I38" s="18" t="s">
        <v>467</v>
      </c>
      <c r="J38" s="20" t="s">
        <v>467</v>
      </c>
      <c r="K38" s="18" t="s">
        <v>467</v>
      </c>
      <c r="L38" s="20" t="s">
        <v>467</v>
      </c>
      <c r="M38" s="18" t="s">
        <v>467</v>
      </c>
      <c r="N38" s="20" t="s">
        <v>467</v>
      </c>
      <c r="O38" s="18" t="s">
        <v>467</v>
      </c>
      <c r="P38" s="20" t="s">
        <v>467</v>
      </c>
      <c r="Q38" s="18" t="s">
        <v>467</v>
      </c>
      <c r="R38" s="20" t="s">
        <v>467</v>
      </c>
    </row>
    <row r="39" spans="1:18">
      <c r="A39" s="15" t="s">
        <v>461</v>
      </c>
      <c r="B39" s="17" t="n">
        <v>5895</v>
      </c>
      <c r="C39" s="18">
        <f>(5895.0/B39*100)</f>
        <v/>
      </c>
      <c r="D39" s="19" t="n">
        <v>0</v>
      </c>
      <c r="E39" s="18" t="s">
        <v>467</v>
      </c>
      <c r="F39" s="20" t="s">
        <v>467</v>
      </c>
      <c r="G39" s="18" t="s">
        <v>467</v>
      </c>
      <c r="H39" s="20" t="s">
        <v>467</v>
      </c>
      <c r="I39" s="18" t="s">
        <v>467</v>
      </c>
      <c r="J39" s="20" t="s">
        <v>467</v>
      </c>
      <c r="K39" s="18" t="s">
        <v>467</v>
      </c>
      <c r="L39" s="20" t="s">
        <v>467</v>
      </c>
      <c r="M39" s="18" t="s">
        <v>467</v>
      </c>
      <c r="N39" s="20" t="s">
        <v>467</v>
      </c>
      <c r="O39" s="18" t="s">
        <v>467</v>
      </c>
      <c r="P39" s="20" t="s">
        <v>467</v>
      </c>
      <c r="Q39" s="18" t="s">
        <v>467</v>
      </c>
      <c r="R39" s="20" t="s">
        <v>467</v>
      </c>
    </row>
    <row r="40" spans="1:18">
      <c r="A40" s="15" t="s">
        <v>462</v>
      </c>
      <c r="B40" s="17" t="n">
        <v>14157</v>
      </c>
      <c r="C40" s="18">
        <f>(14157.0/B40*100)</f>
        <v/>
      </c>
      <c r="D40" s="19" t="n">
        <v>0</v>
      </c>
      <c r="E40" s="18" t="s">
        <v>467</v>
      </c>
      <c r="F40" s="20" t="s">
        <v>467</v>
      </c>
      <c r="G40" s="18" t="s">
        <v>467</v>
      </c>
      <c r="H40" s="20" t="s">
        <v>467</v>
      </c>
      <c r="I40" s="18" t="s">
        <v>467</v>
      </c>
      <c r="J40" s="20" t="s">
        <v>467</v>
      </c>
      <c r="K40" s="18" t="s">
        <v>467</v>
      </c>
      <c r="L40" s="20" t="s">
        <v>467</v>
      </c>
      <c r="M40" s="18" t="s">
        <v>467</v>
      </c>
      <c r="N40" s="20" t="s">
        <v>467</v>
      </c>
      <c r="O40" s="18" t="s">
        <v>467</v>
      </c>
      <c r="P40" s="20" t="s">
        <v>467</v>
      </c>
      <c r="Q40" s="18" t="s">
        <v>467</v>
      </c>
      <c r="R40" s="20" t="s">
        <v>467</v>
      </c>
    </row>
    <row r="41" spans="1:18">
      <c r="A41" s="15" t="s">
        <v>463</v>
      </c>
      <c r="B41" s="17" t="n">
        <v>5712</v>
      </c>
      <c r="C41" s="18">
        <f>(5712.0/B41*100)</f>
        <v/>
      </c>
      <c r="D41" s="19" t="n">
        <v>0</v>
      </c>
      <c r="E41" s="18" t="s">
        <v>467</v>
      </c>
      <c r="F41" s="20" t="s">
        <v>467</v>
      </c>
      <c r="G41" s="18" t="s">
        <v>467</v>
      </c>
      <c r="H41" s="20" t="s">
        <v>467</v>
      </c>
      <c r="I41" s="18" t="s">
        <v>467</v>
      </c>
      <c r="J41" s="20" t="s">
        <v>467</v>
      </c>
      <c r="K41" s="18" t="s">
        <v>467</v>
      </c>
      <c r="L41" s="20" t="s">
        <v>467</v>
      </c>
      <c r="M41" s="18" t="s">
        <v>467</v>
      </c>
      <c r="N41" s="20" t="s">
        <v>467</v>
      </c>
      <c r="O41" s="18" t="s">
        <v>467</v>
      </c>
      <c r="P41" s="20" t="s">
        <v>467</v>
      </c>
      <c r="Q41" s="18" t="s">
        <v>467</v>
      </c>
      <c r="R41" s="20" t="s">
        <v>467</v>
      </c>
    </row>
    <row r="42" spans="1:18">
      <c r="A42" s="15" t="s">
        <v>464</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465</v>
      </c>
      <c r="B43" s="14" t="n"/>
      <c r="C43" s="14" t="n"/>
      <c r="D43" s="15" t="n"/>
      <c r="E43" s="14" t="n"/>
      <c r="F43" s="15" t="n"/>
      <c r="G43" s="14" t="n"/>
      <c r="H43" s="15" t="n"/>
      <c r="I43" s="14" t="n"/>
      <c r="J43" s="15" t="n"/>
      <c r="K43" s="14" t="n"/>
      <c r="L43" s="15" t="n"/>
      <c r="M43" s="14" t="n"/>
      <c r="N43" s="15" t="n"/>
      <c r="O43" s="14" t="n"/>
      <c r="P43" s="15" t="n"/>
      <c r="Q43" s="14" t="n"/>
      <c r="R43" s="16" t="n"/>
    </row>
    <row r="44" spans="1:18">
      <c r="A44" s="15" t="s">
        <v>466</v>
      </c>
      <c r="B44" s="17" t="n">
        <v>5215</v>
      </c>
      <c r="C44" s="18">
        <f>(4337.0/B44*100)</f>
        <v/>
      </c>
      <c r="D44" s="19" t="n">
        <v>878</v>
      </c>
      <c r="E44" s="18" t="n">
        <v>59.41680048</v>
      </c>
      <c r="F44" s="20" t="n">
        <v>2.21315382</v>
      </c>
      <c r="G44" s="18" t="n">
        <v>25.36165646</v>
      </c>
      <c r="H44" s="20" t="n">
        <v>1.71420909</v>
      </c>
      <c r="I44" s="18" t="n">
        <v>0</v>
      </c>
      <c r="J44" s="20" t="n">
        <v>0</v>
      </c>
      <c r="K44" s="18" t="n">
        <v>15.22154306</v>
      </c>
      <c r="L44" s="20" t="n">
        <v>1.70618857</v>
      </c>
      <c r="M44" s="18" t="n">
        <v>0</v>
      </c>
      <c r="N44" s="20" t="n">
        <v>0</v>
      </c>
      <c r="O44" s="18" t="n">
        <v>0</v>
      </c>
      <c r="P44" s="20" t="n">
        <v>0</v>
      </c>
      <c r="Q44" s="18" t="n">
        <v>0</v>
      </c>
      <c r="R44" s="20" t="n">
        <v>0</v>
      </c>
    </row>
    <row r="45" spans="1:18">
      <c r="A45" s="15" t="s">
        <v>468</v>
      </c>
      <c r="B45" s="17" t="n">
        <v>5519</v>
      </c>
      <c r="C45" s="18">
        <f>(4593.0/B45*100)</f>
        <v/>
      </c>
      <c r="D45" s="19" t="n">
        <v>926</v>
      </c>
      <c r="E45" s="18" t="n">
        <v>55.39783293</v>
      </c>
      <c r="F45" s="20" t="n">
        <v>1.6869794</v>
      </c>
      <c r="G45" s="18" t="n">
        <v>19.75209401</v>
      </c>
      <c r="H45" s="20" t="n">
        <v>1.42585417</v>
      </c>
      <c r="I45" s="18" t="n">
        <v>0</v>
      </c>
      <c r="J45" s="20" t="n">
        <v>0</v>
      </c>
      <c r="K45" s="18" t="n">
        <v>21.65119026</v>
      </c>
      <c r="L45" s="20" t="n">
        <v>1.72162413</v>
      </c>
      <c r="M45" s="18" t="n">
        <v>3.1988828</v>
      </c>
      <c r="N45" s="20" t="n">
        <v>0.7069984</v>
      </c>
      <c r="O45" s="18" t="n">
        <v>0</v>
      </c>
      <c r="P45" s="20" t="n">
        <v>0</v>
      </c>
      <c r="Q45" s="18" t="n">
        <v>0</v>
      </c>
      <c r="R45" s="20" t="n">
        <v>0</v>
      </c>
    </row>
    <row r="46" spans="1:18">
      <c r="A46" s="15" t="s">
        <v>469</v>
      </c>
      <c r="B46" s="17" t="n">
        <v>23141</v>
      </c>
      <c r="C46" s="18">
        <f>(23141.0/B46*100)</f>
        <v/>
      </c>
      <c r="D46" s="19" t="n">
        <v>0</v>
      </c>
      <c r="E46" s="18" t="s">
        <v>467</v>
      </c>
      <c r="F46" s="20" t="s">
        <v>467</v>
      </c>
      <c r="G46" s="18" t="s">
        <v>467</v>
      </c>
      <c r="H46" s="20" t="s">
        <v>467</v>
      </c>
      <c r="I46" s="18" t="s">
        <v>467</v>
      </c>
      <c r="J46" s="20" t="s">
        <v>467</v>
      </c>
      <c r="K46" s="18" t="s">
        <v>467</v>
      </c>
      <c r="L46" s="20" t="s">
        <v>467</v>
      </c>
      <c r="M46" s="18" t="s">
        <v>467</v>
      </c>
      <c r="N46" s="20" t="s">
        <v>467</v>
      </c>
      <c r="O46" s="18" t="s">
        <v>467</v>
      </c>
      <c r="P46" s="20" t="s">
        <v>467</v>
      </c>
      <c r="Q46" s="18" t="s">
        <v>467</v>
      </c>
      <c r="R46" s="20" t="s">
        <v>467</v>
      </c>
    </row>
    <row r="47" spans="1:18">
      <c r="A47" s="15" t="s">
        <v>470</v>
      </c>
      <c r="B47" s="17" t="n">
        <v>5928</v>
      </c>
      <c r="C47" s="18">
        <f>(5928.0/B47*100)</f>
        <v/>
      </c>
      <c r="D47" s="19" t="n">
        <v>0</v>
      </c>
      <c r="E47" s="18" t="s">
        <v>467</v>
      </c>
      <c r="F47" s="20" t="s">
        <v>467</v>
      </c>
      <c r="G47" s="18" t="s">
        <v>467</v>
      </c>
      <c r="H47" s="20" t="s">
        <v>467</v>
      </c>
      <c r="I47" s="18" t="s">
        <v>467</v>
      </c>
      <c r="J47" s="20" t="s">
        <v>467</v>
      </c>
      <c r="K47" s="18" t="s">
        <v>467</v>
      </c>
      <c r="L47" s="20" t="s">
        <v>467</v>
      </c>
      <c r="M47" s="18" t="s">
        <v>467</v>
      </c>
      <c r="N47" s="20" t="s">
        <v>467</v>
      </c>
      <c r="O47" s="18" t="s">
        <v>467</v>
      </c>
      <c r="P47" s="20" t="s">
        <v>467</v>
      </c>
      <c r="Q47" s="18" t="s">
        <v>467</v>
      </c>
      <c r="R47" s="20" t="s">
        <v>467</v>
      </c>
    </row>
    <row r="48" spans="1:18">
      <c r="A48" s="15" t="s">
        <v>471</v>
      </c>
      <c r="B48" s="17" t="n">
        <v>9841</v>
      </c>
      <c r="C48" s="18">
        <f>(9841.0/B48*100)</f>
        <v/>
      </c>
      <c r="D48" s="19" t="n">
        <v>0</v>
      </c>
      <c r="E48" s="18" t="s">
        <v>467</v>
      </c>
      <c r="F48" s="20" t="s">
        <v>467</v>
      </c>
      <c r="G48" s="18" t="s">
        <v>467</v>
      </c>
      <c r="H48" s="20" t="s">
        <v>467</v>
      </c>
      <c r="I48" s="18" t="s">
        <v>467</v>
      </c>
      <c r="J48" s="20" t="s">
        <v>467</v>
      </c>
      <c r="K48" s="18" t="s">
        <v>467</v>
      </c>
      <c r="L48" s="20" t="s">
        <v>467</v>
      </c>
      <c r="M48" s="18" t="s">
        <v>467</v>
      </c>
      <c r="N48" s="20" t="s">
        <v>467</v>
      </c>
      <c r="O48" s="18" t="s">
        <v>467</v>
      </c>
      <c r="P48" s="20" t="s">
        <v>467</v>
      </c>
      <c r="Q48" s="18" t="s">
        <v>467</v>
      </c>
      <c r="R48" s="20" t="s">
        <v>467</v>
      </c>
    </row>
    <row r="49" spans="1:18">
      <c r="A49" s="15" t="s">
        <v>472</v>
      </c>
      <c r="B49" s="17" t="n">
        <v>11795</v>
      </c>
      <c r="C49" s="18">
        <f>(11795.0/B49*100)</f>
        <v/>
      </c>
      <c r="D49" s="19" t="n">
        <v>0</v>
      </c>
      <c r="E49" s="18" t="s">
        <v>467</v>
      </c>
      <c r="F49" s="20" t="s">
        <v>467</v>
      </c>
      <c r="G49" s="18" t="s">
        <v>467</v>
      </c>
      <c r="H49" s="20" t="s">
        <v>467</v>
      </c>
      <c r="I49" s="18" t="s">
        <v>467</v>
      </c>
      <c r="J49" s="20" t="s">
        <v>467</v>
      </c>
      <c r="K49" s="18" t="s">
        <v>467</v>
      </c>
      <c r="L49" s="20" t="s">
        <v>467</v>
      </c>
      <c r="M49" s="18" t="s">
        <v>467</v>
      </c>
      <c r="N49" s="20" t="s">
        <v>467</v>
      </c>
      <c r="O49" s="18" t="s">
        <v>467</v>
      </c>
      <c r="P49" s="20" t="s">
        <v>467</v>
      </c>
      <c r="Q49" s="18" t="s">
        <v>467</v>
      </c>
      <c r="R49" s="20" t="s">
        <v>467</v>
      </c>
    </row>
    <row r="50" spans="1:18">
      <c r="A50" s="15" t="s">
        <v>473</v>
      </c>
      <c r="B50" s="17" t="n">
        <v>6866</v>
      </c>
      <c r="C50" s="18">
        <f>(6866.0/B50*100)</f>
        <v/>
      </c>
      <c r="D50" s="19" t="n">
        <v>0</v>
      </c>
      <c r="E50" s="18" t="s">
        <v>467</v>
      </c>
      <c r="F50" s="20" t="s">
        <v>467</v>
      </c>
      <c r="G50" s="18" t="s">
        <v>467</v>
      </c>
      <c r="H50" s="20" t="s">
        <v>467</v>
      </c>
      <c r="I50" s="18" t="s">
        <v>467</v>
      </c>
      <c r="J50" s="20" t="s">
        <v>467</v>
      </c>
      <c r="K50" s="18" t="s">
        <v>467</v>
      </c>
      <c r="L50" s="20" t="s">
        <v>467</v>
      </c>
      <c r="M50" s="18" t="s">
        <v>467</v>
      </c>
      <c r="N50" s="20" t="s">
        <v>467</v>
      </c>
      <c r="O50" s="18" t="s">
        <v>467</v>
      </c>
      <c r="P50" s="20" t="s">
        <v>467</v>
      </c>
      <c r="Q50" s="18" t="s">
        <v>467</v>
      </c>
      <c r="R50" s="20" t="s">
        <v>467</v>
      </c>
    </row>
    <row r="51" spans="1:18">
      <c r="A51" s="15" t="s">
        <v>474</v>
      </c>
      <c r="B51" s="17" t="n">
        <v>5809</v>
      </c>
      <c r="C51" s="18">
        <f>(5809.0/B51*100)</f>
        <v/>
      </c>
      <c r="D51" s="19" t="n">
        <v>0</v>
      </c>
      <c r="E51" s="18" t="s">
        <v>467</v>
      </c>
      <c r="F51" s="20" t="s">
        <v>467</v>
      </c>
      <c r="G51" s="18" t="s">
        <v>467</v>
      </c>
      <c r="H51" s="20" t="s">
        <v>467</v>
      </c>
      <c r="I51" s="18" t="s">
        <v>467</v>
      </c>
      <c r="J51" s="20" t="s">
        <v>467</v>
      </c>
      <c r="K51" s="18" t="s">
        <v>467</v>
      </c>
      <c r="L51" s="20" t="s">
        <v>467</v>
      </c>
      <c r="M51" s="18" t="s">
        <v>467</v>
      </c>
      <c r="N51" s="20" t="s">
        <v>467</v>
      </c>
      <c r="O51" s="18" t="s">
        <v>467</v>
      </c>
      <c r="P51" s="20" t="s">
        <v>467</v>
      </c>
      <c r="Q51" s="18" t="s">
        <v>467</v>
      </c>
      <c r="R51" s="20" t="s">
        <v>467</v>
      </c>
    </row>
    <row r="52" spans="1:18">
      <c r="A52" s="15" t="s">
        <v>475</v>
      </c>
      <c r="B52" s="17" t="n">
        <v>5571</v>
      </c>
      <c r="C52" s="18">
        <f>(5571.0/B52*100)</f>
        <v/>
      </c>
      <c r="D52" s="19" t="n">
        <v>0</v>
      </c>
      <c r="E52" s="18" t="s">
        <v>467</v>
      </c>
      <c r="F52" s="20" t="s">
        <v>467</v>
      </c>
      <c r="G52" s="18" t="s">
        <v>467</v>
      </c>
      <c r="H52" s="20" t="s">
        <v>467</v>
      </c>
      <c r="I52" s="18" t="s">
        <v>467</v>
      </c>
      <c r="J52" s="20" t="s">
        <v>467</v>
      </c>
      <c r="K52" s="18" t="s">
        <v>467</v>
      </c>
      <c r="L52" s="20" t="s">
        <v>467</v>
      </c>
      <c r="M52" s="18" t="s">
        <v>467</v>
      </c>
      <c r="N52" s="20" t="s">
        <v>467</v>
      </c>
      <c r="O52" s="18" t="s">
        <v>467</v>
      </c>
      <c r="P52" s="20" t="s">
        <v>467</v>
      </c>
      <c r="Q52" s="18" t="s">
        <v>467</v>
      </c>
      <c r="R52" s="20" t="s">
        <v>467</v>
      </c>
    </row>
    <row r="53" spans="1:18">
      <c r="A53" s="15" t="s">
        <v>476</v>
      </c>
      <c r="B53" s="17" t="n">
        <v>4740</v>
      </c>
      <c r="C53" s="18">
        <f>(4740.0/B53*100)</f>
        <v/>
      </c>
      <c r="D53" s="19" t="n">
        <v>0</v>
      </c>
      <c r="E53" s="18" t="s">
        <v>467</v>
      </c>
      <c r="F53" s="20" t="s">
        <v>467</v>
      </c>
      <c r="G53" s="18" t="s">
        <v>467</v>
      </c>
      <c r="H53" s="20" t="s">
        <v>467</v>
      </c>
      <c r="I53" s="18" t="s">
        <v>467</v>
      </c>
      <c r="J53" s="20" t="s">
        <v>467</v>
      </c>
      <c r="K53" s="18" t="s">
        <v>467</v>
      </c>
      <c r="L53" s="20" t="s">
        <v>467</v>
      </c>
      <c r="M53" s="18" t="s">
        <v>467</v>
      </c>
      <c r="N53" s="20" t="s">
        <v>467</v>
      </c>
      <c r="O53" s="18" t="s">
        <v>467</v>
      </c>
      <c r="P53" s="20" t="s">
        <v>467</v>
      </c>
      <c r="Q53" s="18" t="s">
        <v>467</v>
      </c>
      <c r="R53" s="20" t="s">
        <v>467</v>
      </c>
    </row>
    <row r="54" spans="1:18">
      <c r="A54" s="15" t="s">
        <v>477</v>
      </c>
      <c r="B54" s="17" t="n">
        <v>5316</v>
      </c>
      <c r="C54" s="18">
        <f>(5316.0/B54*100)</f>
        <v/>
      </c>
      <c r="D54" s="19" t="n">
        <v>0</v>
      </c>
      <c r="E54" s="18" t="s">
        <v>467</v>
      </c>
      <c r="F54" s="20" t="s">
        <v>467</v>
      </c>
      <c r="G54" s="18" t="s">
        <v>467</v>
      </c>
      <c r="H54" s="20" t="s">
        <v>467</v>
      </c>
      <c r="I54" s="18" t="s">
        <v>467</v>
      </c>
      <c r="J54" s="20" t="s">
        <v>467</v>
      </c>
      <c r="K54" s="18" t="s">
        <v>467</v>
      </c>
      <c r="L54" s="20" t="s">
        <v>467</v>
      </c>
      <c r="M54" s="18" t="s">
        <v>467</v>
      </c>
      <c r="N54" s="20" t="s">
        <v>467</v>
      </c>
      <c r="O54" s="18" t="s">
        <v>467</v>
      </c>
      <c r="P54" s="20" t="s">
        <v>467</v>
      </c>
      <c r="Q54" s="18" t="s">
        <v>467</v>
      </c>
      <c r="R54" s="20" t="s">
        <v>467</v>
      </c>
    </row>
    <row r="55" spans="1:18">
      <c r="A55" s="15" t="s">
        <v>478</v>
      </c>
      <c r="B55" s="17" t="n">
        <v>5359</v>
      </c>
      <c r="C55" s="18">
        <f>(5359.0/B55*100)</f>
        <v/>
      </c>
      <c r="D55" s="19" t="n">
        <v>0</v>
      </c>
      <c r="E55" s="18" t="s">
        <v>467</v>
      </c>
      <c r="F55" s="20" t="s">
        <v>467</v>
      </c>
      <c r="G55" s="18" t="s">
        <v>467</v>
      </c>
      <c r="H55" s="20" t="s">
        <v>467</v>
      </c>
      <c r="I55" s="18" t="s">
        <v>467</v>
      </c>
      <c r="J55" s="20" t="s">
        <v>467</v>
      </c>
      <c r="K55" s="18" t="s">
        <v>467</v>
      </c>
      <c r="L55" s="20" t="s">
        <v>467</v>
      </c>
      <c r="M55" s="18" t="s">
        <v>467</v>
      </c>
      <c r="N55" s="20" t="s">
        <v>467</v>
      </c>
      <c r="O55" s="18" t="s">
        <v>467</v>
      </c>
      <c r="P55" s="20" t="s">
        <v>467</v>
      </c>
      <c r="Q55" s="18" t="s">
        <v>467</v>
      </c>
      <c r="R55" s="20" t="s">
        <v>467</v>
      </c>
    </row>
    <row r="56" spans="1:18">
      <c r="A56" s="15" t="s">
        <v>479</v>
      </c>
      <c r="B56" s="17" t="n">
        <v>6513</v>
      </c>
      <c r="C56" s="18">
        <f>(6513.0/B56*100)</f>
        <v/>
      </c>
      <c r="D56" s="19" t="n">
        <v>0</v>
      </c>
      <c r="E56" s="18" t="s">
        <v>467</v>
      </c>
      <c r="F56" s="20" t="s">
        <v>467</v>
      </c>
      <c r="G56" s="18" t="s">
        <v>467</v>
      </c>
      <c r="H56" s="20" t="s">
        <v>467</v>
      </c>
      <c r="I56" s="18" t="s">
        <v>467</v>
      </c>
      <c r="J56" s="20" t="s">
        <v>467</v>
      </c>
      <c r="K56" s="18" t="s">
        <v>467</v>
      </c>
      <c r="L56" s="20" t="s">
        <v>467</v>
      </c>
      <c r="M56" s="18" t="s">
        <v>467</v>
      </c>
      <c r="N56" s="20" t="s">
        <v>467</v>
      </c>
      <c r="O56" s="18" t="s">
        <v>467</v>
      </c>
      <c r="P56" s="20" t="s">
        <v>467</v>
      </c>
      <c r="Q56" s="18" t="s">
        <v>467</v>
      </c>
      <c r="R56" s="20" t="s">
        <v>467</v>
      </c>
    </row>
    <row r="57" spans="1:18">
      <c r="A57" s="15" t="s">
        <v>480</v>
      </c>
      <c r="B57" s="17" t="n">
        <v>7267</v>
      </c>
      <c r="C57" s="18">
        <f>(6064.0/B57*100)</f>
        <v/>
      </c>
      <c r="D57" s="19" t="n">
        <v>1203</v>
      </c>
      <c r="E57" s="18" t="n">
        <v>38.83142989</v>
      </c>
      <c r="F57" s="20" t="n">
        <v>1.52248355</v>
      </c>
      <c r="G57" s="18" t="n">
        <v>47.99618521</v>
      </c>
      <c r="H57" s="20" t="n">
        <v>1.6796694</v>
      </c>
      <c r="I57" s="18" t="n">
        <v>0</v>
      </c>
      <c r="J57" s="20" t="n">
        <v>0</v>
      </c>
      <c r="K57" s="18" t="n">
        <v>13.1723849</v>
      </c>
      <c r="L57" s="20" t="n">
        <v>1.29819944</v>
      </c>
      <c r="M57" s="18" t="n">
        <v>0</v>
      </c>
      <c r="N57" s="20" t="n">
        <v>0</v>
      </c>
      <c r="O57" s="18" t="n">
        <v>0</v>
      </c>
      <c r="P57" s="20" t="n">
        <v>0</v>
      </c>
      <c r="Q57" s="18" t="n">
        <v>0</v>
      </c>
      <c r="R57" s="20" t="n">
        <v>0</v>
      </c>
    </row>
    <row r="58" spans="1:18">
      <c r="A58" s="15" t="s">
        <v>481</v>
      </c>
      <c r="B58" s="21" t="s">
        <v>482</v>
      </c>
      <c r="C58" s="21" t="s">
        <v>482</v>
      </c>
      <c r="D58" s="22" t="s">
        <v>482</v>
      </c>
      <c r="E58" s="21" t="s">
        <v>482</v>
      </c>
      <c r="F58" s="22" t="s">
        <v>482</v>
      </c>
      <c r="G58" s="21" t="s">
        <v>482</v>
      </c>
      <c r="H58" s="22" t="s">
        <v>482</v>
      </c>
      <c r="I58" s="21" t="s">
        <v>482</v>
      </c>
      <c r="J58" s="22" t="s">
        <v>482</v>
      </c>
      <c r="K58" s="21" t="s">
        <v>482</v>
      </c>
      <c r="L58" s="22" t="s">
        <v>482</v>
      </c>
      <c r="M58" s="21" t="s">
        <v>482</v>
      </c>
      <c r="N58" s="22" t="s">
        <v>482</v>
      </c>
      <c r="O58" s="21" t="s">
        <v>482</v>
      </c>
      <c r="P58" s="22" t="s">
        <v>482</v>
      </c>
      <c r="Q58" s="21" t="s">
        <v>482</v>
      </c>
      <c r="R58" s="22" t="s">
        <v>482</v>
      </c>
    </row>
    <row r="59" spans="1:18">
      <c r="A59" s="15" t="s">
        <v>483</v>
      </c>
      <c r="B59" s="17" t="n">
        <v>4826</v>
      </c>
      <c r="C59" s="18">
        <f>(4020.0/B59*100)</f>
        <v/>
      </c>
      <c r="D59" s="19" t="n">
        <v>806</v>
      </c>
      <c r="E59" s="18" t="n">
        <v>78.56569647000001</v>
      </c>
      <c r="F59" s="20" t="n">
        <v>1.49162684</v>
      </c>
      <c r="G59" s="18" t="n">
        <v>9.92516127</v>
      </c>
      <c r="H59" s="20" t="n">
        <v>1.315661</v>
      </c>
      <c r="I59" s="18" t="n">
        <v>0</v>
      </c>
      <c r="J59" s="20" t="n">
        <v>0</v>
      </c>
      <c r="K59" s="18" t="n">
        <v>11.28194511</v>
      </c>
      <c r="L59" s="20" t="n">
        <v>1.19560896</v>
      </c>
      <c r="M59" s="18" t="n">
        <v>0.22719715</v>
      </c>
      <c r="N59" s="20" t="n">
        <v>0.1402099</v>
      </c>
      <c r="O59" s="18" t="n">
        <v>0</v>
      </c>
      <c r="P59" s="20" t="n">
        <v>0</v>
      </c>
      <c r="Q59" s="18" t="n">
        <v>0</v>
      </c>
      <c r="R59" s="20" t="n">
        <v>0</v>
      </c>
    </row>
    <row r="60" spans="1:18">
      <c r="A60" s="15" t="s">
        <v>484</v>
      </c>
      <c r="B60" s="17" t="n">
        <v>4546</v>
      </c>
      <c r="C60" s="18">
        <f>(3782.0/B60*100)</f>
        <v/>
      </c>
      <c r="D60" s="19" t="n">
        <v>764</v>
      </c>
      <c r="E60" s="18" t="n">
        <v>34.1032355</v>
      </c>
      <c r="F60" s="20" t="n">
        <v>1.98323108</v>
      </c>
      <c r="G60" s="18" t="n">
        <v>34.49292693</v>
      </c>
      <c r="H60" s="20" t="n">
        <v>2.14955737</v>
      </c>
      <c r="I60" s="18" t="n">
        <v>0</v>
      </c>
      <c r="J60" s="20" t="n">
        <v>0</v>
      </c>
      <c r="K60" s="18" t="n">
        <v>31.40383757</v>
      </c>
      <c r="L60" s="20" t="n">
        <v>2.28931532</v>
      </c>
      <c r="M60" s="18" t="n">
        <v>0</v>
      </c>
      <c r="N60" s="20" t="n">
        <v>0</v>
      </c>
      <c r="O60" s="18" t="n">
        <v>0</v>
      </c>
      <c r="P60" s="20" t="n">
        <v>0</v>
      </c>
      <c r="Q60" s="18" t="n">
        <v>0</v>
      </c>
      <c r="R60" s="20" t="n">
        <v>0</v>
      </c>
    </row>
    <row r="61" spans="1:18">
      <c r="A61" s="15" t="s">
        <v>485</v>
      </c>
      <c r="B61" s="17" t="n">
        <v>6525</v>
      </c>
      <c r="C61" s="18">
        <f>(6525.0/B61*100)</f>
        <v/>
      </c>
      <c r="D61" s="19" t="n">
        <v>0</v>
      </c>
      <c r="E61" s="18" t="s">
        <v>467</v>
      </c>
      <c r="F61" s="20" t="s">
        <v>467</v>
      </c>
      <c r="G61" s="18" t="s">
        <v>467</v>
      </c>
      <c r="H61" s="20" t="s">
        <v>467</v>
      </c>
      <c r="I61" s="18" t="s">
        <v>467</v>
      </c>
      <c r="J61" s="20" t="s">
        <v>467</v>
      </c>
      <c r="K61" s="18" t="s">
        <v>467</v>
      </c>
      <c r="L61" s="20" t="s">
        <v>467</v>
      </c>
      <c r="M61" s="18" t="s">
        <v>467</v>
      </c>
      <c r="N61" s="20" t="s">
        <v>467</v>
      </c>
      <c r="O61" s="18" t="s">
        <v>467</v>
      </c>
      <c r="P61" s="20" t="s">
        <v>467</v>
      </c>
      <c r="Q61" s="18" t="s">
        <v>467</v>
      </c>
      <c r="R61" s="20" t="s">
        <v>467</v>
      </c>
    </row>
    <row r="62" spans="1:18">
      <c r="A62" s="15" t="s">
        <v>486</v>
      </c>
      <c r="B62" s="17" t="n">
        <v>4476</v>
      </c>
      <c r="C62" s="18">
        <f>(4476.0/B62*100)</f>
        <v/>
      </c>
      <c r="D62" s="19" t="n">
        <v>0</v>
      </c>
      <c r="E62" s="18" t="s">
        <v>467</v>
      </c>
      <c r="F62" s="20" t="s">
        <v>467</v>
      </c>
      <c r="G62" s="18" t="s">
        <v>467</v>
      </c>
      <c r="H62" s="20" t="s">
        <v>467</v>
      </c>
      <c r="I62" s="18" t="s">
        <v>467</v>
      </c>
      <c r="J62" s="20" t="s">
        <v>467</v>
      </c>
      <c r="K62" s="18" t="s">
        <v>467</v>
      </c>
      <c r="L62" s="20" t="s">
        <v>467</v>
      </c>
      <c r="M62" s="18" t="s">
        <v>467</v>
      </c>
      <c r="N62" s="20" t="s">
        <v>467</v>
      </c>
      <c r="O62" s="18" t="s">
        <v>467</v>
      </c>
      <c r="P62" s="20" t="s">
        <v>467</v>
      </c>
      <c r="Q62" s="18" t="s">
        <v>467</v>
      </c>
      <c r="R62" s="20" t="s">
        <v>467</v>
      </c>
    </row>
    <row r="63" spans="1:18">
      <c r="A63" s="15" t="s">
        <v>487</v>
      </c>
      <c r="B63" s="17" t="n">
        <v>5324</v>
      </c>
      <c r="C63" s="18">
        <f>(4443.0/B63*100)</f>
        <v/>
      </c>
      <c r="D63" s="19" t="n">
        <v>881</v>
      </c>
      <c r="E63" s="18" t="n">
        <v>44.65784908</v>
      </c>
      <c r="F63" s="20" t="n">
        <v>1.80812446</v>
      </c>
      <c r="G63" s="18" t="n">
        <v>25.37587319</v>
      </c>
      <c r="H63" s="20" t="n">
        <v>1.51408478</v>
      </c>
      <c r="I63" s="18" t="n">
        <v>0</v>
      </c>
      <c r="J63" s="20" t="n">
        <v>0</v>
      </c>
      <c r="K63" s="18" t="n">
        <v>29.96627773</v>
      </c>
      <c r="L63" s="20" t="n">
        <v>1.66841833</v>
      </c>
      <c r="M63" s="18" t="n">
        <v>0</v>
      </c>
      <c r="N63" s="20" t="n">
        <v>0</v>
      </c>
      <c r="O63" s="18" t="n">
        <v>0</v>
      </c>
      <c r="P63" s="20" t="n">
        <v>0</v>
      </c>
      <c r="Q63" s="18" t="n">
        <v>0</v>
      </c>
      <c r="R63" s="20" t="n">
        <v>0</v>
      </c>
    </row>
    <row r="64" spans="1:18">
      <c r="A64" s="15" t="s">
        <v>488</v>
      </c>
      <c r="B64" s="21" t="s">
        <v>482</v>
      </c>
      <c r="C64" s="21" t="s">
        <v>482</v>
      </c>
      <c r="D64" s="22" t="s">
        <v>482</v>
      </c>
      <c r="E64" s="21" t="s">
        <v>482</v>
      </c>
      <c r="F64" s="22" t="s">
        <v>482</v>
      </c>
      <c r="G64" s="21" t="s">
        <v>482</v>
      </c>
      <c r="H64" s="22" t="s">
        <v>482</v>
      </c>
      <c r="I64" s="21" t="s">
        <v>482</v>
      </c>
      <c r="J64" s="22" t="s">
        <v>482</v>
      </c>
      <c r="K64" s="21" t="s">
        <v>482</v>
      </c>
      <c r="L64" s="22" t="s">
        <v>482</v>
      </c>
      <c r="M64" s="21" t="s">
        <v>482</v>
      </c>
      <c r="N64" s="22" t="s">
        <v>482</v>
      </c>
      <c r="O64" s="21" t="s">
        <v>482</v>
      </c>
      <c r="P64" s="22" t="s">
        <v>482</v>
      </c>
      <c r="Q64" s="21" t="s">
        <v>482</v>
      </c>
      <c r="R64" s="22" t="s">
        <v>482</v>
      </c>
    </row>
    <row r="65" spans="1:18">
      <c r="A65" s="15" t="s">
        <v>489</v>
      </c>
      <c r="B65" s="17" t="n">
        <v>3634</v>
      </c>
      <c r="C65" s="18">
        <f>(3634.0/B65*100)</f>
        <v/>
      </c>
      <c r="D65" s="19" t="n">
        <v>0</v>
      </c>
      <c r="E65" s="18" t="s">
        <v>467</v>
      </c>
      <c r="F65" s="20" t="s">
        <v>467</v>
      </c>
      <c r="G65" s="18" t="s">
        <v>467</v>
      </c>
      <c r="H65" s="20" t="s">
        <v>467</v>
      </c>
      <c r="I65" s="18" t="s">
        <v>467</v>
      </c>
      <c r="J65" s="20" t="s">
        <v>467</v>
      </c>
      <c r="K65" s="18" t="s">
        <v>467</v>
      </c>
      <c r="L65" s="20" t="s">
        <v>467</v>
      </c>
      <c r="M65" s="18" t="s">
        <v>467</v>
      </c>
      <c r="N65" s="20" t="s">
        <v>467</v>
      </c>
      <c r="O65" s="18" t="s">
        <v>467</v>
      </c>
      <c r="P65" s="20" t="s">
        <v>467</v>
      </c>
      <c r="Q65" s="18" t="s">
        <v>467</v>
      </c>
      <c r="R65" s="20" t="s">
        <v>467</v>
      </c>
    </row>
    <row r="66" spans="1:18">
      <c r="A66" s="15" t="s">
        <v>490</v>
      </c>
      <c r="B66" s="17" t="n">
        <v>5325</v>
      </c>
      <c r="C66" s="18">
        <f>(4408.0/B66*100)</f>
        <v/>
      </c>
      <c r="D66" s="19" t="n">
        <v>917</v>
      </c>
      <c r="E66" s="18" t="n">
        <v>42.13494967</v>
      </c>
      <c r="F66" s="20" t="n">
        <v>1.64165888</v>
      </c>
      <c r="G66" s="18" t="n">
        <v>41.75818097</v>
      </c>
      <c r="H66" s="20" t="n">
        <v>1.87952857</v>
      </c>
      <c r="I66" s="18" t="n">
        <v>0</v>
      </c>
      <c r="J66" s="20" t="n">
        <v>0</v>
      </c>
      <c r="K66" s="18" t="n">
        <v>16.10686936</v>
      </c>
      <c r="L66" s="20" t="n">
        <v>1.25399722</v>
      </c>
      <c r="M66" s="18" t="n">
        <v>0</v>
      </c>
      <c r="N66" s="20" t="n">
        <v>0</v>
      </c>
      <c r="O66" s="18" t="n">
        <v>0</v>
      </c>
      <c r="P66" s="20" t="n">
        <v>0</v>
      </c>
      <c r="Q66" s="18" t="n">
        <v>0</v>
      </c>
      <c r="R66" s="20" t="n">
        <v>0</v>
      </c>
    </row>
    <row r="67" spans="1:18">
      <c r="A67" s="15" t="s">
        <v>491</v>
      </c>
      <c r="B67" s="17" t="n">
        <v>5665</v>
      </c>
      <c r="C67" s="18">
        <f>(5665.0/B67*100)</f>
        <v/>
      </c>
      <c r="D67" s="19" t="n">
        <v>0</v>
      </c>
      <c r="E67" s="18" t="s">
        <v>467</v>
      </c>
      <c r="F67" s="20" t="s">
        <v>467</v>
      </c>
      <c r="G67" s="18" t="s">
        <v>467</v>
      </c>
      <c r="H67" s="20" t="s">
        <v>467</v>
      </c>
      <c r="I67" s="18" t="s">
        <v>467</v>
      </c>
      <c r="J67" s="20" t="s">
        <v>467</v>
      </c>
      <c r="K67" s="18" t="s">
        <v>467</v>
      </c>
      <c r="L67" s="20" t="s">
        <v>467</v>
      </c>
      <c r="M67" s="18" t="s">
        <v>467</v>
      </c>
      <c r="N67" s="20" t="s">
        <v>467</v>
      </c>
      <c r="O67" s="18" t="s">
        <v>467</v>
      </c>
      <c r="P67" s="20" t="s">
        <v>467</v>
      </c>
      <c r="Q67" s="18" t="s">
        <v>467</v>
      </c>
      <c r="R67" s="20" t="s">
        <v>467</v>
      </c>
    </row>
    <row r="68" spans="1:18">
      <c r="A68" s="15" t="s">
        <v>492</v>
      </c>
      <c r="B68" s="17" t="n">
        <v>6971</v>
      </c>
      <c r="C68" s="18">
        <f>(6971.0/B68*100)</f>
        <v/>
      </c>
      <c r="D68" s="19" t="n">
        <v>0</v>
      </c>
      <c r="E68" s="18" t="s">
        <v>467</v>
      </c>
      <c r="F68" s="20" t="s">
        <v>467</v>
      </c>
      <c r="G68" s="18" t="s">
        <v>467</v>
      </c>
      <c r="H68" s="20" t="s">
        <v>467</v>
      </c>
      <c r="I68" s="18" t="s">
        <v>467</v>
      </c>
      <c r="J68" s="20" t="s">
        <v>467</v>
      </c>
      <c r="K68" s="18" t="s">
        <v>467</v>
      </c>
      <c r="L68" s="20" t="s">
        <v>467</v>
      </c>
      <c r="M68" s="18" t="s">
        <v>467</v>
      </c>
      <c r="N68" s="20" t="s">
        <v>467</v>
      </c>
      <c r="O68" s="18" t="s">
        <v>467</v>
      </c>
      <c r="P68" s="20" t="s">
        <v>467</v>
      </c>
      <c r="Q68" s="18" t="s">
        <v>467</v>
      </c>
      <c r="R68" s="20" t="s">
        <v>467</v>
      </c>
    </row>
    <row r="69" spans="1:18">
      <c r="A69" s="15" t="s">
        <v>493</v>
      </c>
      <c r="B69" s="17" t="n">
        <v>1398</v>
      </c>
      <c r="C69" s="18">
        <f>(1169.0/B69*100)</f>
        <v/>
      </c>
      <c r="D69" s="19" t="n">
        <v>229</v>
      </c>
      <c r="E69" s="18" t="n">
        <v>55.22204609</v>
      </c>
      <c r="F69" s="20" t="n">
        <v>2.97034154</v>
      </c>
      <c r="G69" s="18" t="n">
        <v>37.67987264</v>
      </c>
      <c r="H69" s="20" t="n">
        <v>3.0851724</v>
      </c>
      <c r="I69" s="18" t="n">
        <v>0</v>
      </c>
      <c r="J69" s="20" t="n">
        <v>0</v>
      </c>
      <c r="K69" s="18" t="n">
        <v>7.09808126</v>
      </c>
      <c r="L69" s="20" t="n">
        <v>1.5981639</v>
      </c>
      <c r="M69" s="18" t="n">
        <v>0</v>
      </c>
      <c r="N69" s="20" t="n">
        <v>0</v>
      </c>
      <c r="O69" s="18" t="n">
        <v>0</v>
      </c>
      <c r="P69" s="20" t="n">
        <v>0</v>
      </c>
      <c r="Q69" s="18" t="n">
        <v>0</v>
      </c>
      <c r="R69" s="20" t="n">
        <v>0</v>
      </c>
    </row>
    <row r="70" spans="1:18">
      <c r="A70" s="15" t="s">
        <v>494</v>
      </c>
      <c r="B70" s="17" t="n">
        <v>12083</v>
      </c>
      <c r="C70" s="18">
        <f>(12083.0/B70*100)</f>
        <v/>
      </c>
      <c r="D70" s="19" t="n">
        <v>0</v>
      </c>
      <c r="E70" s="18" t="s">
        <v>467</v>
      </c>
      <c r="F70" s="20" t="s">
        <v>467</v>
      </c>
      <c r="G70" s="18" t="s">
        <v>467</v>
      </c>
      <c r="H70" s="20" t="s">
        <v>467</v>
      </c>
      <c r="I70" s="18" t="s">
        <v>467</v>
      </c>
      <c r="J70" s="20" t="s">
        <v>467</v>
      </c>
      <c r="K70" s="18" t="s">
        <v>467</v>
      </c>
      <c r="L70" s="20" t="s">
        <v>467</v>
      </c>
      <c r="M70" s="18" t="s">
        <v>467</v>
      </c>
      <c r="N70" s="20" t="s">
        <v>467</v>
      </c>
      <c r="O70" s="18" t="s">
        <v>467</v>
      </c>
      <c r="P70" s="20" t="s">
        <v>467</v>
      </c>
      <c r="Q70" s="18" t="s">
        <v>467</v>
      </c>
      <c r="R70" s="20" t="s">
        <v>467</v>
      </c>
    </row>
    <row r="71" spans="1:18">
      <c r="A71" s="15" t="s">
        <v>495</v>
      </c>
      <c r="B71" s="17" t="n">
        <v>4876</v>
      </c>
      <c r="C71" s="18">
        <f>(4074.0/B71*100)</f>
        <v/>
      </c>
      <c r="D71" s="19" t="n">
        <v>802</v>
      </c>
      <c r="E71" s="18" t="n">
        <v>41.32023037</v>
      </c>
      <c r="F71" s="20" t="n">
        <v>2.18697302</v>
      </c>
      <c r="G71" s="18" t="n">
        <v>58.21106145</v>
      </c>
      <c r="H71" s="20" t="n">
        <v>2.16977025</v>
      </c>
      <c r="I71" s="18" t="n">
        <v>0</v>
      </c>
      <c r="J71" s="20" t="n">
        <v>0</v>
      </c>
      <c r="K71" s="18" t="n">
        <v>0.46870818</v>
      </c>
      <c r="L71" s="20" t="n">
        <v>0.23070825</v>
      </c>
      <c r="M71" s="18" t="n">
        <v>0</v>
      </c>
      <c r="N71" s="20" t="n">
        <v>0</v>
      </c>
      <c r="O71" s="18" t="n">
        <v>0</v>
      </c>
      <c r="P71" s="20" t="n">
        <v>0</v>
      </c>
      <c r="Q71" s="18" t="n">
        <v>0</v>
      </c>
      <c r="R71" s="20" t="n">
        <v>0</v>
      </c>
    </row>
    <row r="72" spans="1:18">
      <c r="A72" s="15" t="s">
        <v>496</v>
      </c>
      <c r="B72" s="17" t="n">
        <v>6036</v>
      </c>
      <c r="C72" s="18">
        <f>(6036.0/B72*100)</f>
        <v/>
      </c>
      <c r="D72" s="19" t="n">
        <v>0</v>
      </c>
      <c r="E72" s="18" t="s">
        <v>467</v>
      </c>
      <c r="F72" s="20" t="s">
        <v>467</v>
      </c>
      <c r="G72" s="18" t="s">
        <v>467</v>
      </c>
      <c r="H72" s="20" t="s">
        <v>467</v>
      </c>
      <c r="I72" s="18" t="s">
        <v>467</v>
      </c>
      <c r="J72" s="20" t="s">
        <v>467</v>
      </c>
      <c r="K72" s="18" t="s">
        <v>467</v>
      </c>
      <c r="L72" s="20" t="s">
        <v>467</v>
      </c>
      <c r="M72" s="18" t="s">
        <v>467</v>
      </c>
      <c r="N72" s="20" t="s">
        <v>467</v>
      </c>
      <c r="O72" s="18" t="s">
        <v>467</v>
      </c>
      <c r="P72" s="20" t="s">
        <v>467</v>
      </c>
      <c r="Q72" s="18" t="s">
        <v>467</v>
      </c>
      <c r="R72" s="20" t="s">
        <v>467</v>
      </c>
    </row>
    <row r="73" spans="1:18">
      <c r="A73" s="15" t="s">
        <v>497</v>
      </c>
      <c r="B73" s="17" t="n">
        <v>6115</v>
      </c>
      <c r="C73" s="18">
        <f>(6115.0/B73*100)</f>
        <v/>
      </c>
      <c r="D73" s="19" t="n">
        <v>0</v>
      </c>
      <c r="E73" s="18" t="s">
        <v>467</v>
      </c>
      <c r="F73" s="20" t="s">
        <v>467</v>
      </c>
      <c r="G73" s="18" t="s">
        <v>467</v>
      </c>
      <c r="H73" s="20" t="s">
        <v>467</v>
      </c>
      <c r="I73" s="18" t="s">
        <v>467</v>
      </c>
      <c r="J73" s="20" t="s">
        <v>467</v>
      </c>
      <c r="K73" s="18" t="s">
        <v>467</v>
      </c>
      <c r="L73" s="20" t="s">
        <v>467</v>
      </c>
      <c r="M73" s="18" t="s">
        <v>467</v>
      </c>
      <c r="N73" s="20" t="s">
        <v>467</v>
      </c>
      <c r="O73" s="18" t="s">
        <v>467</v>
      </c>
      <c r="P73" s="20" t="s">
        <v>467</v>
      </c>
      <c r="Q73" s="18" t="s">
        <v>467</v>
      </c>
      <c r="R73" s="20" t="s">
        <v>467</v>
      </c>
    </row>
    <row r="74" spans="1:18">
      <c r="A74" s="15" t="s">
        <v>498</v>
      </c>
      <c r="B74" s="17" t="n">
        <v>7708</v>
      </c>
      <c r="C74" s="18">
        <f>(7708.0/B74*100)</f>
        <v/>
      </c>
      <c r="D74" s="19" t="n">
        <v>0</v>
      </c>
      <c r="E74" s="18" t="s">
        <v>467</v>
      </c>
      <c r="F74" s="20" t="s">
        <v>467</v>
      </c>
      <c r="G74" s="18" t="s">
        <v>467</v>
      </c>
      <c r="H74" s="20" t="s">
        <v>467</v>
      </c>
      <c r="I74" s="18" t="s">
        <v>467</v>
      </c>
      <c r="J74" s="20" t="s">
        <v>467</v>
      </c>
      <c r="K74" s="18" t="s">
        <v>467</v>
      </c>
      <c r="L74" s="20" t="s">
        <v>467</v>
      </c>
      <c r="M74" s="18" t="s">
        <v>467</v>
      </c>
      <c r="N74" s="20" t="s">
        <v>467</v>
      </c>
      <c r="O74" s="18" t="s">
        <v>467</v>
      </c>
      <c r="P74" s="20" t="s">
        <v>467</v>
      </c>
      <c r="Q74" s="18" t="s">
        <v>467</v>
      </c>
      <c r="R74" s="20" t="s">
        <v>467</v>
      </c>
    </row>
    <row r="75" spans="1:18">
      <c r="A75" s="15" t="s">
        <v>499</v>
      </c>
      <c r="B75" s="17" t="n">
        <v>8249</v>
      </c>
      <c r="C75" s="18">
        <f>(8249.0/B75*100)</f>
        <v/>
      </c>
      <c r="D75" s="19" t="n">
        <v>0</v>
      </c>
      <c r="E75" s="18" t="s">
        <v>467</v>
      </c>
      <c r="F75" s="20" t="s">
        <v>467</v>
      </c>
      <c r="G75" s="18" t="s">
        <v>467</v>
      </c>
      <c r="H75" s="20" t="s">
        <v>467</v>
      </c>
      <c r="I75" s="18" t="s">
        <v>467</v>
      </c>
      <c r="J75" s="20" t="s">
        <v>467</v>
      </c>
      <c r="K75" s="18" t="s">
        <v>467</v>
      </c>
      <c r="L75" s="20" t="s">
        <v>467</v>
      </c>
      <c r="M75" s="18" t="s">
        <v>467</v>
      </c>
      <c r="N75" s="20" t="s">
        <v>467</v>
      </c>
      <c r="O75" s="18" t="s">
        <v>467</v>
      </c>
      <c r="P75" s="20" t="s">
        <v>467</v>
      </c>
      <c r="Q75" s="18" t="s">
        <v>467</v>
      </c>
      <c r="R75" s="20" t="s">
        <v>467</v>
      </c>
    </row>
    <row r="76" spans="1:18">
      <c r="A76" s="15" t="s">
        <v>500</v>
      </c>
      <c r="B76" s="17" t="n">
        <v>4692</v>
      </c>
      <c r="C76" s="18">
        <f>(3913.0/B76*100)</f>
        <v/>
      </c>
      <c r="D76" s="19" t="n">
        <v>779</v>
      </c>
      <c r="E76" s="18" t="n">
        <v>24.95863159</v>
      </c>
      <c r="F76" s="20" t="n">
        <v>1.73431006</v>
      </c>
      <c r="G76" s="18" t="n">
        <v>60.40919972</v>
      </c>
      <c r="H76" s="20" t="n">
        <v>2.0730595</v>
      </c>
      <c r="I76" s="18" t="n">
        <v>0</v>
      </c>
      <c r="J76" s="20" t="n">
        <v>0</v>
      </c>
      <c r="K76" s="18" t="n">
        <v>14.63216869</v>
      </c>
      <c r="L76" s="20" t="n">
        <v>1.3560991</v>
      </c>
      <c r="M76" s="18" t="n">
        <v>0</v>
      </c>
      <c r="N76" s="20" t="n">
        <v>0</v>
      </c>
      <c r="O76" s="18" t="n">
        <v>0</v>
      </c>
      <c r="P76" s="20" t="n">
        <v>0</v>
      </c>
      <c r="Q76" s="18" t="n">
        <v>0</v>
      </c>
      <c r="R76" s="20" t="n">
        <v>0</v>
      </c>
    </row>
    <row r="77" spans="1:18">
      <c r="A77" s="15" t="s">
        <v>501</v>
      </c>
      <c r="B77" s="17" t="n">
        <v>5375</v>
      </c>
      <c r="C77" s="18">
        <f>(5375.0/B77*100)</f>
        <v/>
      </c>
      <c r="D77" s="19" t="n">
        <v>0</v>
      </c>
      <c r="E77" s="18" t="s">
        <v>467</v>
      </c>
      <c r="F77" s="20" t="s">
        <v>467</v>
      </c>
      <c r="G77" s="18" t="s">
        <v>467</v>
      </c>
      <c r="H77" s="20" t="s">
        <v>467</v>
      </c>
      <c r="I77" s="18" t="s">
        <v>467</v>
      </c>
      <c r="J77" s="20" t="s">
        <v>467</v>
      </c>
      <c r="K77" s="18" t="s">
        <v>467</v>
      </c>
      <c r="L77" s="20" t="s">
        <v>467</v>
      </c>
      <c r="M77" s="18" t="s">
        <v>467</v>
      </c>
      <c r="N77" s="20" t="s">
        <v>467</v>
      </c>
      <c r="O77" s="18" t="s">
        <v>467</v>
      </c>
      <c r="P77" s="20" t="s">
        <v>467</v>
      </c>
      <c r="Q77" s="18" t="s">
        <v>467</v>
      </c>
      <c r="R77" s="20" t="s">
        <v>467</v>
      </c>
    </row>
    <row r="78" spans="1:18">
      <c r="A78" s="15" t="s">
        <v>502</v>
      </c>
      <c r="B78" s="17" t="n">
        <v>14167</v>
      </c>
      <c r="C78" s="18">
        <f>(14167.0/B78*100)</f>
        <v/>
      </c>
      <c r="D78" s="19" t="n">
        <v>0</v>
      </c>
      <c r="E78" s="18" t="s">
        <v>467</v>
      </c>
      <c r="F78" s="20" t="s">
        <v>467</v>
      </c>
      <c r="G78" s="18" t="s">
        <v>467</v>
      </c>
      <c r="H78" s="20" t="s">
        <v>467</v>
      </c>
      <c r="I78" s="18" t="s">
        <v>467</v>
      </c>
      <c r="J78" s="20" t="s">
        <v>467</v>
      </c>
      <c r="K78" s="18" t="s">
        <v>467</v>
      </c>
      <c r="L78" s="20" t="s">
        <v>467</v>
      </c>
      <c r="M78" s="18" t="s">
        <v>467</v>
      </c>
      <c r="N78" s="20" t="s">
        <v>467</v>
      </c>
      <c r="O78" s="18" t="s">
        <v>467</v>
      </c>
      <c r="P78" s="20" t="s">
        <v>467</v>
      </c>
      <c r="Q78" s="18" t="s">
        <v>467</v>
      </c>
      <c r="R78" s="20" t="s">
        <v>467</v>
      </c>
    </row>
    <row r="79" spans="1:18">
      <c r="A79" s="15" t="s">
        <v>503</v>
      </c>
      <c r="B79" s="17" t="n">
        <v>6062</v>
      </c>
      <c r="C79" s="18">
        <f>(6062.0/B79*100)</f>
        <v/>
      </c>
      <c r="D79" s="19" t="n">
        <v>0</v>
      </c>
      <c r="E79" s="18" t="s">
        <v>467</v>
      </c>
      <c r="F79" s="20" t="s">
        <v>467</v>
      </c>
      <c r="G79" s="18" t="s">
        <v>467</v>
      </c>
      <c r="H79" s="20" t="s">
        <v>467</v>
      </c>
      <c r="I79" s="18" t="s">
        <v>467</v>
      </c>
      <c r="J79" s="20" t="s">
        <v>467</v>
      </c>
      <c r="K79" s="18" t="s">
        <v>467</v>
      </c>
      <c r="L79" s="20" t="s">
        <v>467</v>
      </c>
      <c r="M79" s="18" t="s">
        <v>467</v>
      </c>
      <c r="N79" s="20" t="s">
        <v>467</v>
      </c>
      <c r="O79" s="18" t="s">
        <v>467</v>
      </c>
      <c r="P79" s="20" t="s">
        <v>467</v>
      </c>
      <c r="Q79" s="18" t="s">
        <v>467</v>
      </c>
      <c r="R79" s="20" t="s">
        <v>467</v>
      </c>
    </row>
    <row r="80" spans="1:18">
      <c r="A80" s="15" t="s">
        <v>504</v>
      </c>
      <c r="B80" s="17" t="n">
        <v>5826</v>
      </c>
      <c r="C80" s="18">
        <f>(4864.0/B80*100)</f>
        <v/>
      </c>
      <c r="D80" s="19" t="n">
        <v>962</v>
      </c>
      <c r="E80" s="18" t="n">
        <v>32.94949486</v>
      </c>
      <c r="F80" s="20" t="n">
        <v>1.81682094</v>
      </c>
      <c r="G80" s="18" t="n">
        <v>66.16082654</v>
      </c>
      <c r="H80" s="20" t="n">
        <v>1.80506182</v>
      </c>
      <c r="I80" s="18" t="n">
        <v>0</v>
      </c>
      <c r="J80" s="20" t="n">
        <v>0</v>
      </c>
      <c r="K80" s="18" t="n">
        <v>0.8896786</v>
      </c>
      <c r="L80" s="20" t="n">
        <v>0.29993531</v>
      </c>
      <c r="M80" s="18" t="n">
        <v>0</v>
      </c>
      <c r="N80" s="20" t="n">
        <v>0</v>
      </c>
      <c r="O80" s="18" t="n">
        <v>0</v>
      </c>
      <c r="P80" s="20" t="n">
        <v>0</v>
      </c>
      <c r="Q80" s="18" t="n">
        <v>0</v>
      </c>
      <c r="R80" s="20" t="n">
        <v>0</v>
      </c>
    </row>
    <row r="81" spans="1:18">
      <c r="A81" s="15" t="s">
        <v>505</v>
      </c>
      <c r="B81" s="17" t="n">
        <v>1657</v>
      </c>
      <c r="C81" s="18">
        <f>(1373.0/B81*100)</f>
        <v/>
      </c>
      <c r="D81" s="19" t="n">
        <v>284</v>
      </c>
      <c r="E81" s="18" t="n">
        <v>33.30635321</v>
      </c>
      <c r="F81" s="20" t="n">
        <v>2.95953691</v>
      </c>
      <c r="G81" s="18" t="n">
        <v>58.92799512</v>
      </c>
      <c r="H81" s="20" t="n">
        <v>2.98650394</v>
      </c>
      <c r="I81" s="18" t="n">
        <v>0</v>
      </c>
      <c r="J81" s="20" t="n">
        <v>0</v>
      </c>
      <c r="K81" s="18" t="n">
        <v>7.76565167</v>
      </c>
      <c r="L81" s="20" t="n">
        <v>1.85989546</v>
      </c>
      <c r="M81" s="18" t="n">
        <v>0</v>
      </c>
      <c r="N81" s="20" t="n">
        <v>0</v>
      </c>
      <c r="O81" s="18" t="n">
        <v>0</v>
      </c>
      <c r="P81" s="20" t="n">
        <v>0</v>
      </c>
      <c r="Q81" s="18" t="n">
        <v>0</v>
      </c>
      <c r="R81" s="20" t="n">
        <v>0</v>
      </c>
    </row>
    <row r="82" spans="1:18">
      <c r="A82" s="15" t="s">
        <v>506</v>
      </c>
      <c r="B82" s="17" t="n">
        <v>32330</v>
      </c>
      <c r="C82" s="18">
        <f>(32330.0/B82*100)</f>
        <v/>
      </c>
      <c r="D82" s="19" t="n">
        <v>0</v>
      </c>
      <c r="E82" s="18" t="s">
        <v>467</v>
      </c>
      <c r="F82" s="20" t="s">
        <v>467</v>
      </c>
      <c r="G82" s="18" t="s">
        <v>467</v>
      </c>
      <c r="H82" s="20" t="s">
        <v>467</v>
      </c>
      <c r="I82" s="18" t="s">
        <v>467</v>
      </c>
      <c r="J82" s="20" t="s">
        <v>467</v>
      </c>
      <c r="K82" s="18" t="s">
        <v>467</v>
      </c>
      <c r="L82" s="20" t="s">
        <v>467</v>
      </c>
      <c r="M82" s="18" t="s">
        <v>467</v>
      </c>
      <c r="N82" s="20" t="s">
        <v>467</v>
      </c>
      <c r="O82" s="18" t="s">
        <v>467</v>
      </c>
      <c r="P82" s="20" t="s">
        <v>467</v>
      </c>
      <c r="Q82" s="18" t="s">
        <v>467</v>
      </c>
      <c r="R82" s="20" t="s">
        <v>467</v>
      </c>
    </row>
    <row r="83" spans="1:18">
      <c r="A83" s="15" t="s">
        <v>507</v>
      </c>
      <c r="B83" s="17" t="n">
        <v>1652</v>
      </c>
      <c r="C83" s="18">
        <f>(1652.0/B83*100)</f>
        <v/>
      </c>
      <c r="D83" s="19" t="n">
        <v>0</v>
      </c>
      <c r="E83" s="18" t="s">
        <v>467</v>
      </c>
      <c r="F83" s="20" t="s">
        <v>467</v>
      </c>
      <c r="G83" s="18" t="s">
        <v>467</v>
      </c>
      <c r="H83" s="20" t="s">
        <v>467</v>
      </c>
      <c r="I83" s="18" t="s">
        <v>467</v>
      </c>
      <c r="J83" s="20" t="s">
        <v>467</v>
      </c>
      <c r="K83" s="18" t="s">
        <v>467</v>
      </c>
      <c r="L83" s="20" t="s">
        <v>467</v>
      </c>
      <c r="M83" s="18" t="s">
        <v>467</v>
      </c>
      <c r="N83" s="20" t="s">
        <v>467</v>
      </c>
      <c r="O83" s="18" t="s">
        <v>467</v>
      </c>
      <c r="P83" s="20" t="s">
        <v>467</v>
      </c>
      <c r="Q83" s="18" t="s">
        <v>467</v>
      </c>
      <c r="R83" s="20" t="s">
        <v>467</v>
      </c>
    </row>
    <row r="84" spans="1:18">
      <c r="A84" s="23" t="s">
        <v>508</v>
      </c>
      <c r="B84" s="24" t="n">
        <v>1887</v>
      </c>
      <c r="C84" s="25">
        <f>(1887.0/B84*100)</f>
        <v/>
      </c>
      <c r="D84" s="19" t="n">
        <v>0</v>
      </c>
      <c r="E84" s="18" t="s">
        <v>467</v>
      </c>
      <c r="F84" s="20" t="s">
        <v>467</v>
      </c>
      <c r="G84" s="18" t="s">
        <v>467</v>
      </c>
      <c r="H84" s="20" t="s">
        <v>467</v>
      </c>
      <c r="I84" s="18" t="s">
        <v>467</v>
      </c>
      <c r="J84" s="20" t="s">
        <v>467</v>
      </c>
      <c r="K84" s="18" t="s">
        <v>467</v>
      </c>
      <c r="L84" s="20" t="s">
        <v>467</v>
      </c>
      <c r="M84" s="18" t="s">
        <v>467</v>
      </c>
      <c r="N84" s="20" t="s">
        <v>467</v>
      </c>
      <c r="O84" s="18" t="s">
        <v>467</v>
      </c>
      <c r="P84" s="20" t="s">
        <v>467</v>
      </c>
      <c r="Q84" s="18" t="s">
        <v>467</v>
      </c>
      <c r="R84" s="20" t="s">
        <v>467</v>
      </c>
    </row>
    <row r="86" spans="1:18">
      <c r="A86" s="3" t="s">
        <v>509</v>
      </c>
    </row>
    <row r="87" spans="1:18">
      <c r="A87" s="26" t="s">
        <v>510</v>
      </c>
    </row>
    <row r="88" spans="1:18">
      <c r="A88" s="26" t="s">
        <v>511</v>
      </c>
    </row>
    <row customHeight="1" ht="30" r="89" spans="1:18">
      <c r="A89" s="26" t="s">
        <v>512</v>
      </c>
    </row>
    <row customHeight="1" ht="30" r="90" spans="1:18">
      <c r="A90" s="26" t="s">
        <v>513</v>
      </c>
    </row>
    <row customHeight="1" ht="30" r="91" spans="1:18">
      <c r="A91" s="26" t="s">
        <v>514</v>
      </c>
    </row>
    <row customHeight="1" ht="30" r="92" spans="1:18">
      <c r="A92" s="26" t="s">
        <v>515</v>
      </c>
    </row>
    <row customHeight="1" ht="30" r="93" spans="1:18">
      <c r="A93" s="26" t="s">
        <v>516</v>
      </c>
    </row>
    <row customHeight="1" ht="30" r="94" spans="1:18">
      <c r="A94" s="26" t="s">
        <v>517</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207</vt:i4>
      </vt:variant>
    </vt:vector>
  </ns0:HeadingPairs>
  <ns0:TitlesOfParts>
    <vt:vector xmlns:vt="http://schemas.openxmlformats.org/officeDocument/2006/docPropsVTypes" baseType="lpstr" size="207">
      <vt:lpstr>Table of Contents</vt:lpstr>
      <vt:lpstr>DR219Q01EC</vt:lpstr>
      <vt:lpstr>DR219Q01C</vt:lpstr>
      <vt:lpstr>DR219Q02C</vt:lpstr>
      <vt:lpstr>CR067Q01S</vt:lpstr>
      <vt:lpstr>DR067Q04C</vt:lpstr>
      <vt:lpstr>DR067Q05C</vt:lpstr>
      <vt:lpstr>DR102Q04C</vt:lpstr>
      <vt:lpstr>DR102Q05C</vt:lpstr>
      <vt:lpstr>CR102Q07S</vt:lpstr>
      <vt:lpstr>CR220Q01S</vt:lpstr>
      <vt:lpstr>CR220Q02S</vt:lpstr>
      <vt:lpstr>CR220Q04S</vt:lpstr>
      <vt:lpstr>CR220Q05S</vt:lpstr>
      <vt:lpstr>CR220Q06S</vt:lpstr>
      <vt:lpstr>CR227Q01S</vt:lpstr>
      <vt:lpstr>CR227Q02S</vt:lpstr>
      <vt:lpstr>DR227Q03C</vt:lpstr>
      <vt:lpstr>DR227Q06C</vt:lpstr>
      <vt:lpstr>CR111Q01S</vt:lpstr>
      <vt:lpstr>DR111Q02BC</vt:lpstr>
      <vt:lpstr>DR111Q06C</vt:lpstr>
      <vt:lpstr>CR055Q01S</vt:lpstr>
      <vt:lpstr>DR055Q02C</vt:lpstr>
      <vt:lpstr>DR055Q03C</vt:lpstr>
      <vt:lpstr>DR055Q05C</vt:lpstr>
      <vt:lpstr>CR104Q01S</vt:lpstr>
      <vt:lpstr>CR104Q02S</vt:lpstr>
      <vt:lpstr>CR104Q05S</vt:lpstr>
      <vt:lpstr>DR420Q02C</vt:lpstr>
      <vt:lpstr>DR420Q10C</vt:lpstr>
      <vt:lpstr>DR420Q06C</vt:lpstr>
      <vt:lpstr>DR420Q09C</vt:lpstr>
      <vt:lpstr>CR453Q01S</vt:lpstr>
      <vt:lpstr>DR453Q04C</vt:lpstr>
      <vt:lpstr>CR453Q05S</vt:lpstr>
      <vt:lpstr>DR453Q06C</vt:lpstr>
      <vt:lpstr>CR412Q01S</vt:lpstr>
      <vt:lpstr>CR412Q05S</vt:lpstr>
      <vt:lpstr>DR412Q08C</vt:lpstr>
      <vt:lpstr>CR412Q06S</vt:lpstr>
      <vt:lpstr>CR437Q01S</vt:lpstr>
      <vt:lpstr>DR437Q07C</vt:lpstr>
      <vt:lpstr>CR437Q06S</vt:lpstr>
      <vt:lpstr>CR456Q01S</vt:lpstr>
      <vt:lpstr>DR456Q02C</vt:lpstr>
      <vt:lpstr>DR456Q06C</vt:lpstr>
      <vt:lpstr>DR466Q02C</vt:lpstr>
      <vt:lpstr>CR466Q03S</vt:lpstr>
      <vt:lpstr>CR466Q06S</vt:lpstr>
      <vt:lpstr>CR446Q03S</vt:lpstr>
      <vt:lpstr>DR446Q06C</vt:lpstr>
      <vt:lpstr>DR432Q01C</vt:lpstr>
      <vt:lpstr>DR432Q05C</vt:lpstr>
      <vt:lpstr>CR432Q06S</vt:lpstr>
      <vt:lpstr>DR460Q01C</vt:lpstr>
      <vt:lpstr>CR460Q05S</vt:lpstr>
      <vt:lpstr>CR460Q06S</vt:lpstr>
      <vt:lpstr>CR424Q02S</vt:lpstr>
      <vt:lpstr>CR424Q03S</vt:lpstr>
      <vt:lpstr>CR424Q07S</vt:lpstr>
      <vt:lpstr>CR404Q03S</vt:lpstr>
      <vt:lpstr>CR404Q06S</vt:lpstr>
      <vt:lpstr>CR404Q07S</vt:lpstr>
      <vt:lpstr>DR404Q10AC</vt:lpstr>
      <vt:lpstr>DR404Q10BC</vt:lpstr>
      <vt:lpstr>DR406Q01C</vt:lpstr>
      <vt:lpstr>DR406Q05C</vt:lpstr>
      <vt:lpstr>DR406Q02C</vt:lpstr>
      <vt:lpstr>DR455Q02C</vt:lpstr>
      <vt:lpstr>DR455Q03C</vt:lpstr>
      <vt:lpstr>CR455Q04S</vt:lpstr>
      <vt:lpstr>CR455Q05S</vt:lpstr>
      <vt:lpstr>CR083Q01S</vt:lpstr>
      <vt:lpstr>CR083Q02S</vt:lpstr>
      <vt:lpstr>CR083Q03S</vt:lpstr>
      <vt:lpstr>CR083Q04S</vt:lpstr>
      <vt:lpstr>DR442Q02C</vt:lpstr>
      <vt:lpstr>DR442Q03C</vt:lpstr>
      <vt:lpstr>DR442Q05C</vt:lpstr>
      <vt:lpstr>DR442Q06C</vt:lpstr>
      <vt:lpstr>CR442Q07S</vt:lpstr>
      <vt:lpstr>CR245Q01S</vt:lpstr>
      <vt:lpstr>CR245Q02S</vt:lpstr>
      <vt:lpstr>CR101Q01S</vt:lpstr>
      <vt:lpstr>CR101Q02S</vt:lpstr>
      <vt:lpstr>CR101Q03S</vt:lpstr>
      <vt:lpstr>CR101Q04S</vt:lpstr>
      <vt:lpstr>CR101Q05S</vt:lpstr>
      <vt:lpstr>CR445Q03S</vt:lpstr>
      <vt:lpstr>DR445Q01C</vt:lpstr>
      <vt:lpstr>CR445Q04S</vt:lpstr>
      <vt:lpstr>CR445Q06S</vt:lpstr>
      <vt:lpstr>DR462Q02C</vt:lpstr>
      <vt:lpstr>DR462Q05C</vt:lpstr>
      <vt:lpstr>CR462Q04S</vt:lpstr>
      <vt:lpstr>CR435Q02S</vt:lpstr>
      <vt:lpstr>CR435Q01S</vt:lpstr>
      <vt:lpstr>DR435Q05C</vt:lpstr>
      <vt:lpstr>CR435Q08S</vt:lpstr>
      <vt:lpstr>DR465Q01C</vt:lpstr>
      <vt:lpstr>DR465Q02C</vt:lpstr>
      <vt:lpstr>DR465Q06C</vt:lpstr>
      <vt:lpstr>DR465Q05C</vt:lpstr>
      <vt:lpstr>R219Q01E</vt:lpstr>
      <vt:lpstr>PR219Q01S</vt:lpstr>
      <vt:lpstr>R219Q02</vt:lpstr>
      <vt:lpstr>PR067Q01S</vt:lpstr>
      <vt:lpstr>R067Q04</vt:lpstr>
      <vt:lpstr>R067Q05</vt:lpstr>
      <vt:lpstr>R102Q04A</vt:lpstr>
      <vt:lpstr>R102Q05</vt:lpstr>
      <vt:lpstr>PR102Q07S</vt:lpstr>
      <vt:lpstr>R220Q01</vt:lpstr>
      <vt:lpstr>PR220Q02BS</vt:lpstr>
      <vt:lpstr>PR220Q04S</vt:lpstr>
      <vt:lpstr>PR220Q05S</vt:lpstr>
      <vt:lpstr>PR220Q06S</vt:lpstr>
      <vt:lpstr>PR227Q01S</vt:lpstr>
      <vt:lpstr>PR227Q02S</vt:lpstr>
      <vt:lpstr>R227Q03</vt:lpstr>
      <vt:lpstr>R227Q06</vt:lpstr>
      <vt:lpstr>PR111Q01S</vt:lpstr>
      <vt:lpstr>R111Q02B</vt:lpstr>
      <vt:lpstr>R111Q06B</vt:lpstr>
      <vt:lpstr>PR055Q01S</vt:lpstr>
      <vt:lpstr>R055Q02</vt:lpstr>
      <vt:lpstr>R055Q03</vt:lpstr>
      <vt:lpstr>R055Q05</vt:lpstr>
      <vt:lpstr>R104Q01</vt:lpstr>
      <vt:lpstr>R104Q02</vt:lpstr>
      <vt:lpstr>R104Q05</vt:lpstr>
      <vt:lpstr>PR420Q02</vt:lpstr>
      <vt:lpstr>PR420Q10</vt:lpstr>
      <vt:lpstr>PR420Q06</vt:lpstr>
      <vt:lpstr>PR420Q09</vt:lpstr>
      <vt:lpstr>PR453Q01S</vt:lpstr>
      <vt:lpstr>PR453Q04</vt:lpstr>
      <vt:lpstr>PR453Q05S</vt:lpstr>
      <vt:lpstr>PR453Q06</vt:lpstr>
      <vt:lpstr>PR412Q01S</vt:lpstr>
      <vt:lpstr>PR412Q05S</vt:lpstr>
      <vt:lpstr>PR412Q08</vt:lpstr>
      <vt:lpstr>PR412Q06S</vt:lpstr>
      <vt:lpstr>PR437Q01S</vt:lpstr>
      <vt:lpstr>PR437Q07</vt:lpstr>
      <vt:lpstr>PR437Q06S</vt:lpstr>
      <vt:lpstr>PR456Q01S</vt:lpstr>
      <vt:lpstr>PR456Q02</vt:lpstr>
      <vt:lpstr>PR456Q06</vt:lpstr>
      <vt:lpstr>PR466Q02</vt:lpstr>
      <vt:lpstr>PR466Q03S</vt:lpstr>
      <vt:lpstr>PR466Q06</vt:lpstr>
      <vt:lpstr>PR446Q03</vt:lpstr>
      <vt:lpstr>PR446Q06</vt:lpstr>
      <vt:lpstr>PR432Q01</vt:lpstr>
      <vt:lpstr>PR432Q05</vt:lpstr>
      <vt:lpstr>PR432Q06S</vt:lpstr>
      <vt:lpstr>R460Q01</vt:lpstr>
      <vt:lpstr>PR460Q05S</vt:lpstr>
      <vt:lpstr>PR460Q06S</vt:lpstr>
      <vt:lpstr>PR424Q02S</vt:lpstr>
      <vt:lpstr>PR424Q03S</vt:lpstr>
      <vt:lpstr>PR424Q07S</vt:lpstr>
      <vt:lpstr>PR404Q03S</vt:lpstr>
      <vt:lpstr>PR404Q06S</vt:lpstr>
      <vt:lpstr>PR404Q07S</vt:lpstr>
      <vt:lpstr>PR404Q10A</vt:lpstr>
      <vt:lpstr>PR404Q10B</vt:lpstr>
      <vt:lpstr>PR406Q01</vt:lpstr>
      <vt:lpstr>PR406Q05</vt:lpstr>
      <vt:lpstr>PR406Q02</vt:lpstr>
      <vt:lpstr>PR455Q02</vt:lpstr>
      <vt:lpstr>PR455Q03</vt:lpstr>
      <vt:lpstr>PR455Q04S</vt:lpstr>
      <vt:lpstr>PR455Q05S</vt:lpstr>
      <vt:lpstr>PR083Q01S</vt:lpstr>
      <vt:lpstr>R083Q02</vt:lpstr>
      <vt:lpstr>R083Q03</vt:lpstr>
      <vt:lpstr>PR083Q04S</vt:lpstr>
      <vt:lpstr>R442Q02</vt:lpstr>
      <vt:lpstr>R442Q03</vt:lpstr>
      <vt:lpstr>R442Q05</vt:lpstr>
      <vt:lpstr>R442Q06</vt:lpstr>
      <vt:lpstr>PR442Q07S</vt:lpstr>
      <vt:lpstr>R245Q01</vt:lpstr>
      <vt:lpstr>R245Q02</vt:lpstr>
      <vt:lpstr>PR101Q01S</vt:lpstr>
      <vt:lpstr>PR101Q02S</vt:lpstr>
      <vt:lpstr>PR101Q03S</vt:lpstr>
      <vt:lpstr>PR101Q04S</vt:lpstr>
      <vt:lpstr>PR101Q05S</vt:lpstr>
      <vt:lpstr>PR445Q03S</vt:lpstr>
      <vt:lpstr>R445Q01</vt:lpstr>
      <vt:lpstr>PR445Q04S</vt:lpstr>
      <vt:lpstr>PR445Q06S</vt:lpstr>
      <vt:lpstr>R462Q02</vt:lpstr>
      <vt:lpstr>R462Q05</vt:lpstr>
      <vt:lpstr>PR462Q04S</vt:lpstr>
      <vt:lpstr>R435Q02</vt:lpstr>
      <vt:lpstr>PR435Q01S</vt:lpstr>
      <vt:lpstr>R435Q05</vt:lpstr>
      <vt:lpstr>PR435Q08S</vt:lpstr>
      <vt:lpstr>R465Q01</vt:lpstr>
      <vt:lpstr>R465Q02</vt:lpstr>
      <vt:lpstr>R465Q06</vt:lpstr>
      <vt:lpstr>R465Q05</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2016-11-09T16:37:13Z</dcterms:created>
  <dcterms:modified xmlns:dcterms="http://purl.org/dc/terms/" xmlns:xsi="http://www.w3.org/2001/XMLSchema-instance" xsi:type="dcterms:W3CDTF">2016-11-09T16:37:13Z</dcterms:modified>
  <cp:lastModifiedBy/>
  <cp:category/>
  <cp:contentStatus/>
  <cp:version/>
  <cp:revision/>
  <cp:keywords/>
</cp:coreProperties>
</file>